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80726\Постановления_опуб\27.03.2018 № 1325\"/>
    </mc:Choice>
  </mc:AlternateContent>
  <bookViews>
    <workbookView xWindow="0" yWindow="0" windowWidth="28800" windowHeight="12435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definedNames>
    <definedName name="_xlnm._FilterDatabase" localSheetId="1" hidden="1">'Подпрограмма 2'!$A$10:$V$107</definedName>
    <definedName name="_xlnm._FilterDatabase" localSheetId="2" hidden="1">'Подпрограмма 3'!$A$9:$U$41</definedName>
    <definedName name="_xlnm.Print_Titles" localSheetId="0">'Подпрограмма 1'!$7:$11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1'!$A$1:$M$72</definedName>
    <definedName name="_xlnm.Print_Area" localSheetId="1">'Подпрограмма 2'!$A$1:$M$107</definedName>
    <definedName name="_xlnm.Print_Area" localSheetId="2">'Подпрограмма 3'!$A$1:$M$41</definedName>
    <definedName name="_xlnm.Print_Area" localSheetId="3">'Подпрограмма 4'!$A$1:$M$31</definedName>
    <definedName name="_xlnm.Print_Area" localSheetId="4">'Подпрограмма 5'!$A$1:$M$38</definedName>
  </definedNames>
  <calcPr calcId="162913"/>
</workbook>
</file>

<file path=xl/calcChain.xml><?xml version="1.0" encoding="utf-8"?>
<calcChain xmlns="http://schemas.openxmlformats.org/spreadsheetml/2006/main">
  <c r="G54" i="2" l="1"/>
  <c r="H54" i="2" l="1"/>
  <c r="H55" i="2" l="1"/>
  <c r="H19" i="3"/>
  <c r="H16" i="3"/>
  <c r="H33" i="2"/>
  <c r="H17" i="2"/>
  <c r="H30" i="1"/>
  <c r="H20" i="1"/>
  <c r="H26" i="2"/>
  <c r="H19" i="1"/>
  <c r="H42" i="1"/>
  <c r="H60" i="2"/>
  <c r="H32" i="2"/>
  <c r="K16" i="1"/>
  <c r="I16" i="1"/>
  <c r="F36" i="1"/>
  <c r="H21" i="2"/>
  <c r="H65" i="2"/>
  <c r="H17" i="1" l="1"/>
  <c r="F16" i="8"/>
  <c r="F15" i="8"/>
  <c r="H30" i="6"/>
  <c r="F30" i="6"/>
  <c r="H40" i="3"/>
  <c r="F40" i="3" s="1"/>
  <c r="H68" i="1"/>
  <c r="F68" i="1" l="1"/>
  <c r="G33" i="2"/>
  <c r="G17" i="2"/>
  <c r="G30" i="1"/>
  <c r="I20" i="1"/>
  <c r="G87" i="2" l="1"/>
  <c r="G74" i="2"/>
  <c r="G73" i="2"/>
  <c r="G49" i="2"/>
  <c r="G32" i="2"/>
  <c r="G29" i="1"/>
  <c r="H52" i="2" l="1"/>
  <c r="F52" i="2" s="1"/>
  <c r="F25" i="6" l="1"/>
  <c r="H46" i="2"/>
  <c r="H103" i="2" s="1"/>
  <c r="F46" i="2"/>
  <c r="F99" i="2"/>
  <c r="F59" i="2"/>
  <c r="F56" i="2"/>
  <c r="F61" i="1"/>
  <c r="F68" i="2"/>
  <c r="F90" i="2"/>
  <c r="F27" i="1"/>
  <c r="F35" i="3"/>
  <c r="F103" i="2" l="1"/>
  <c r="H24" i="8"/>
  <c r="F24" i="8" s="1"/>
  <c r="H33" i="3"/>
  <c r="H11" i="3"/>
  <c r="G11" i="3"/>
  <c r="F26" i="3"/>
  <c r="K77" i="2"/>
  <c r="J77" i="2"/>
  <c r="I77" i="2"/>
  <c r="H77" i="2"/>
  <c r="H76" i="2"/>
  <c r="G76" i="2"/>
  <c r="E79" i="2"/>
  <c r="F94" i="2"/>
  <c r="F95" i="2"/>
  <c r="I13" i="2"/>
  <c r="K13" i="2"/>
  <c r="F71" i="2"/>
  <c r="H50" i="2" l="1"/>
  <c r="H11" i="2" s="1"/>
  <c r="I50" i="2"/>
  <c r="I11" i="2" s="1"/>
  <c r="J50" i="2"/>
  <c r="J11" i="2" s="1"/>
  <c r="K50" i="2"/>
  <c r="K11" i="2" s="1"/>
  <c r="H51" i="2"/>
  <c r="I51" i="2"/>
  <c r="J51" i="2"/>
  <c r="K51" i="2"/>
  <c r="G51" i="2"/>
  <c r="G50" i="2"/>
  <c r="F54" i="2"/>
  <c r="F55" i="2"/>
  <c r="F57" i="2"/>
  <c r="F58" i="2"/>
  <c r="F47" i="2" l="1"/>
  <c r="F26" i="2"/>
  <c r="K51" i="1" l="1"/>
  <c r="J51" i="1"/>
  <c r="I51" i="1"/>
  <c r="H51" i="1"/>
  <c r="K50" i="1"/>
  <c r="J50" i="1"/>
  <c r="I50" i="1"/>
  <c r="G64" i="1"/>
  <c r="F64" i="1" s="1"/>
  <c r="F63" i="1"/>
  <c r="F62" i="1"/>
  <c r="F60" i="1"/>
  <c r="H59" i="1"/>
  <c r="F59" i="1" s="1"/>
  <c r="H15" i="1"/>
  <c r="I15" i="1"/>
  <c r="J15" i="1"/>
  <c r="K15" i="1"/>
  <c r="J20" i="1"/>
  <c r="K20" i="1" s="1"/>
  <c r="H50" i="1" l="1"/>
  <c r="G24" i="6"/>
  <c r="H10" i="3"/>
  <c r="I10" i="3"/>
  <c r="J10" i="3"/>
  <c r="K10" i="3"/>
  <c r="G10" i="3"/>
  <c r="F13" i="3"/>
  <c r="G13" i="2"/>
  <c r="G22" i="2"/>
  <c r="F20" i="2"/>
  <c r="G43" i="1"/>
  <c r="G37" i="1"/>
  <c r="G34" i="1"/>
  <c r="G33" i="1"/>
  <c r="G47" i="1" l="1"/>
  <c r="G16" i="1" s="1"/>
  <c r="G28" i="1"/>
  <c r="G32" i="1"/>
  <c r="G33" i="3"/>
  <c r="G31" i="1"/>
  <c r="G12" i="3" l="1"/>
  <c r="G9" i="3" s="1"/>
  <c r="K17" i="2"/>
  <c r="J17" i="2"/>
  <c r="I17" i="2"/>
  <c r="F15" i="3" l="1"/>
  <c r="K34" i="3" l="1"/>
  <c r="J34" i="3"/>
  <c r="I34" i="3"/>
  <c r="H34" i="3"/>
  <c r="J43" i="1"/>
  <c r="I43" i="1"/>
  <c r="H43" i="1"/>
  <c r="G14" i="2"/>
  <c r="G105" i="2" s="1"/>
  <c r="F88" i="2" l="1"/>
  <c r="G60" i="2" l="1"/>
  <c r="G66" i="2" l="1"/>
  <c r="G42" i="1"/>
  <c r="G14" i="1" s="1"/>
  <c r="G67" i="2"/>
  <c r="G79" i="2" l="1"/>
  <c r="G43" i="2" l="1"/>
  <c r="I76" i="2"/>
  <c r="J76" i="2"/>
  <c r="K76" i="2"/>
  <c r="E76" i="2"/>
  <c r="I101" i="2"/>
  <c r="J101" i="2"/>
  <c r="K101" i="2"/>
  <c r="F50" i="2"/>
  <c r="F98" i="2"/>
  <c r="F97" i="2"/>
  <c r="G41" i="2"/>
  <c r="G34" i="2"/>
  <c r="G11" i="2" s="1"/>
  <c r="H101" i="2" l="1"/>
  <c r="G101" i="2"/>
  <c r="F76" i="2"/>
  <c r="H53" i="1" l="1"/>
  <c r="G53" i="1"/>
  <c r="I69" i="2" l="1"/>
  <c r="H69" i="2"/>
  <c r="G69" i="2"/>
  <c r="G31" i="2"/>
  <c r="G12" i="2" s="1"/>
  <c r="H12" i="2" l="1"/>
  <c r="I12" i="2"/>
  <c r="G13" i="8"/>
  <c r="G10" i="8" s="1"/>
  <c r="G58" i="1" l="1"/>
  <c r="G51" i="1" s="1"/>
  <c r="G57" i="1"/>
  <c r="G21" i="1" l="1"/>
  <c r="E13" i="2" l="1"/>
  <c r="F70" i="2"/>
  <c r="H53" i="2" l="1"/>
  <c r="H13" i="2" s="1"/>
  <c r="H41" i="1"/>
  <c r="H16" i="1" s="1"/>
  <c r="I85" i="2" l="1"/>
  <c r="H85" i="2"/>
  <c r="G85" i="2"/>
  <c r="H55" i="1"/>
  <c r="H52" i="1" s="1"/>
  <c r="G45" i="1"/>
  <c r="G15" i="1" s="1"/>
  <c r="G78" i="2" l="1"/>
  <c r="F69" i="2"/>
  <c r="K69" i="1"/>
  <c r="F47" i="1" l="1"/>
  <c r="E14" i="2" l="1"/>
  <c r="K14" i="2"/>
  <c r="J14" i="2"/>
  <c r="I14" i="2"/>
  <c r="H14" i="2"/>
  <c r="E85" i="2" l="1"/>
  <c r="I78" i="2"/>
  <c r="I75" i="2" s="1"/>
  <c r="E24" i="2"/>
  <c r="E82" i="2" l="1"/>
  <c r="G50" i="1" l="1"/>
  <c r="E56" i="1"/>
  <c r="I69" i="1" l="1"/>
  <c r="E13" i="8" l="1"/>
  <c r="K107" i="2" l="1"/>
  <c r="J107" i="2"/>
  <c r="I107" i="2"/>
  <c r="I28" i="8" s="1"/>
  <c r="H107" i="2"/>
  <c r="G107" i="2"/>
  <c r="K78" i="2"/>
  <c r="K75" i="2" s="1"/>
  <c r="J78" i="2"/>
  <c r="J75" i="2" s="1"/>
  <c r="E107" i="2"/>
  <c r="E78" i="2"/>
  <c r="E77" i="2"/>
  <c r="F93" i="2"/>
  <c r="F96" i="2"/>
  <c r="K49" i="1"/>
  <c r="H72" i="1" l="1"/>
  <c r="I72" i="1"/>
  <c r="J72" i="1"/>
  <c r="K72" i="1"/>
  <c r="F53" i="1"/>
  <c r="J52" i="1"/>
  <c r="J49" i="1" s="1"/>
  <c r="I52" i="1"/>
  <c r="G52" i="1"/>
  <c r="E53" i="1"/>
  <c r="E72" i="1" s="1"/>
  <c r="E51" i="1"/>
  <c r="E50" i="1"/>
  <c r="E52" i="1"/>
  <c r="H28" i="8" l="1"/>
  <c r="H49" i="1"/>
  <c r="I49" i="1"/>
  <c r="E49" i="1"/>
  <c r="G49" i="1"/>
  <c r="F52" i="1"/>
  <c r="G72" i="1"/>
  <c r="G28" i="8" s="1"/>
  <c r="F72" i="1" l="1"/>
  <c r="E14" i="6"/>
  <c r="E11" i="6"/>
  <c r="E9" i="6"/>
  <c r="E14" i="3" l="1"/>
  <c r="E60" i="2" l="1"/>
  <c r="E11" i="2" s="1"/>
  <c r="E48" i="2"/>
  <c r="E45" i="2"/>
  <c r="E35" i="2"/>
  <c r="E12" i="2" l="1"/>
  <c r="E42" i="1"/>
  <c r="E39" i="1" l="1"/>
  <c r="E35" i="1"/>
  <c r="E29" i="1"/>
  <c r="E16" i="1" l="1"/>
  <c r="F56" i="1"/>
  <c r="F55" i="1"/>
  <c r="F54" i="1"/>
  <c r="E25" i="3" l="1"/>
  <c r="G34" i="3" l="1"/>
  <c r="G9" i="8" l="1"/>
  <c r="H9" i="8"/>
  <c r="I9" i="8"/>
  <c r="J9" i="8"/>
  <c r="K9" i="8"/>
  <c r="E9" i="8"/>
  <c r="G8" i="6"/>
  <c r="E28" i="3"/>
  <c r="H28" i="3"/>
  <c r="I28" i="3"/>
  <c r="J28" i="3"/>
  <c r="K28" i="3"/>
  <c r="G28" i="3"/>
  <c r="F9" i="8" l="1"/>
  <c r="F101" i="2" l="1"/>
  <c r="F74" i="2"/>
  <c r="F73" i="2"/>
  <c r="J72" i="2"/>
  <c r="I72" i="2"/>
  <c r="H72" i="2"/>
  <c r="G72" i="2"/>
  <c r="E72" i="2"/>
  <c r="E101" i="2"/>
  <c r="K72" i="2" l="1"/>
  <c r="F72" i="2" s="1"/>
  <c r="E28" i="8" l="1"/>
  <c r="F15" i="6" l="1"/>
  <c r="E11" i="3" l="1"/>
  <c r="E15" i="1" l="1"/>
  <c r="I67" i="1"/>
  <c r="G67" i="1"/>
  <c r="F57" i="1" l="1"/>
  <c r="F58" i="1"/>
  <c r="F50" i="1" l="1"/>
  <c r="F51" i="1"/>
  <c r="F49" i="1" l="1"/>
  <c r="I17" i="6"/>
  <c r="H17" i="6"/>
  <c r="G17" i="6" l="1"/>
  <c r="J17" i="6"/>
  <c r="K17" i="6"/>
  <c r="E17" i="6"/>
  <c r="H8" i="6" l="1"/>
  <c r="J8" i="6"/>
  <c r="K8" i="6"/>
  <c r="E8" i="6"/>
  <c r="J27" i="3" l="1"/>
  <c r="H12" i="3"/>
  <c r="I12" i="3"/>
  <c r="J12" i="3"/>
  <c r="K12" i="3"/>
  <c r="E12" i="3"/>
  <c r="H102" i="2"/>
  <c r="I104" i="2" l="1"/>
  <c r="K104" i="2"/>
  <c r="I27" i="3"/>
  <c r="K27" i="3"/>
  <c r="G27" i="3"/>
  <c r="E27" i="3"/>
  <c r="F28" i="3"/>
  <c r="H27" i="3"/>
  <c r="F11" i="2"/>
  <c r="F12" i="3"/>
  <c r="F79" i="2"/>
  <c r="F27" i="3" l="1"/>
  <c r="H78" i="2"/>
  <c r="H75" i="2" s="1"/>
  <c r="G104" i="2"/>
  <c r="G84" i="2"/>
  <c r="G77" i="2" s="1"/>
  <c r="G75" i="2" l="1"/>
  <c r="F77" i="2"/>
  <c r="G102" i="2"/>
  <c r="E75" i="2"/>
  <c r="E102" i="2"/>
  <c r="H104" i="2"/>
  <c r="E104" i="2"/>
  <c r="F78" i="2"/>
  <c r="F75" i="2" l="1"/>
  <c r="F15" i="1" l="1"/>
  <c r="J41" i="1" l="1"/>
  <c r="J53" i="2"/>
  <c r="J13" i="2" s="1"/>
  <c r="J16" i="1" l="1"/>
  <c r="J69" i="1" s="1"/>
  <c r="F13" i="2"/>
  <c r="J104" i="2"/>
  <c r="F17" i="6"/>
  <c r="F104" i="2" l="1"/>
  <c r="F66" i="2" l="1"/>
  <c r="F67" i="2"/>
  <c r="J10" i="8" l="1"/>
  <c r="K10" i="8"/>
  <c r="E10" i="8"/>
  <c r="I10" i="8"/>
  <c r="I19" i="8" s="1"/>
  <c r="I22" i="6"/>
  <c r="F14" i="8" l="1"/>
  <c r="K11" i="8"/>
  <c r="K20" i="8" s="1"/>
  <c r="J11" i="8"/>
  <c r="J20" i="8" s="1"/>
  <c r="I11" i="8"/>
  <c r="I20" i="8" s="1"/>
  <c r="G11" i="8"/>
  <c r="G20" i="8" s="1"/>
  <c r="E11" i="8"/>
  <c r="E20" i="8" s="1"/>
  <c r="K19" i="8"/>
  <c r="J19" i="8"/>
  <c r="G19" i="8"/>
  <c r="E19" i="8"/>
  <c r="K18" i="8"/>
  <c r="J18" i="8"/>
  <c r="I18" i="8"/>
  <c r="G18" i="8"/>
  <c r="E18" i="8"/>
  <c r="F12" i="8" l="1"/>
  <c r="H10" i="8"/>
  <c r="F13" i="8"/>
  <c r="H18" i="8"/>
  <c r="F18" i="8" s="1"/>
  <c r="G8" i="8"/>
  <c r="K8" i="8"/>
  <c r="E8" i="8"/>
  <c r="H11" i="8"/>
  <c r="H20" i="8" s="1"/>
  <c r="F20" i="8" s="1"/>
  <c r="K17" i="8"/>
  <c r="I8" i="8"/>
  <c r="E17" i="8"/>
  <c r="J17" i="8"/>
  <c r="G17" i="8"/>
  <c r="J8" i="8"/>
  <c r="K28" i="8"/>
  <c r="F10" i="8" l="1"/>
  <c r="H19" i="8"/>
  <c r="I17" i="8"/>
  <c r="F11" i="8"/>
  <c r="H8" i="8"/>
  <c r="F19" i="8" l="1"/>
  <c r="F17" i="8" s="1"/>
  <c r="F8" i="8"/>
  <c r="H17" i="8"/>
  <c r="F53" i="2" l="1"/>
  <c r="G69" i="1"/>
  <c r="F41" i="1"/>
  <c r="F22" i="6" l="1"/>
  <c r="I18" i="6" l="1"/>
  <c r="I16" i="6" s="1"/>
  <c r="F81" i="2" l="1"/>
  <c r="F91" i="2" l="1"/>
  <c r="F85" i="2" l="1"/>
  <c r="K23" i="3" l="1"/>
  <c r="K11" i="3" s="1"/>
  <c r="J23" i="3"/>
  <c r="J11" i="3" s="1"/>
  <c r="I23" i="3"/>
  <c r="I11" i="3" s="1"/>
  <c r="F25" i="3"/>
  <c r="F16" i="1" l="1"/>
  <c r="I102" i="2"/>
  <c r="E18" i="6" l="1"/>
  <c r="G18" i="6"/>
  <c r="J18" i="6"/>
  <c r="K18" i="6"/>
  <c r="I31" i="6"/>
  <c r="H18" i="6"/>
  <c r="G31" i="6" l="1"/>
  <c r="G16" i="6"/>
  <c r="K31" i="6"/>
  <c r="K16" i="6"/>
  <c r="J31" i="6"/>
  <c r="J16" i="6"/>
  <c r="H31" i="6"/>
  <c r="H16" i="6"/>
  <c r="E31" i="6"/>
  <c r="E16" i="6"/>
  <c r="F26" i="6"/>
  <c r="F18" i="6"/>
  <c r="F29" i="1"/>
  <c r="F31" i="6" l="1"/>
  <c r="F16" i="6"/>
  <c r="F65" i="2" l="1"/>
  <c r="F87" i="2" l="1"/>
  <c r="F86" i="2"/>
  <c r="F84" i="2"/>
  <c r="F83" i="2"/>
  <c r="F80" i="2"/>
  <c r="F82" i="2" l="1"/>
  <c r="H69" i="1" l="1"/>
  <c r="H25" i="8" l="1"/>
  <c r="F11" i="3" l="1"/>
  <c r="J28" i="8" l="1"/>
  <c r="F32" i="2"/>
  <c r="E69" i="1"/>
  <c r="J25" i="8" l="1"/>
  <c r="K25" i="8"/>
  <c r="F28" i="8"/>
  <c r="F107" i="2"/>
  <c r="E25" i="8"/>
  <c r="F69" i="1"/>
  <c r="F39" i="1"/>
  <c r="F49" i="2"/>
  <c r="G25" i="8" l="1"/>
  <c r="I25" i="8"/>
  <c r="F25" i="8" l="1"/>
  <c r="F46" i="1"/>
  <c r="J67" i="1" l="1"/>
  <c r="G15" i="2" l="1"/>
  <c r="G106" i="2" s="1"/>
  <c r="G100" i="2" s="1"/>
  <c r="H15" i="2"/>
  <c r="H106" i="2" s="1"/>
  <c r="I15" i="2"/>
  <c r="I106" i="2" s="1"/>
  <c r="J15" i="2"/>
  <c r="J106" i="2" s="1"/>
  <c r="K15" i="2"/>
  <c r="K106" i="2" s="1"/>
  <c r="E15" i="2"/>
  <c r="E106" i="2" s="1"/>
  <c r="F18" i="2"/>
  <c r="F106" i="2" l="1"/>
  <c r="F15" i="2"/>
  <c r="I14" i="1" l="1"/>
  <c r="I66" i="1" l="1"/>
  <c r="E10" i="3"/>
  <c r="F24" i="3"/>
  <c r="F10" i="3" l="1"/>
  <c r="H67" i="1" l="1"/>
  <c r="F64" i="2" l="1"/>
  <c r="K67" i="1" l="1"/>
  <c r="F67" i="1" l="1"/>
  <c r="J14" i="1"/>
  <c r="J66" i="1" s="1"/>
  <c r="K14" i="1"/>
  <c r="K66" i="1" s="1"/>
  <c r="E14" i="1"/>
  <c r="E66" i="1" s="1"/>
  <c r="F45" i="1" l="1"/>
  <c r="F44" i="1"/>
  <c r="F62" i="2" l="1"/>
  <c r="F63" i="2"/>
  <c r="K29" i="6" l="1"/>
  <c r="K28" i="6" s="1"/>
  <c r="F10" i="6" l="1"/>
  <c r="H29" i="6" l="1"/>
  <c r="H28" i="6" s="1"/>
  <c r="F17" i="3" l="1"/>
  <c r="F19" i="2"/>
  <c r="F22" i="1" l="1"/>
  <c r="F24" i="6" l="1"/>
  <c r="E41" i="3" l="1"/>
  <c r="J41" i="3"/>
  <c r="K41" i="3"/>
  <c r="G41" i="3"/>
  <c r="E17" i="1" l="1"/>
  <c r="E70" i="1" s="1"/>
  <c r="J17" i="1"/>
  <c r="J70" i="1" s="1"/>
  <c r="K17" i="1"/>
  <c r="K70" i="1" s="1"/>
  <c r="G17" i="1"/>
  <c r="G70" i="1" s="1"/>
  <c r="F43" i="1"/>
  <c r="F42" i="1"/>
  <c r="F40" i="1"/>
  <c r="F38" i="1"/>
  <c r="F37" i="1"/>
  <c r="F35" i="1"/>
  <c r="F34" i="1"/>
  <c r="F33" i="1"/>
  <c r="F32" i="1"/>
  <c r="F31" i="1"/>
  <c r="E67" i="1" l="1"/>
  <c r="F28" i="1"/>
  <c r="F30" i="1"/>
  <c r="G31" i="3" l="1"/>
  <c r="G38" i="3" s="1"/>
  <c r="H31" i="3"/>
  <c r="I31" i="3"/>
  <c r="J31" i="3"/>
  <c r="K31" i="3"/>
  <c r="E31" i="3"/>
  <c r="F31" i="3" l="1"/>
  <c r="F61" i="2"/>
  <c r="H14" i="1" l="1"/>
  <c r="H66" i="1" s="1"/>
  <c r="F23" i="1"/>
  <c r="F23" i="2"/>
  <c r="I8" i="6"/>
  <c r="F13" i="6"/>
  <c r="F12" i="6"/>
  <c r="F11" i="6"/>
  <c r="F14" i="6" l="1"/>
  <c r="K31" i="2"/>
  <c r="K12" i="2" s="1"/>
  <c r="J31" i="2"/>
  <c r="J12" i="2" s="1"/>
  <c r="F41" i="2"/>
  <c r="F40" i="2"/>
  <c r="F39" i="2"/>
  <c r="F38" i="2"/>
  <c r="F37" i="2"/>
  <c r="F36" i="2"/>
  <c r="J102" i="2" l="1"/>
  <c r="F8" i="6"/>
  <c r="F9" i="6"/>
  <c r="F35" i="2"/>
  <c r="F34" i="2"/>
  <c r="F27" i="2"/>
  <c r="F12" i="2" l="1"/>
  <c r="K102" i="2"/>
  <c r="F30" i="2"/>
  <c r="F92" i="2"/>
  <c r="F89" i="2"/>
  <c r="F102" i="2" l="1"/>
  <c r="F16" i="3"/>
  <c r="H41" i="3"/>
  <c r="I41" i="3" l="1"/>
  <c r="F19" i="3"/>
  <c r="E105" i="2"/>
  <c r="E100" i="2" s="1"/>
  <c r="J105" i="2"/>
  <c r="K105" i="2"/>
  <c r="F17" i="2"/>
  <c r="H70" i="1"/>
  <c r="E18" i="1"/>
  <c r="H18" i="1"/>
  <c r="I18" i="1"/>
  <c r="I71" i="1" s="1"/>
  <c r="J18" i="1"/>
  <c r="K18" i="1"/>
  <c r="G18" i="1"/>
  <c r="F21" i="1"/>
  <c r="K26" i="8" l="1"/>
  <c r="K100" i="2"/>
  <c r="J26" i="8"/>
  <c r="J100" i="2"/>
  <c r="E26" i="8"/>
  <c r="I27" i="8"/>
  <c r="G71" i="1"/>
  <c r="E71" i="1"/>
  <c r="E65" i="1" s="1"/>
  <c r="F41" i="3"/>
  <c r="H71" i="1"/>
  <c r="K71" i="1"/>
  <c r="K65" i="1" s="1"/>
  <c r="J71" i="1"/>
  <c r="J65" i="1" s="1"/>
  <c r="K13" i="1"/>
  <c r="F18" i="1"/>
  <c r="I17" i="1"/>
  <c r="I70" i="1" s="1"/>
  <c r="I65" i="1" s="1"/>
  <c r="H65" i="1" l="1"/>
  <c r="G26" i="8"/>
  <c r="E27" i="8"/>
  <c r="K27" i="8"/>
  <c r="J27" i="8"/>
  <c r="H27" i="8"/>
  <c r="G27" i="8"/>
  <c r="F71" i="1"/>
  <c r="F70" i="1"/>
  <c r="F17" i="1"/>
  <c r="I105" i="2"/>
  <c r="F33" i="2"/>
  <c r="F20" i="1"/>
  <c r="I26" i="8" l="1"/>
  <c r="I100" i="2"/>
  <c r="H105" i="2"/>
  <c r="F14" i="2"/>
  <c r="F27" i="8"/>
  <c r="G29" i="6"/>
  <c r="G28" i="6" s="1"/>
  <c r="H26" i="8" l="1"/>
  <c r="F26" i="8" s="1"/>
  <c r="H100" i="2"/>
  <c r="F105" i="2"/>
  <c r="F100" i="2" s="1"/>
  <c r="H13" i="1"/>
  <c r="F21" i="6" l="1"/>
  <c r="F23" i="6"/>
  <c r="F34" i="3"/>
  <c r="F36" i="3"/>
  <c r="F29" i="3"/>
  <c r="F23" i="3"/>
  <c r="F18" i="3"/>
  <c r="F20" i="3"/>
  <c r="F21" i="3"/>
  <c r="F25" i="2"/>
  <c r="F42" i="2"/>
  <c r="F44" i="2"/>
  <c r="F60" i="2"/>
  <c r="F25" i="1"/>
  <c r="F26" i="1"/>
  <c r="G66" i="1" l="1"/>
  <c r="G65" i="1" s="1"/>
  <c r="F14" i="1"/>
  <c r="F27" i="6"/>
  <c r="F66" i="1" l="1"/>
  <c r="F65" i="1" s="1"/>
  <c r="J29" i="6"/>
  <c r="J28" i="6" s="1"/>
  <c r="I29" i="6" l="1"/>
  <c r="I28" i="6" s="1"/>
  <c r="F29" i="6" l="1"/>
  <c r="F28" i="6" s="1"/>
  <c r="K32" i="3" l="1"/>
  <c r="K39" i="3" s="1"/>
  <c r="J32" i="3"/>
  <c r="K38" i="3"/>
  <c r="J38" i="3"/>
  <c r="J22" i="8" l="1"/>
  <c r="K22" i="8"/>
  <c r="K37" i="3"/>
  <c r="K23" i="8"/>
  <c r="J30" i="3"/>
  <c r="J39" i="3"/>
  <c r="J37" i="3" s="1"/>
  <c r="J9" i="3"/>
  <c r="K9" i="3"/>
  <c r="K30" i="3"/>
  <c r="I13" i="1"/>
  <c r="K21" i="8" l="1"/>
  <c r="J23" i="8"/>
  <c r="J21" i="8" s="1"/>
  <c r="K10" i="2"/>
  <c r="J10" i="2"/>
  <c r="J13" i="1"/>
  <c r="F31" i="2" l="1"/>
  <c r="F43" i="2"/>
  <c r="G22" i="8" l="1"/>
  <c r="E29" i="6" l="1"/>
  <c r="E28" i="6" s="1"/>
  <c r="E13" i="1" l="1"/>
  <c r="E38" i="3"/>
  <c r="E22" i="8" l="1"/>
  <c r="F51" i="2" l="1"/>
  <c r="F48" i="2"/>
  <c r="F19" i="6" l="1"/>
  <c r="F20" i="6"/>
  <c r="F19" i="1" l="1"/>
  <c r="F13" i="1" l="1"/>
  <c r="G13" i="1"/>
  <c r="F22" i="3"/>
  <c r="E32" i="3"/>
  <c r="E39" i="3" s="1"/>
  <c r="H38" i="3"/>
  <c r="I38" i="3"/>
  <c r="H22" i="8" l="1"/>
  <c r="E23" i="8"/>
  <c r="E21" i="8" s="1"/>
  <c r="E37" i="3"/>
  <c r="I22" i="8"/>
  <c r="F9" i="3"/>
  <c r="H9" i="3"/>
  <c r="I9" i="3"/>
  <c r="F38" i="3"/>
  <c r="E30" i="3"/>
  <c r="F22" i="8" l="1"/>
  <c r="E9" i="3"/>
  <c r="F14" i="3"/>
  <c r="H32" i="3" l="1"/>
  <c r="H39" i="3" s="1"/>
  <c r="H37" i="3" s="1"/>
  <c r="F45" i="2"/>
  <c r="F22" i="2"/>
  <c r="F21" i="2"/>
  <c r="F16" i="2"/>
  <c r="H23" i="8" l="1"/>
  <c r="H21" i="8" s="1"/>
  <c r="I10" i="2"/>
  <c r="H10" i="2"/>
  <c r="E10" i="2"/>
  <c r="H30" i="3"/>
  <c r="F29" i="2"/>
  <c r="G32" i="3"/>
  <c r="G39" i="3" s="1"/>
  <c r="F33" i="3"/>
  <c r="I32" i="3"/>
  <c r="I39" i="3" s="1"/>
  <c r="I37" i="3" s="1"/>
  <c r="G37" i="3" l="1"/>
  <c r="I23" i="8"/>
  <c r="I21" i="8" s="1"/>
  <c r="F39" i="3"/>
  <c r="F37" i="3" s="1"/>
  <c r="G23" i="8"/>
  <c r="G21" i="8" s="1"/>
  <c r="G10" i="2"/>
  <c r="F10" i="2" s="1"/>
  <c r="G30" i="3"/>
  <c r="I30" i="3"/>
  <c r="F32" i="3"/>
  <c r="F28" i="2"/>
  <c r="F23" i="8" l="1"/>
  <c r="F21" i="8" s="1"/>
  <c r="F30" i="3"/>
  <c r="F24" i="2"/>
  <c r="F24" i="1" l="1"/>
</calcChain>
</file>

<file path=xl/sharedStrings.xml><?xml version="1.0" encoding="utf-8"?>
<sst xmlns="http://schemas.openxmlformats.org/spreadsheetml/2006/main" count="926" uniqueCount="325">
  <si>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</si>
  <si>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</si>
  <si>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</si>
  <si>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</si>
  <si>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</si>
  <si>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</si>
  <si>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</si>
  <si>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</si>
  <si>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</si>
  <si>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</si>
  <si>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</si>
  <si>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</si>
  <si>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</si>
  <si>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</si>
  <si>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</si>
  <si>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</si>
  <si>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</si>
  <si>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</si>
  <si>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</si>
  <si>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</si>
  <si>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</si>
  <si>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</si>
  <si>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</si>
  <si>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</si>
  <si>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</si>
  <si>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</si>
  <si>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</si>
  <si>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</si>
  <si>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</si>
  <si>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</si>
  <si>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</si>
  <si>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</si>
  <si>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</si>
  <si>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</si>
  <si>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</si>
  <si>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</si>
  <si>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</si>
  <si>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</si>
  <si>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</si>
  <si>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</si>
  <si>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</si>
  <si>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</si>
  <si>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</si>
  <si>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</si>
  <si>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</si>
  <si>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</si>
  <si>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</si>
  <si>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</si>
  <si>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</si>
  <si>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</si>
  <si>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</si>
  <si>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</si>
  <si>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</si>
  <si>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</si>
  <si>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</si>
  <si>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</si>
  <si>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</si>
  <si>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</si>
  <si>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</si>
  <si>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</si>
  <si>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</si>
  <si>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</si>
  <si>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</si>
  <si>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</si>
  <si>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</si>
  <si>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</si>
  <si>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</si>
  <si>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>Мероприятие 3.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</si>
  <si>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4.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</si>
  <si>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</si>
  <si>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</si>
  <si>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</si>
  <si>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</si>
  <si>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</si>
  <si>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</si>
  <si>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</si>
  <si>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</si>
  <si>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</si>
  <si>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</si>
  <si>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</si>
  <si>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</si>
  <si>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</si>
  <si>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</si>
  <si>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</si>
  <si>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 xml:space="preserve">Г.Б. Кувшинникова    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</si>
  <si>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</si>
  <si>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</si>
  <si>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</si>
  <si>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</si>
  <si>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</si>
  <si>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</si>
  <si>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</si>
  <si>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</si>
  <si>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</si>
  <si>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</si>
  <si>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</si>
  <si>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</si>
  <si>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</si>
  <si>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</si>
  <si>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</si>
  <si>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</si>
  <si>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</si>
  <si>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</si>
  <si>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</si>
  <si>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</si>
  <si>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</si>
  <si>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</si>
  <si>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</si>
  <si>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</si>
  <si>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</si>
  <si>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</si>
  <si>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</si>
  <si>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</si>
  <si>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</si>
  <si>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</si>
  <si>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</si>
  <si>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</si>
  <si>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</si>
  <si>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</si>
  <si>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</si>
  <si>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</si>
  <si>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</si>
  <si>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</si>
  <si>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</si>
  <si>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</si>
  <si>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</si>
  <si>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</si>
  <si>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</si>
  <si>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</si>
  <si>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 xml:space="preserve">Количество обучающихся на один компьютер в муниципальных учреждениях составит 7 человек. Наличие школьных локальных сетей в 100% муниципальных общеобразовательных учреждениях, оснащение компьтерным оборудованием 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</si>
  <si>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</si>
  <si>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</si>
  <si>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</si>
  <si>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</si>
  <si>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</si>
  <si>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</si>
  <si>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</si>
  <si>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</si>
  <si>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</si>
  <si>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</si>
  <si>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</si>
  <si>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</si>
  <si>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</si>
  <si>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</si>
  <si>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</si>
  <si>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</si>
  <si>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</si>
  <si>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</si>
  <si>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</si>
  <si>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</si>
  <si>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</si>
  <si>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</si>
  <si>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</si>
  <si>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5.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</si>
  <si>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</si>
  <si>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</si>
  <si>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</si>
  <si>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</si>
  <si>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</si>
  <si>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</si>
  <si>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</si>
  <si>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</si>
  <si>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</si>
  <si>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</si>
  <si>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</si>
  <si>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</si>
  <si>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</si>
  <si>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</si>
  <si>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</si>
  <si>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</si>
  <si>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</si>
  <si>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</si>
  <si>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</si>
  <si>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</si>
  <si>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</si>
  <si>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</si>
  <si>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</si>
  <si>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</si>
  <si>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</si>
  <si>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</si>
  <si>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</si>
  <si>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</si>
  <si>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>Мероприятие 52. Строительство детского сада на 125 мест с бассейном по адресу: Московская область, Одинцовский район, с.п. Никольское, п. Новый городок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</si>
  <si>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</si>
  <si>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</si>
  <si>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</si>
  <si>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</si>
  <si>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</si>
  <si>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 xml:space="preserve">Мероприятие 6.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</si>
  <si>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</si>
  <si>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</si>
  <si>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</si>
  <si>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</si>
  <si>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</si>
  <si>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</si>
  <si>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</si>
  <si>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</si>
  <si>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</si>
  <si>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21. 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</si>
  <si>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</si>
  <si>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</si>
  <si>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</si>
  <si>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</si>
  <si>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</si>
  <si>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</si>
  <si>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</si>
  <si>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</si>
  <si>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</si>
  <si>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</si>
  <si>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</si>
  <si>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</si>
  <si>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</si>
  <si>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</si>
  <si>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</si>
  <si>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 xml:space="preserve">Обеспеченность детских садов технологическим, медицинским, спортивным оборудованием, мягким инвентарем,малыми архитектурными формами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</si>
  <si>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</si>
  <si>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</si>
  <si>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</si>
  <si>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</si>
  <si>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</si>
  <si>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</si>
  <si>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</si>
  <si>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</si>
  <si>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</si>
  <si>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</si>
  <si>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</si>
  <si>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</si>
  <si>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</si>
  <si>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</si>
  <si>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</si>
  <si>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</si>
  <si>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</si>
  <si>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</si>
  <si>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</si>
  <si>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</si>
  <si>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</si>
  <si>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</si>
  <si>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</si>
  <si>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</si>
  <si>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</si>
  <si>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</si>
  <si>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</si>
  <si>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</si>
  <si>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</si>
  <si>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</si>
  <si>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</si>
  <si>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</si>
  <si>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>Мероприятие 56. Г.п. Одинцово, микрорайон №6. Строительство школы на 1100 мест</t>
  </si>
  <si>
    <t>Задача 2. Доступность дошкольного образования для детей в возрасте от 1,5 до 7 лет</t>
  </si>
  <si>
    <t xml:space="preserve"> -</t>
  </si>
  <si>
    <t>3.8</t>
  </si>
  <si>
    <t>Мероприятие 61. Московская область, Одинцовский район, сельское поселение Жаворонковское, с. Перхушково</t>
  </si>
  <si>
    <t>Мероприятие 60. Одинцовский м.р., с.п. Жаворонковское, д. Зайцево</t>
  </si>
  <si>
    <t>Мероприятие 58. Одинцовский район, р.п. Заречье</t>
  </si>
  <si>
    <t>3.10</t>
  </si>
  <si>
    <t>3.11</t>
  </si>
  <si>
    <t>2019-2020 годы</t>
  </si>
  <si>
    <t>2018-2019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</si>
  <si>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</si>
  <si>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</si>
  <si>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</si>
  <si>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</si>
  <si>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</si>
  <si>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</si>
  <si>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</si>
  <si>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</si>
  <si>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</si>
  <si>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</si>
  <si>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</si>
  <si>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</si>
  <si>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</si>
  <si>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Администрация Одинцовского муниципального района</t>
  </si>
  <si>
    <t>Мероприятие 26. Добровольный имущественный взнос в автономную некоммерческую общеобразовательную организацию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</si>
  <si>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</si>
  <si>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</si>
  <si>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</si>
  <si>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 xml:space="preserve">Обеспечение реализации современных подходов в образовании обучающихся в АНОО "Областная гимназия им. Е.М. Примакова" 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</si>
  <si>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</si>
  <si>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Мероприятие 54. Строительство. Средняя общеобразовательная школа на 600 мест по адресу: Московская область, Одинцовский район, с.п. Горское, п. Горки-2 (ПИР) </t>
  </si>
  <si>
    <t>2017-2020 годы</t>
  </si>
  <si>
    <t>Проведение мероприятий (приобретение подарков) в МБДОУ детский сад №№61,28,63,30 (2017)</t>
  </si>
  <si>
    <t>2017 - 2018 год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</si>
  <si>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</si>
  <si>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</si>
  <si>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</si>
  <si>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64. Строительство стадиона на территории МБОУ Барвихинская средняя образовательная школа по адресу: Московская область, Одинцовский район, поселок Барвиха, дом 41 (ПИР и строительство)</t>
  </si>
  <si>
    <t xml:space="preserve">Строительство стадиона на территории МБОУ Барвихинская СОШ 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</si>
  <si>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</si>
  <si>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</si>
  <si>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</si>
  <si>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</si>
  <si>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</si>
  <si>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</si>
  <si>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2017-2025 годы 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</si>
  <si>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«Эффективная власть» на 2017-2021 годы 
</t>
  </si>
  <si>
    <t>Мероприятие 55. Строительство. Пристройка на 500 мест к МБОУ "Одинцовская гимназия № 14" по адресу: Московская область, г. Одинцово, б-р Маршала Крылова, д. 5</t>
  </si>
  <si>
    <t>Мероприятие 57. Учебный блок (пристройка) к существующему зданию МБОУ "Успенская средняя общеобразовательная школа" по адресу: Московская область, Одинцовский район, с. Успенское, д.50А</t>
  </si>
  <si>
    <t>3.9</t>
  </si>
  <si>
    <t>Приобретение автобусов для доставки обучающихся в общеобразовательные организации (2018 -  Часцовская СОШ)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</si>
  <si>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</si>
  <si>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</si>
  <si>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</si>
  <si>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Мероприятие 53. Строительство. Детский сад на 380 мест по адресу: Московская область, Одинцовский район, с. Лайково (ПИР и строительство)</t>
  </si>
  <si>
    <t>2018-2020 годы</t>
  </si>
  <si>
    <t xml:space="preserve"> - </t>
  </si>
  <si>
    <t>Мероприятие 54. Строительство. Детский сад на 360 мест по адресу: Московская область, Одинцовский район, с. Лайково (ПИР и строительство)</t>
  </si>
  <si>
    <t>2019-2021 годы</t>
  </si>
  <si>
    <t>Мероприятие 55. Строительство. г. Одинцово, мкр. Отрадное, ул. Северная, детский сад на 280 мест</t>
  </si>
  <si>
    <t>Барвихинская средняя общеобразовательная школа по адресу:  Московская область, Одинцовский район, поселок Барвиха, дом 41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</si>
  <si>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</si>
  <si>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</si>
  <si>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</si>
  <si>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</si>
  <si>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 xml:space="preserve">     Строительство новых зданий, пристроек и реконструкция действующих зданий (9 объектов): 2017 год - 2 объекта, 2018 год - 2 объекта, 2019 год - 2 объекта, 2020 год - 3 объект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</si>
  <si>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</si>
  <si>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</si>
  <si>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Строительство новых зданий, пристроек и реконструкция действующих зданий (5 объекта):   2017 год - 1 объект, 2018 год - 2 объекта, 2020 год - 1 объект, 2021 год - 1 объект)</t>
  </si>
  <si>
    <t>в т.ч. за счет иных МБТ в форме дотаций, предоставляемых из бюджета Московской области</t>
  </si>
  <si>
    <t xml:space="preserve">Приложение № 1 к муниципальной программе </t>
  </si>
  <si>
    <t>УДАЛИТЬ МЕРОПРИЯТИЕ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</si>
  <si>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</si>
  <si>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</si>
  <si>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</si>
  <si>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 xml:space="preserve">Приложение № 4
к постановлению Администрации Одинцовского 
муниципального района Московской области
от «27» 03.2018 № 1325
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</si>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</sst>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000"/>
    <numFmt numFmtId="167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2"/>
    </font>
    <font>
      <sz val="13"/>
      <color theme="1"/>
      <name val="Times New Roman"/>
      <family val="1"/>
      <charset val="204"/>
    </font>
    <font>
      <sz val="13.2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813">
    <xf numFmtId="0" fontId="0" fillId="0" borderId="0" xfId="0"/>
    <xf numFmtId="0" fontId="0" fillId="0" borderId="0" xfId="0" applyFont="1"/>
    <xf numFmtId="0" fontId="0" fillId="12" borderId="0" xfId="0" applyFont="1" applyFill="1"/>
    <xf numFmtId="0" fontId="0" fillId="0" borderId="0" xfId="0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/>
    <xf numFmtId="0" fontId="5" fillId="2" borderId="0" xfId="1" applyFont="1" applyFill="1" applyAlignment="1"/>
    <xf numFmtId="0" fontId="6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5" fillId="3" borderId="0" xfId="7" applyNumberFormat="1" applyFont="1" applyFill="1" applyBorder="1" applyAlignment="1" applyProtection="1">
      <alignment vertical="top"/>
    </xf>
    <xf numFmtId="0" fontId="6" fillId="2" borderId="0" xfId="7" applyNumberFormat="1" applyFont="1" applyFill="1" applyBorder="1" applyAlignment="1" applyProtection="1">
      <alignment horizontal="center" vertical="top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49" fontId="7" fillId="0" borderId="26" xfId="4" applyNumberFormat="1" applyFont="1" applyFill="1" applyBorder="1" applyAlignment="1" applyProtection="1">
      <alignment horizontal="center" vertical="top"/>
    </xf>
    <xf numFmtId="49" fontId="7" fillId="0" borderId="2" xfId="4" applyNumberFormat="1" applyFont="1" applyFill="1" applyBorder="1" applyAlignment="1" applyProtection="1">
      <alignment horizontal="center" vertical="top"/>
    </xf>
    <xf numFmtId="49" fontId="7" fillId="12" borderId="2" xfId="4" applyNumberFormat="1" applyFont="1" applyFill="1" applyBorder="1" applyAlignment="1" applyProtection="1">
      <alignment horizontal="center" vertical="top"/>
    </xf>
    <xf numFmtId="49" fontId="7" fillId="0" borderId="27" xfId="4" applyNumberFormat="1" applyFont="1" applyFill="1" applyBorder="1" applyAlignment="1" applyProtection="1">
      <alignment horizontal="center" vertical="top"/>
    </xf>
    <xf numFmtId="0" fontId="7" fillId="0" borderId="2" xfId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5" fontId="7" fillId="12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7" fillId="12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8" fillId="3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0" fontId="7" fillId="4" borderId="2" xfId="7" applyNumberFormat="1" applyFont="1" applyFill="1" applyBorder="1" applyAlignment="1" applyProtection="1">
      <alignment horizontal="center" vertical="center" wrapText="1"/>
    </xf>
    <xf numFmtId="165" fontId="7" fillId="4" borderId="2" xfId="7" applyNumberFormat="1" applyFont="1" applyFill="1" applyBorder="1" applyAlignment="1" applyProtection="1">
      <alignment horizontal="center" vertical="center" wrapText="1"/>
    </xf>
    <xf numFmtId="165" fontId="7" fillId="12" borderId="2" xfId="7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/>
    <xf numFmtId="0" fontId="7" fillId="4" borderId="2" xfId="1" applyFont="1" applyFill="1" applyBorder="1" applyAlignment="1">
      <alignment horizontal="center" vertical="center" wrapText="1"/>
    </xf>
    <xf numFmtId="165" fontId="7" fillId="4" borderId="2" xfId="1" applyNumberFormat="1" applyFont="1" applyFill="1" applyBorder="1" applyAlignment="1">
      <alignment horizontal="center" vertical="center" wrapText="1"/>
    </xf>
    <xf numFmtId="0" fontId="0" fillId="8" borderId="0" xfId="0" applyFont="1" applyFill="1"/>
    <xf numFmtId="49" fontId="7" fillId="4" borderId="16" xfId="7" applyNumberFormat="1" applyFont="1" applyFill="1" applyBorder="1" applyAlignment="1" applyProtection="1">
      <alignment horizontal="center" vertical="top"/>
    </xf>
    <xf numFmtId="16" fontId="7" fillId="4" borderId="8" xfId="7" applyNumberFormat="1" applyFont="1" applyFill="1" applyBorder="1" applyAlignment="1" applyProtection="1">
      <alignment horizontal="left" vertical="top" wrapText="1"/>
    </xf>
    <xf numFmtId="0" fontId="8" fillId="4" borderId="8" xfId="7" applyNumberFormat="1" applyFont="1" applyFill="1" applyBorder="1" applyAlignment="1" applyProtection="1">
      <alignment horizontal="center" vertical="center" wrapText="1"/>
    </xf>
    <xf numFmtId="0" fontId="8" fillId="4" borderId="34" xfId="7" applyNumberFormat="1" applyFont="1" applyFill="1" applyBorder="1" applyAlignment="1" applyProtection="1">
      <alignment horizontal="center" wrapText="1"/>
    </xf>
    <xf numFmtId="49" fontId="7" fillId="4" borderId="26" xfId="7" applyNumberFormat="1" applyFont="1" applyFill="1" applyBorder="1" applyAlignment="1" applyProtection="1">
      <alignment horizontal="center" vertical="top"/>
    </xf>
    <xf numFmtId="0" fontId="7" fillId="4" borderId="2" xfId="7" applyNumberFormat="1" applyFont="1" applyFill="1" applyBorder="1" applyAlignment="1" applyProtection="1">
      <alignment horizontal="left" vertical="top" wrapText="1"/>
    </xf>
    <xf numFmtId="0" fontId="8" fillId="4" borderId="27" xfId="7" applyNumberFormat="1" applyFont="1" applyFill="1" applyBorder="1" applyAlignment="1" applyProtection="1">
      <alignment horizontal="center" vertical="center" wrapText="1"/>
    </xf>
    <xf numFmtId="0" fontId="0" fillId="7" borderId="0" xfId="0" applyFont="1" applyFill="1"/>
    <xf numFmtId="0" fontId="0" fillId="10" borderId="0" xfId="0" applyFont="1" applyFill="1"/>
    <xf numFmtId="49" fontId="8" fillId="4" borderId="8" xfId="1" applyNumberFormat="1" applyFont="1" applyFill="1" applyBorder="1" applyAlignment="1">
      <alignment horizontal="center" vertical="center" wrapText="1"/>
    </xf>
    <xf numFmtId="0" fontId="8" fillId="4" borderId="34" xfId="7" applyNumberFormat="1" applyFont="1" applyFill="1" applyBorder="1" applyAlignment="1" applyProtection="1">
      <alignment horizontal="center" vertical="center" wrapText="1"/>
    </xf>
    <xf numFmtId="165" fontId="0" fillId="7" borderId="0" xfId="0" applyNumberFormat="1" applyFont="1" applyFill="1"/>
    <xf numFmtId="165" fontId="0" fillId="8" borderId="0" xfId="0" applyNumberFormat="1" applyFont="1" applyFill="1"/>
    <xf numFmtId="49" fontId="7" fillId="4" borderId="30" xfId="7" applyNumberFormat="1" applyFont="1" applyFill="1" applyBorder="1" applyAlignment="1" applyProtection="1">
      <alignment horizontal="center" vertical="top" wrapText="1"/>
    </xf>
    <xf numFmtId="164" fontId="7" fillId="4" borderId="6" xfId="1" applyNumberFormat="1" applyFont="1" applyFill="1" applyBorder="1" applyAlignment="1">
      <alignment horizontal="left" vertical="top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31" xfId="7" applyNumberFormat="1" applyFont="1" applyFill="1" applyBorder="1" applyAlignment="1" applyProtection="1">
      <alignment horizontal="center" vertical="center" wrapText="1"/>
    </xf>
    <xf numFmtId="49" fontId="7" fillId="4" borderId="30" xfId="7" applyNumberFormat="1" applyFont="1" applyFill="1" applyBorder="1" applyAlignment="1" applyProtection="1">
      <alignment horizontal="center" vertical="top"/>
    </xf>
    <xf numFmtId="0" fontId="7" fillId="4" borderId="6" xfId="7" applyNumberFormat="1" applyFont="1" applyFill="1" applyBorder="1" applyAlignment="1" applyProtection="1">
      <alignment horizontal="left" vertical="top" wrapText="1"/>
    </xf>
    <xf numFmtId="0" fontId="8" fillId="4" borderId="6" xfId="7" applyNumberFormat="1" applyFont="1" applyFill="1" applyBorder="1" applyAlignment="1" applyProtection="1">
      <alignment horizontal="center" vertical="center" wrapText="1"/>
    </xf>
    <xf numFmtId="1" fontId="7" fillId="4" borderId="4" xfId="4" applyNumberFormat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center" wrapText="1"/>
    </xf>
    <xf numFmtId="0" fontId="0" fillId="7" borderId="0" xfId="0" applyFont="1" applyFill="1" applyAlignment="1"/>
    <xf numFmtId="49" fontId="7" fillId="4" borderId="26" xfId="7" applyNumberFormat="1" applyFont="1" applyFill="1" applyBorder="1" applyAlignment="1" applyProtection="1">
      <alignment horizontal="center" vertical="top" wrapText="1"/>
    </xf>
    <xf numFmtId="0" fontId="7" fillId="4" borderId="4" xfId="1" applyFont="1" applyFill="1" applyBorder="1" applyAlignment="1">
      <alignment vertical="top" wrapText="1"/>
    </xf>
    <xf numFmtId="49" fontId="7" fillId="4" borderId="2" xfId="7" applyNumberFormat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66" fontId="7" fillId="4" borderId="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 shrinkToFit="1"/>
    </xf>
    <xf numFmtId="49" fontId="7" fillId="4" borderId="2" xfId="4" applyNumberFormat="1" applyFont="1" applyFill="1" applyBorder="1" applyAlignment="1" applyProtection="1">
      <alignment horizontal="center" vertical="center" wrapText="1"/>
    </xf>
    <xf numFmtId="165" fontId="7" fillId="4" borderId="2" xfId="4" applyNumberFormat="1" applyFont="1" applyFill="1" applyBorder="1" applyAlignment="1" applyProtection="1">
      <alignment horizontal="center" vertical="center"/>
    </xf>
    <xf numFmtId="165" fontId="7" fillId="12" borderId="2" xfId="4" applyNumberFormat="1" applyFont="1" applyFill="1" applyBorder="1" applyAlignment="1" applyProtection="1">
      <alignment horizontal="center" vertical="center"/>
    </xf>
    <xf numFmtId="165" fontId="7" fillId="4" borderId="2" xfId="4" applyNumberFormat="1" applyFont="1" applyFill="1" applyBorder="1" applyAlignment="1" applyProtection="1">
      <alignment horizontal="center" vertical="center" wrapText="1"/>
    </xf>
    <xf numFmtId="49" fontId="7" fillId="4" borderId="32" xfId="4" applyNumberFormat="1" applyFont="1" applyFill="1" applyBorder="1" applyAlignment="1" applyProtection="1">
      <alignment horizontal="center" vertical="top"/>
    </xf>
    <xf numFmtId="49" fontId="7" fillId="4" borderId="7" xfId="4" applyNumberFormat="1" applyFont="1" applyFill="1" applyBorder="1" applyAlignment="1" applyProtection="1">
      <alignment horizontal="left" vertical="top" wrapText="1"/>
    </xf>
    <xf numFmtId="49" fontId="7" fillId="4" borderId="7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4" fontId="10" fillId="4" borderId="2" xfId="4" applyNumberFormat="1" applyFont="1" applyFill="1" applyBorder="1" applyAlignment="1" applyProtection="1">
      <alignment horizontal="center" vertical="center" wrapText="1"/>
    </xf>
    <xf numFmtId="49" fontId="7" fillId="4" borderId="2" xfId="4" applyNumberFormat="1" applyFont="1" applyFill="1" applyBorder="1" applyAlignment="1" applyProtection="1">
      <alignment horizontal="center" vertical="top"/>
    </xf>
    <xf numFmtId="49" fontId="7" fillId="4" borderId="2" xfId="4" applyNumberFormat="1" applyFont="1" applyFill="1" applyBorder="1" applyAlignment="1" applyProtection="1">
      <alignment horizontal="left" vertical="top" wrapText="1"/>
    </xf>
    <xf numFmtId="164" fontId="8" fillId="4" borderId="2" xfId="4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 applyProtection="1">
      <alignment horizontal="center" vertical="center" wrapText="1"/>
    </xf>
    <xf numFmtId="165" fontId="8" fillId="4" borderId="2" xfId="1" applyNumberFormat="1" applyFont="1" applyFill="1" applyBorder="1" applyAlignment="1" applyProtection="1">
      <alignment horizontal="center" vertical="center" wrapText="1"/>
    </xf>
    <xf numFmtId="165" fontId="7" fillId="12" borderId="2" xfId="1" applyNumberFormat="1" applyFont="1" applyFill="1" applyBorder="1" applyAlignment="1" applyProtection="1">
      <alignment horizontal="center" vertical="center" wrapText="1"/>
    </xf>
    <xf numFmtId="4" fontId="8" fillId="4" borderId="2" xfId="1" applyNumberFormat="1" applyFont="1" applyFill="1" applyBorder="1" applyAlignment="1" applyProtection="1">
      <alignment horizontal="center" vertical="center" wrapText="1"/>
    </xf>
    <xf numFmtId="165" fontId="5" fillId="4" borderId="2" xfId="1" applyNumberFormat="1" applyFont="1" applyFill="1" applyBorder="1" applyAlignment="1" applyProtection="1">
      <alignment horizontal="center" vertical="center" wrapText="1"/>
    </xf>
    <xf numFmtId="49" fontId="7" fillId="4" borderId="2" xfId="1" applyNumberFormat="1" applyFont="1" applyFill="1" applyBorder="1" applyAlignment="1" applyProtection="1">
      <alignment horizontal="center" vertical="top" wrapText="1"/>
    </xf>
    <xf numFmtId="0" fontId="7" fillId="4" borderId="2" xfId="1" applyNumberFormat="1" applyFont="1" applyFill="1" applyBorder="1" applyAlignment="1" applyProtection="1">
      <alignment horizontal="left" vertical="top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165" fontId="7" fillId="12" borderId="6" xfId="1" applyNumberFormat="1" applyFont="1" applyFill="1" applyBorder="1" applyAlignment="1" applyProtection="1">
      <alignment horizontal="center" vertical="center" wrapText="1"/>
    </xf>
    <xf numFmtId="165" fontId="8" fillId="4" borderId="3" xfId="1" applyNumberFormat="1" applyFont="1" applyFill="1" applyBorder="1" applyAlignment="1" applyProtection="1">
      <alignment horizontal="center" vertical="center" wrapText="1"/>
    </xf>
    <xf numFmtId="165" fontId="7" fillId="5" borderId="2" xfId="7" applyNumberFormat="1" applyFont="1" applyFill="1" applyBorder="1" applyAlignment="1" applyProtection="1">
      <alignment horizontal="right" vertical="center" wrapText="1"/>
    </xf>
    <xf numFmtId="0" fontId="8" fillId="5" borderId="2" xfId="1" applyFont="1" applyFill="1" applyBorder="1"/>
    <xf numFmtId="0" fontId="8" fillId="5" borderId="27" xfId="1" applyFont="1" applyFill="1" applyBorder="1" applyAlignment="1">
      <alignment vertical="center"/>
    </xf>
    <xf numFmtId="165" fontId="7" fillId="0" borderId="2" xfId="7" applyNumberFormat="1" applyFont="1" applyFill="1" applyBorder="1" applyAlignment="1" applyProtection="1">
      <alignment horizontal="right" vertical="center" wrapText="1"/>
    </xf>
    <xf numFmtId="0" fontId="8" fillId="0" borderId="2" xfId="1" applyFont="1" applyFill="1" applyBorder="1"/>
    <xf numFmtId="0" fontId="8" fillId="0" borderId="2" xfId="1" applyFont="1" applyBorder="1" applyAlignment="1">
      <alignment vertical="center"/>
    </xf>
    <xf numFmtId="165" fontId="7" fillId="0" borderId="2" xfId="1" applyNumberFormat="1" applyFont="1" applyFill="1" applyBorder="1" applyAlignment="1">
      <alignment horizontal="right" vertical="center"/>
    </xf>
    <xf numFmtId="0" fontId="9" fillId="0" borderId="0" xfId="0" applyFont="1"/>
    <xf numFmtId="165" fontId="0" fillId="12" borderId="0" xfId="0" applyNumberFormat="1" applyFont="1" applyFill="1"/>
    <xf numFmtId="165" fontId="0" fillId="0" borderId="0" xfId="0" applyNumberFormat="1" applyFont="1" applyFill="1"/>
    <xf numFmtId="165" fontId="9" fillId="0" borderId="0" xfId="0" applyNumberFormat="1" applyFont="1" applyFill="1"/>
    <xf numFmtId="165" fontId="9" fillId="12" borderId="0" xfId="0" applyNumberFormat="1" applyFont="1" applyFill="1"/>
    <xf numFmtId="0" fontId="5" fillId="12" borderId="0" xfId="1" applyFont="1" applyFill="1"/>
    <xf numFmtId="0" fontId="1" fillId="0" borderId="0" xfId="0" applyFont="1"/>
    <xf numFmtId="0" fontId="5" fillId="1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164" fontId="6" fillId="2" borderId="0" xfId="4" applyNumberFormat="1" applyFont="1" applyFill="1" applyBorder="1" applyAlignment="1" applyProtection="1">
      <alignment horizontal="center" vertical="center" wrapText="1"/>
    </xf>
    <xf numFmtId="0" fontId="12" fillId="2" borderId="0" xfId="4" applyNumberFormat="1" applyFont="1" applyFill="1" applyBorder="1" applyAlignment="1" applyProtection="1">
      <alignment vertical="top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165" fontId="8" fillId="0" borderId="6" xfId="4" applyNumberFormat="1" applyFont="1" applyFill="1" applyBorder="1" applyAlignment="1" applyProtection="1">
      <alignment horizontal="center" vertical="center"/>
    </xf>
    <xf numFmtId="165" fontId="8" fillId="0" borderId="2" xfId="4" applyNumberFormat="1" applyFont="1" applyFill="1" applyBorder="1" applyAlignment="1" applyProtection="1">
      <alignment horizontal="center" vertical="center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/>
    <xf numFmtId="0" fontId="1" fillId="7" borderId="0" xfId="0" applyFont="1" applyFill="1"/>
    <xf numFmtId="49" fontId="7" fillId="4" borderId="8" xfId="4" applyNumberFormat="1" applyFont="1" applyFill="1" applyBorder="1" applyAlignment="1" applyProtection="1">
      <alignment horizontal="center" vertical="center" wrapText="1"/>
    </xf>
    <xf numFmtId="0" fontId="1" fillId="8" borderId="0" xfId="0" applyFont="1" applyFill="1"/>
    <xf numFmtId="49" fontId="7" fillId="4" borderId="30" xfId="4" applyNumberFormat="1" applyFont="1" applyFill="1" applyBorder="1" applyAlignment="1" applyProtection="1">
      <alignment horizontal="center" vertical="top" wrapText="1"/>
    </xf>
    <xf numFmtId="0" fontId="7" fillId="4" borderId="6" xfId="4" quotePrefix="1" applyNumberFormat="1" applyFont="1" applyFill="1" applyBorder="1" applyAlignment="1" applyProtection="1">
      <alignment horizontal="left" vertical="top" wrapText="1"/>
    </xf>
    <xf numFmtId="49" fontId="8" fillId="4" borderId="6" xfId="4" applyNumberFormat="1" applyFont="1" applyFill="1" applyBorder="1" applyAlignment="1" applyProtection="1">
      <alignment horizontal="center" vertical="center" wrapText="1"/>
    </xf>
    <xf numFmtId="0" fontId="8" fillId="4" borderId="2" xfId="10" applyFont="1" applyFill="1" applyBorder="1" applyAlignment="1">
      <alignment horizontal="center" vertical="center" wrapText="1"/>
    </xf>
    <xf numFmtId="49" fontId="7" fillId="4" borderId="26" xfId="4" applyNumberFormat="1" applyFont="1" applyFill="1" applyBorder="1" applyAlignment="1" applyProtection="1">
      <alignment horizontal="center" vertical="top"/>
    </xf>
    <xf numFmtId="0" fontId="7" fillId="4" borderId="2" xfId="4" applyNumberFormat="1" applyFont="1" applyFill="1" applyBorder="1" applyAlignment="1" applyProtection="1">
      <alignment horizontal="left" vertical="top" wrapText="1"/>
    </xf>
    <xf numFmtId="0" fontId="8" fillId="4" borderId="27" xfId="10" applyFont="1" applyFill="1" applyBorder="1" applyAlignment="1">
      <alignment horizontal="center" vertical="center" wrapText="1"/>
    </xf>
    <xf numFmtId="49" fontId="7" fillId="4" borderId="26" xfId="4" applyNumberFormat="1" applyFont="1" applyFill="1" applyBorder="1" applyAlignment="1" applyProtection="1">
      <alignment horizontal="center" vertical="top" wrapText="1"/>
    </xf>
    <xf numFmtId="0" fontId="8" fillId="4" borderId="31" xfId="10" applyFont="1" applyFill="1" applyBorder="1" applyAlignment="1">
      <alignment horizontal="center" vertical="center" wrapText="1"/>
    </xf>
    <xf numFmtId="0" fontId="7" fillId="4" borderId="6" xfId="4" applyNumberFormat="1" applyFont="1" applyFill="1" applyBorder="1" applyAlignment="1" applyProtection="1">
      <alignment horizontal="left" vertical="top" wrapText="1"/>
    </xf>
    <xf numFmtId="49" fontId="7" fillId="4" borderId="6" xfId="4" applyNumberFormat="1" applyFont="1" applyFill="1" applyBorder="1" applyAlignment="1" applyProtection="1">
      <alignment horizontal="center" vertical="center" wrapText="1"/>
    </xf>
    <xf numFmtId="165" fontId="7" fillId="4" borderId="6" xfId="4" applyNumberFormat="1" applyFont="1" applyFill="1" applyBorder="1" applyAlignment="1" applyProtection="1">
      <alignment horizontal="center" vertical="center"/>
    </xf>
    <xf numFmtId="49" fontId="8" fillId="4" borderId="8" xfId="4" applyNumberFormat="1" applyFont="1" applyFill="1" applyBorder="1" applyAlignment="1" applyProtection="1">
      <alignment horizontal="center" vertical="center" wrapText="1"/>
    </xf>
    <xf numFmtId="164" fontId="8" fillId="4" borderId="31" xfId="4" applyNumberFormat="1" applyFont="1" applyFill="1" applyBorder="1" applyAlignment="1" applyProtection="1">
      <alignment horizontal="center" vertical="center" wrapText="1"/>
    </xf>
    <xf numFmtId="164" fontId="8" fillId="4" borderId="27" xfId="4" applyNumberFormat="1" applyFont="1" applyFill="1" applyBorder="1" applyAlignment="1" applyProtection="1">
      <alignment horizontal="center" vertical="center" wrapText="1"/>
    </xf>
    <xf numFmtId="165" fontId="7" fillId="4" borderId="6" xfId="4" applyNumberFormat="1" applyFont="1" applyFill="1" applyBorder="1" applyAlignment="1" applyProtection="1">
      <alignment horizontal="center" vertical="center" wrapText="1"/>
    </xf>
    <xf numFmtId="0" fontId="7" fillId="4" borderId="8" xfId="7" applyNumberFormat="1" applyFont="1" applyFill="1" applyBorder="1" applyAlignment="1" applyProtection="1">
      <alignment horizontal="center" vertical="center" wrapText="1"/>
    </xf>
    <xf numFmtId="165" fontId="7" fillId="4" borderId="8" xfId="1" applyNumberFormat="1" applyFont="1" applyFill="1" applyBorder="1" applyAlignment="1">
      <alignment horizontal="center" vertical="center" wrapText="1"/>
    </xf>
    <xf numFmtId="165" fontId="7" fillId="4" borderId="8" xfId="4" applyNumberFormat="1" applyFont="1" applyFill="1" applyBorder="1" applyAlignment="1" applyProtection="1">
      <alignment horizontal="center" vertical="center"/>
    </xf>
    <xf numFmtId="165" fontId="7" fillId="12" borderId="8" xfId="4" applyNumberFormat="1" applyFont="1" applyFill="1" applyBorder="1" applyAlignment="1" applyProtection="1">
      <alignment horizontal="center" vertical="center"/>
    </xf>
    <xf numFmtId="0" fontId="11" fillId="11" borderId="0" xfId="0" applyFont="1" applyFill="1"/>
    <xf numFmtId="164" fontId="7" fillId="4" borderId="2" xfId="10" applyNumberFormat="1" applyFont="1" applyFill="1" applyBorder="1" applyAlignment="1">
      <alignment horizontal="left" vertical="top" wrapText="1"/>
    </xf>
    <xf numFmtId="165" fontId="7" fillId="4" borderId="2" xfId="4" applyNumberFormat="1" applyFont="1" applyFill="1" applyBorder="1" applyAlignment="1">
      <alignment horizontal="center" vertical="center" wrapText="1"/>
    </xf>
    <xf numFmtId="165" fontId="7" fillId="4" borderId="2" xfId="11" applyNumberFormat="1" applyFont="1" applyFill="1" applyBorder="1" applyAlignment="1" applyProtection="1">
      <alignment horizontal="center" vertical="center" wrapText="1"/>
    </xf>
    <xf numFmtId="0" fontId="1" fillId="10" borderId="0" xfId="0" applyFont="1" applyFill="1"/>
    <xf numFmtId="0" fontId="7" fillId="4" borderId="4" xfId="7" applyNumberFormat="1" applyFont="1" applyFill="1" applyBorder="1" applyAlignment="1" applyProtection="1">
      <alignment horizontal="center" vertical="center" wrapText="1"/>
    </xf>
    <xf numFmtId="49" fontId="7" fillId="4" borderId="26" xfId="2" applyNumberFormat="1" applyFont="1" applyFill="1" applyBorder="1" applyAlignment="1" applyProtection="1">
      <alignment horizontal="center" vertical="top"/>
    </xf>
    <xf numFmtId="0" fontId="7" fillId="4" borderId="2" xfId="2" applyNumberFormat="1" applyFont="1" applyFill="1" applyBorder="1" applyAlignment="1" applyProtection="1">
      <alignment vertical="top" wrapText="1"/>
    </xf>
    <xf numFmtId="49" fontId="7" fillId="4" borderId="2" xfId="2" applyNumberFormat="1" applyFont="1" applyFill="1" applyBorder="1" applyAlignment="1" applyProtection="1">
      <alignment horizontal="center" vertical="center" wrapText="1"/>
    </xf>
    <xf numFmtId="165" fontId="7" fillId="4" borderId="2" xfId="2" applyNumberFormat="1" applyFont="1" applyFill="1" applyBorder="1" applyAlignment="1" applyProtection="1">
      <alignment horizontal="center" vertical="center"/>
    </xf>
    <xf numFmtId="165" fontId="7" fillId="12" borderId="2" xfId="2" applyNumberFormat="1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7" fillId="4" borderId="2" xfId="2" applyNumberFormat="1" applyFont="1" applyFill="1" applyBorder="1" applyAlignment="1" applyProtection="1">
      <alignment horizontal="center" vertical="center" wrapText="1"/>
    </xf>
    <xf numFmtId="0" fontId="7" fillId="4" borderId="2" xfId="2" applyNumberFormat="1" applyFont="1" applyFill="1" applyBorder="1" applyAlignment="1" applyProtection="1">
      <alignment horizontal="left" vertical="top" wrapText="1"/>
    </xf>
    <xf numFmtId="49" fontId="7" fillId="4" borderId="16" xfId="2" applyNumberFormat="1" applyFont="1" applyFill="1" applyBorder="1" applyAlignment="1" applyProtection="1">
      <alignment horizontal="center" vertical="top"/>
    </xf>
    <xf numFmtId="0" fontId="7" fillId="4" borderId="8" xfId="2" applyNumberFormat="1" applyFont="1" applyFill="1" applyBorder="1" applyAlignment="1" applyProtection="1">
      <alignment horizontal="left" vertical="top" wrapText="1"/>
    </xf>
    <xf numFmtId="0" fontId="7" fillId="4" borderId="8" xfId="2" applyNumberFormat="1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165" fontId="8" fillId="0" borderId="2" xfId="3" applyNumberFormat="1" applyFont="1" applyFill="1" applyBorder="1" applyAlignment="1" applyProtection="1">
      <alignment horizontal="center" vertical="center" wrapText="1"/>
    </xf>
    <xf numFmtId="165" fontId="7" fillId="12" borderId="2" xfId="3" applyNumberFormat="1" applyFont="1" applyFill="1" applyBorder="1" applyAlignment="1" applyProtection="1">
      <alignment horizontal="center" vertical="center" wrapText="1"/>
    </xf>
    <xf numFmtId="0" fontId="13" fillId="0" borderId="27" xfId="3" applyNumberFormat="1" applyFont="1" applyFill="1" applyBorder="1" applyAlignment="1" applyProtection="1">
      <alignment horizontal="center" vertical="top" wrapText="1"/>
    </xf>
    <xf numFmtId="49" fontId="13" fillId="4" borderId="30" xfId="3" applyNumberFormat="1" applyFont="1" applyFill="1" applyBorder="1" applyAlignment="1" applyProtection="1">
      <alignment horizontal="center" vertical="top" wrapText="1"/>
    </xf>
    <xf numFmtId="0" fontId="13" fillId="4" borderId="2" xfId="3" applyNumberFormat="1" applyFont="1" applyFill="1" applyBorder="1" applyAlignment="1" applyProtection="1">
      <alignment horizontal="left" vertical="top" wrapText="1"/>
    </xf>
    <xf numFmtId="165" fontId="13" fillId="4" borderId="2" xfId="3" applyNumberFormat="1" applyFont="1" applyFill="1" applyBorder="1" applyAlignment="1" applyProtection="1">
      <alignment horizontal="center" vertical="center" wrapText="1"/>
    </xf>
    <xf numFmtId="165" fontId="13" fillId="12" borderId="2" xfId="3" applyNumberFormat="1" applyFont="1" applyFill="1" applyBorder="1" applyAlignment="1" applyProtection="1">
      <alignment horizontal="center" vertical="center" wrapText="1"/>
    </xf>
    <xf numFmtId="49" fontId="13" fillId="4" borderId="26" xfId="3" applyNumberFormat="1" applyFont="1" applyFill="1" applyBorder="1" applyAlignment="1" applyProtection="1">
      <alignment horizontal="center" vertical="top" wrapText="1"/>
    </xf>
    <xf numFmtId="0" fontId="13" fillId="4" borderId="8" xfId="3" applyNumberFormat="1" applyFont="1" applyFill="1" applyBorder="1" applyAlignment="1" applyProtection="1">
      <alignment horizontal="left" vertical="top" wrapText="1"/>
    </xf>
    <xf numFmtId="165" fontId="13" fillId="4" borderId="8" xfId="3" applyNumberFormat="1" applyFont="1" applyFill="1" applyBorder="1" applyAlignment="1" applyProtection="1">
      <alignment horizontal="center" vertical="center" wrapText="1"/>
    </xf>
    <xf numFmtId="165" fontId="13" fillId="12" borderId="8" xfId="3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3" borderId="2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7" fillId="1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5" fontId="8" fillId="4" borderId="3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/>
    </xf>
    <xf numFmtId="165" fontId="7" fillId="12" borderId="2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165" fontId="7" fillId="12" borderId="3" xfId="0" applyNumberFormat="1" applyFont="1" applyFill="1" applyBorder="1" applyAlignment="1">
      <alignment horizontal="center" vertical="center"/>
    </xf>
    <xf numFmtId="165" fontId="8" fillId="4" borderId="1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165" fontId="7" fillId="5" borderId="2" xfId="4" applyNumberFormat="1" applyFont="1" applyFill="1" applyBorder="1" applyAlignment="1">
      <alignment horizontal="right" vertical="center" wrapText="1"/>
    </xf>
    <xf numFmtId="0" fontId="8" fillId="5" borderId="2" xfId="4" applyNumberFormat="1" applyFont="1" applyFill="1" applyBorder="1" applyAlignment="1">
      <alignment horizontal="left" vertical="top" wrapText="1" indent="1"/>
    </xf>
    <xf numFmtId="0" fontId="7" fillId="5" borderId="2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>
      <alignment horizontal="left" vertical="top" wrapText="1" indent="1"/>
    </xf>
    <xf numFmtId="0" fontId="7" fillId="0" borderId="2" xfId="4" applyNumberFormat="1" applyFont="1" applyFill="1" applyBorder="1" applyAlignment="1">
      <alignment horizontal="left" vertical="top" wrapText="1" indent="1"/>
    </xf>
    <xf numFmtId="165" fontId="8" fillId="0" borderId="2" xfId="4" applyNumberFormat="1" applyFont="1" applyFill="1" applyBorder="1" applyAlignment="1">
      <alignment horizontal="left" vertical="top" wrapText="1" indent="1"/>
    </xf>
    <xf numFmtId="0" fontId="6" fillId="0" borderId="0" xfId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165" fontId="6" fillId="12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165" fontId="1" fillId="12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12" borderId="0" xfId="0" applyFont="1" applyFill="1"/>
    <xf numFmtId="4" fontId="1" fillId="0" borderId="0" xfId="0" applyNumberFormat="1" applyFont="1" applyFill="1"/>
    <xf numFmtId="165" fontId="8" fillId="0" borderId="2" xfId="2" applyNumberFormat="1" applyFont="1" applyFill="1" applyBorder="1" applyAlignment="1" applyProtection="1">
      <alignment horizontal="center" vertical="center" wrapText="1"/>
    </xf>
    <xf numFmtId="165" fontId="7" fillId="12" borderId="2" xfId="2" applyNumberFormat="1" applyFont="1" applyFill="1" applyBorder="1" applyAlignment="1" applyProtection="1">
      <alignment horizontal="center" vertical="center" wrapText="1"/>
    </xf>
    <xf numFmtId="165" fontId="7" fillId="4" borderId="8" xfId="2" applyNumberFormat="1" applyFont="1" applyFill="1" applyBorder="1" applyAlignment="1" applyProtection="1">
      <alignment horizontal="center" vertical="center" wrapText="1"/>
    </xf>
    <xf numFmtId="165" fontId="7" fillId="12" borderId="8" xfId="4" applyNumberFormat="1" applyFont="1" applyFill="1" applyBorder="1" applyAlignment="1">
      <alignment horizontal="center" vertical="center" wrapText="1"/>
    </xf>
    <xf numFmtId="165" fontId="7" fillId="12" borderId="2" xfId="4" applyNumberFormat="1" applyFont="1" applyFill="1" applyBorder="1" applyAlignment="1">
      <alignment horizontal="center" vertical="center" wrapText="1"/>
    </xf>
    <xf numFmtId="165" fontId="7" fillId="4" borderId="8" xfId="4" applyNumberFormat="1" applyFont="1" applyFill="1" applyBorder="1" applyAlignment="1">
      <alignment horizontal="center" vertical="center" wrapText="1"/>
    </xf>
    <xf numFmtId="49" fontId="7" fillId="4" borderId="26" xfId="2" applyNumberFormat="1" applyFont="1" applyFill="1" applyBorder="1" applyAlignment="1" applyProtection="1">
      <alignment horizontal="center" vertical="top" wrapText="1"/>
    </xf>
    <xf numFmtId="49" fontId="8" fillId="4" borderId="2" xfId="0" applyNumberFormat="1" applyFont="1" applyFill="1" applyBorder="1" applyAlignment="1">
      <alignment horizontal="center" vertical="center" wrapText="1"/>
    </xf>
    <xf numFmtId="164" fontId="8" fillId="4" borderId="34" xfId="0" applyNumberFormat="1" applyFont="1" applyFill="1" applyBorder="1" applyAlignment="1" applyProtection="1">
      <alignment horizontal="center" vertical="center" wrapText="1"/>
    </xf>
    <xf numFmtId="49" fontId="7" fillId="4" borderId="16" xfId="2" applyNumberFormat="1" applyFont="1" applyFill="1" applyBorder="1" applyAlignment="1" applyProtection="1">
      <alignment horizontal="center" vertical="top" wrapText="1"/>
    </xf>
    <xf numFmtId="164" fontId="7" fillId="4" borderId="2" xfId="0" applyNumberFormat="1" applyFont="1" applyFill="1" applyBorder="1" applyAlignment="1">
      <alignment horizontal="left" vertical="top" wrapText="1"/>
    </xf>
    <xf numFmtId="1" fontId="7" fillId="4" borderId="4" xfId="4" applyNumberFormat="1" applyFont="1" applyFill="1" applyBorder="1" applyAlignment="1">
      <alignment horizontal="left" vertical="top" wrapText="1"/>
    </xf>
    <xf numFmtId="49" fontId="8" fillId="4" borderId="27" xfId="0" applyNumberFormat="1" applyFont="1" applyFill="1" applyBorder="1" applyAlignment="1" applyProtection="1">
      <alignment horizontal="center" vertical="center" wrapText="1"/>
    </xf>
    <xf numFmtId="49" fontId="7" fillId="4" borderId="30" xfId="2" applyNumberFormat="1" applyFont="1" applyFill="1" applyBorder="1" applyAlignment="1" applyProtection="1">
      <alignment horizontal="center" vertical="top" wrapText="1"/>
    </xf>
    <xf numFmtId="49" fontId="7" fillId="4" borderId="6" xfId="2" applyNumberFormat="1" applyFont="1" applyFill="1" applyBorder="1" applyAlignment="1" applyProtection="1">
      <alignment horizontal="left" vertical="top" wrapText="1"/>
    </xf>
    <xf numFmtId="165" fontId="7" fillId="4" borderId="2" xfId="2" applyNumberFormat="1" applyFont="1" applyFill="1" applyBorder="1" applyAlignment="1" applyProtection="1">
      <alignment horizontal="center" vertical="center" wrapText="1"/>
    </xf>
    <xf numFmtId="0" fontId="8" fillId="4" borderId="6" xfId="2" applyNumberFormat="1" applyFont="1" applyFill="1" applyBorder="1" applyAlignment="1" applyProtection="1">
      <alignment horizontal="center" vertical="center" wrapText="1"/>
    </xf>
    <xf numFmtId="0" fontId="8" fillId="4" borderId="31" xfId="0" applyNumberFormat="1" applyFont="1" applyFill="1" applyBorder="1" applyAlignment="1" applyProtection="1">
      <alignment horizontal="center" vertical="center" wrapText="1"/>
    </xf>
    <xf numFmtId="49" fontId="7" fillId="4" borderId="2" xfId="4" applyNumberFormat="1" applyFont="1" applyFill="1" applyBorder="1" applyAlignment="1" applyProtection="1">
      <alignment vertical="top" wrapText="1"/>
    </xf>
    <xf numFmtId="165" fontId="7" fillId="12" borderId="8" xfId="2" applyNumberFormat="1" applyFont="1" applyFill="1" applyBorder="1" applyAlignment="1" applyProtection="1">
      <alignment horizontal="center" vertical="center" wrapText="1"/>
    </xf>
    <xf numFmtId="0" fontId="8" fillId="4" borderId="27" xfId="0" applyNumberFormat="1" applyFont="1" applyFill="1" applyBorder="1" applyAlignment="1" applyProtection="1">
      <alignment horizontal="center" vertical="center" wrapText="1"/>
    </xf>
    <xf numFmtId="49" fontId="7" fillId="4" borderId="6" xfId="4" applyNumberFormat="1" applyFont="1" applyFill="1" applyBorder="1" applyAlignment="1" applyProtection="1">
      <alignment horizontal="left" vertical="top" wrapText="1"/>
    </xf>
    <xf numFmtId="0" fontId="7" fillId="4" borderId="7" xfId="2" applyNumberFormat="1" applyFont="1" applyFill="1" applyBorder="1" applyAlignment="1" applyProtection="1">
      <alignment horizontal="center" vertical="center" wrapText="1"/>
    </xf>
    <xf numFmtId="49" fontId="7" fillId="4" borderId="8" xfId="2" applyNumberFormat="1" applyFont="1" applyFill="1" applyBorder="1" applyAlignment="1" applyProtection="1">
      <alignment horizontal="center" vertical="center" wrapText="1"/>
    </xf>
    <xf numFmtId="165" fontId="7" fillId="4" borderId="8" xfId="4" applyNumberFormat="1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 wrapText="1"/>
    </xf>
    <xf numFmtId="0" fontId="7" fillId="4" borderId="6" xfId="2" applyNumberFormat="1" applyFont="1" applyFill="1" applyBorder="1" applyAlignment="1" applyProtection="1">
      <alignment horizontal="left" vertical="top" wrapText="1"/>
    </xf>
    <xf numFmtId="0" fontId="7" fillId="4" borderId="6" xfId="2" applyNumberFormat="1" applyFont="1" applyFill="1" applyBorder="1" applyAlignment="1" applyProtection="1">
      <alignment horizontal="center" vertical="center" wrapText="1"/>
    </xf>
    <xf numFmtId="165" fontId="7" fillId="0" borderId="2" xfId="2" applyNumberFormat="1" applyFont="1" applyFill="1" applyBorder="1" applyAlignment="1" applyProtection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center" vertical="center" wrapText="1"/>
    </xf>
    <xf numFmtId="165" fontId="7" fillId="4" borderId="7" xfId="2" applyNumberFormat="1" applyFont="1" applyFill="1" applyBorder="1" applyAlignment="1" applyProtection="1">
      <alignment horizontal="center" vertical="center" wrapText="1"/>
    </xf>
    <xf numFmtId="165" fontId="7" fillId="12" borderId="8" xfId="2" applyNumberFormat="1" applyFont="1" applyFill="1" applyBorder="1" applyAlignment="1" applyProtection="1">
      <alignment horizontal="center" vertical="center"/>
    </xf>
    <xf numFmtId="165" fontId="7" fillId="5" borderId="2" xfId="4" applyNumberFormat="1" applyFont="1" applyFill="1" applyBorder="1" applyAlignment="1" applyProtection="1">
      <alignment horizontal="right" vertical="center"/>
    </xf>
    <xf numFmtId="0" fontId="18" fillId="5" borderId="2" xfId="4" applyNumberFormat="1" applyFont="1" applyFill="1" applyBorder="1" applyAlignment="1" applyProtection="1">
      <alignment vertical="top"/>
    </xf>
    <xf numFmtId="0" fontId="18" fillId="5" borderId="27" xfId="4" applyNumberFormat="1" applyFont="1" applyFill="1" applyBorder="1" applyAlignment="1" applyProtection="1">
      <alignment vertical="top"/>
    </xf>
    <xf numFmtId="0" fontId="18" fillId="0" borderId="2" xfId="4" applyNumberFormat="1" applyFont="1" applyFill="1" applyBorder="1" applyAlignment="1" applyProtection="1">
      <alignment vertical="top"/>
    </xf>
    <xf numFmtId="0" fontId="18" fillId="0" borderId="27" xfId="4" applyNumberFormat="1" applyFont="1" applyFill="1" applyBorder="1" applyAlignment="1" applyProtection="1">
      <alignment vertical="top"/>
    </xf>
    <xf numFmtId="165" fontId="7" fillId="0" borderId="37" xfId="1" applyNumberFormat="1" applyFont="1" applyFill="1" applyBorder="1" applyAlignment="1">
      <alignment horizontal="right" vertical="center"/>
    </xf>
    <xf numFmtId="165" fontId="7" fillId="5" borderId="37" xfId="4" applyNumberFormat="1" applyFont="1" applyFill="1" applyBorder="1" applyAlignment="1" applyProtection="1">
      <alignment horizontal="right" vertical="center"/>
    </xf>
    <xf numFmtId="0" fontId="8" fillId="0" borderId="37" xfId="1" applyFont="1" applyFill="1" applyBorder="1"/>
    <xf numFmtId="0" fontId="8" fillId="0" borderId="38" xfId="1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49" fontId="8" fillId="0" borderId="26" xfId="5" applyNumberFormat="1" applyFont="1" applyFill="1" applyBorder="1" applyAlignment="1" applyProtection="1">
      <alignment horizontal="center" vertical="top"/>
    </xf>
    <xf numFmtId="0" fontId="13" fillId="0" borderId="2" xfId="3" applyNumberFormat="1" applyFont="1" applyFill="1" applyBorder="1" applyAlignment="1" applyProtection="1">
      <alignment horizontal="center" vertical="top" wrapText="1"/>
    </xf>
    <xf numFmtId="0" fontId="7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0" fontId="8" fillId="4" borderId="34" xfId="3" applyFont="1" applyFill="1" applyBorder="1" applyAlignment="1">
      <alignment horizontal="center" vertical="center" wrapText="1"/>
    </xf>
    <xf numFmtId="49" fontId="13" fillId="4" borderId="16" xfId="3" applyNumberFormat="1" applyFont="1" applyFill="1" applyBorder="1" applyAlignment="1" applyProtection="1">
      <alignment horizontal="center" vertical="top" wrapText="1"/>
    </xf>
    <xf numFmtId="0" fontId="13" fillId="4" borderId="8" xfId="3" applyNumberFormat="1" applyFont="1" applyFill="1" applyBorder="1" applyAlignment="1" applyProtection="1">
      <alignment vertical="top" wrapText="1"/>
    </xf>
    <xf numFmtId="49" fontId="7" fillId="4" borderId="26" xfId="3" applyNumberFormat="1" applyFont="1" applyFill="1" applyBorder="1" applyAlignment="1" applyProtection="1">
      <alignment horizontal="center" vertical="top" wrapText="1"/>
    </xf>
    <xf numFmtId="0" fontId="7" fillId="4" borderId="2" xfId="3" applyNumberFormat="1" applyFont="1" applyFill="1" applyBorder="1" applyAlignment="1" applyProtection="1">
      <alignment vertical="top" wrapText="1"/>
    </xf>
    <xf numFmtId="165" fontId="7" fillId="4" borderId="2" xfId="3" applyNumberFormat="1" applyFont="1" applyFill="1" applyBorder="1" applyAlignment="1" applyProtection="1">
      <alignment horizontal="center" vertical="center" wrapText="1"/>
    </xf>
    <xf numFmtId="0" fontId="7" fillId="4" borderId="3" xfId="2" applyNumberFormat="1" applyFont="1" applyFill="1" applyBorder="1" applyAlignment="1" applyProtection="1">
      <alignment horizontal="left" vertical="top" wrapText="1"/>
    </xf>
    <xf numFmtId="0" fontId="8" fillId="4" borderId="31" xfId="3" applyFont="1" applyFill="1" applyBorder="1" applyAlignment="1">
      <alignment horizontal="center" vertical="center" wrapText="1"/>
    </xf>
    <xf numFmtId="165" fontId="7" fillId="0" borderId="2" xfId="5" applyNumberFormat="1" applyFont="1" applyFill="1" applyBorder="1" applyAlignment="1" applyProtection="1">
      <alignment horizontal="center" vertical="center"/>
    </xf>
    <xf numFmtId="165" fontId="7" fillId="12" borderId="2" xfId="5" applyNumberFormat="1" applyFont="1" applyFill="1" applyBorder="1" applyAlignment="1" applyProtection="1">
      <alignment horizontal="center" vertical="center"/>
    </xf>
    <xf numFmtId="165" fontId="8" fillId="0" borderId="2" xfId="5" applyNumberFormat="1" applyFont="1" applyFill="1" applyBorder="1" applyAlignment="1" applyProtection="1">
      <alignment horizontal="center" vertical="center"/>
    </xf>
    <xf numFmtId="49" fontId="7" fillId="4" borderId="26" xfId="5" applyNumberFormat="1" applyFont="1" applyFill="1" applyBorder="1" applyAlignment="1" applyProtection="1">
      <alignment horizontal="center" vertical="top" wrapText="1"/>
    </xf>
    <xf numFmtId="49" fontId="7" fillId="4" borderId="2" xfId="5" applyNumberFormat="1" applyFont="1" applyFill="1" applyBorder="1" applyAlignment="1" applyProtection="1">
      <alignment horizontal="left" vertical="top" wrapText="1"/>
    </xf>
    <xf numFmtId="49" fontId="7" fillId="4" borderId="2" xfId="5" applyNumberFormat="1" applyFont="1" applyFill="1" applyBorder="1" applyAlignment="1" applyProtection="1">
      <alignment horizontal="center" vertical="center" wrapText="1"/>
    </xf>
    <xf numFmtId="165" fontId="7" fillId="4" borderId="2" xfId="5" applyNumberFormat="1" applyFont="1" applyFill="1" applyBorder="1" applyAlignment="1" applyProtection="1">
      <alignment horizontal="center" vertical="center" wrapText="1"/>
    </xf>
    <xf numFmtId="165" fontId="7" fillId="12" borderId="2" xfId="5" applyNumberFormat="1" applyFont="1" applyFill="1" applyBorder="1" applyAlignment="1" applyProtection="1">
      <alignment horizontal="center" vertical="center" wrapText="1"/>
    </xf>
    <xf numFmtId="49" fontId="8" fillId="4" borderId="2" xfId="5" applyNumberFormat="1" applyFont="1" applyFill="1" applyBorder="1" applyAlignment="1" applyProtection="1">
      <alignment horizontal="center" vertical="center" wrapText="1"/>
    </xf>
    <xf numFmtId="49" fontId="8" fillId="4" borderId="27" xfId="5" applyNumberFormat="1" applyFont="1" applyFill="1" applyBorder="1" applyAlignment="1" applyProtection="1">
      <alignment horizontal="center" vertical="center" wrapText="1"/>
    </xf>
    <xf numFmtId="49" fontId="7" fillId="4" borderId="2" xfId="5" applyNumberFormat="1" applyFont="1" applyFill="1" applyBorder="1" applyAlignment="1" applyProtection="1">
      <alignment vertical="top" wrapText="1"/>
    </xf>
    <xf numFmtId="49" fontId="8" fillId="4" borderId="6" xfId="5" applyNumberFormat="1" applyFont="1" applyFill="1" applyBorder="1" applyAlignment="1" applyProtection="1">
      <alignment horizontal="center" vertical="center" wrapText="1"/>
    </xf>
    <xf numFmtId="49" fontId="8" fillId="4" borderId="31" xfId="5" applyNumberFormat="1" applyFont="1" applyFill="1" applyBorder="1" applyAlignment="1" applyProtection="1">
      <alignment horizontal="center" vertical="center" wrapText="1"/>
    </xf>
    <xf numFmtId="49" fontId="7" fillId="4" borderId="26" xfId="5" applyNumberFormat="1" applyFont="1" applyFill="1" applyBorder="1" applyAlignment="1" applyProtection="1">
      <alignment horizontal="center" vertical="top"/>
    </xf>
    <xf numFmtId="0" fontId="7" fillId="4" borderId="2" xfId="5" applyNumberFormat="1" applyFont="1" applyFill="1" applyBorder="1" applyAlignment="1" applyProtection="1">
      <alignment horizontal="left" vertical="top" wrapText="1"/>
    </xf>
    <xf numFmtId="0" fontId="8" fillId="4" borderId="27" xfId="5" applyNumberFormat="1" applyFont="1" applyFill="1" applyBorder="1" applyAlignment="1" applyProtection="1">
      <alignment horizontal="center" vertical="center" wrapText="1"/>
    </xf>
    <xf numFmtId="0" fontId="7" fillId="5" borderId="27" xfId="4" applyNumberFormat="1" applyFont="1" applyFill="1" applyBorder="1" applyAlignment="1">
      <alignment horizontal="left" vertical="top" wrapText="1" indent="1"/>
    </xf>
    <xf numFmtId="0" fontId="7" fillId="0" borderId="27" xfId="4" applyNumberFormat="1" applyFont="1" applyFill="1" applyBorder="1" applyAlignment="1">
      <alignment horizontal="left" vertical="top" wrapText="1" indent="1"/>
    </xf>
    <xf numFmtId="165" fontId="7" fillId="0" borderId="37" xfId="4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2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165" fontId="5" fillId="0" borderId="0" xfId="5" applyNumberFormat="1" applyFont="1" applyFill="1" applyBorder="1" applyAlignment="1" applyProtection="1">
      <alignment horizontal="left"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9" fillId="12" borderId="0" xfId="0" applyFont="1" applyFill="1"/>
    <xf numFmtId="0" fontId="9" fillId="0" borderId="0" xfId="0" applyFont="1" applyFill="1"/>
    <xf numFmtId="4" fontId="1" fillId="12" borderId="0" xfId="0" applyNumberFormat="1" applyFont="1" applyFill="1"/>
    <xf numFmtId="4" fontId="1" fillId="0" borderId="0" xfId="0" applyNumberFormat="1" applyFont="1"/>
    <xf numFmtId="49" fontId="7" fillId="0" borderId="2" xfId="5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 wrapText="1"/>
    </xf>
    <xf numFmtId="49" fontId="7" fillId="4" borderId="30" xfId="5" applyNumberFormat="1" applyFont="1" applyFill="1" applyBorder="1" applyAlignment="1" applyProtection="1">
      <alignment horizontal="center" vertical="top"/>
    </xf>
    <xf numFmtId="0" fontId="7" fillId="4" borderId="6" xfId="3" applyNumberFormat="1" applyFont="1" applyFill="1" applyBorder="1" applyAlignment="1" applyProtection="1">
      <alignment horizontal="left" vertical="top" wrapText="1"/>
    </xf>
    <xf numFmtId="49" fontId="7" fillId="4" borderId="6" xfId="5" applyNumberFormat="1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65" fontId="7" fillId="2" borderId="2" xfId="5" applyNumberFormat="1" applyFont="1" applyFill="1" applyBorder="1" applyAlignment="1" applyProtection="1">
      <alignment horizontal="right" vertical="center"/>
    </xf>
    <xf numFmtId="165" fontId="7" fillId="5" borderId="2" xfId="5" applyNumberFormat="1" applyFont="1" applyFill="1" applyBorder="1" applyAlignment="1" applyProtection="1">
      <alignment horizontal="right" vertical="center"/>
    </xf>
    <xf numFmtId="165" fontId="7" fillId="0" borderId="2" xfId="5" applyNumberFormat="1" applyFont="1" applyFill="1" applyBorder="1" applyAlignment="1" applyProtection="1">
      <alignment horizontal="right" vertical="center"/>
    </xf>
    <xf numFmtId="0" fontId="18" fillId="0" borderId="2" xfId="5" applyNumberFormat="1" applyFont="1" applyFill="1" applyBorder="1" applyAlignment="1" applyProtection="1">
      <alignment vertical="top"/>
    </xf>
    <xf numFmtId="0" fontId="18" fillId="0" borderId="27" xfId="5" applyNumberFormat="1" applyFont="1" applyFill="1" applyBorder="1" applyAlignment="1" applyProtection="1">
      <alignment vertical="top"/>
    </xf>
    <xf numFmtId="0" fontId="8" fillId="0" borderId="27" xfId="1" applyFont="1" applyBorder="1" applyAlignment="1">
      <alignment vertical="center"/>
    </xf>
    <xf numFmtId="165" fontId="7" fillId="9" borderId="20" xfId="5" applyNumberFormat="1" applyFont="1" applyFill="1" applyBorder="1" applyAlignment="1" applyProtection="1">
      <alignment horizontal="center" vertical="center"/>
    </xf>
    <xf numFmtId="0" fontId="18" fillId="9" borderId="20" xfId="5" applyNumberFormat="1" applyFont="1" applyFill="1" applyBorder="1" applyAlignment="1" applyProtection="1">
      <alignment vertical="top"/>
    </xf>
    <xf numFmtId="0" fontId="18" fillId="9" borderId="25" xfId="5" applyNumberFormat="1" applyFont="1" applyFill="1" applyBorder="1" applyAlignment="1" applyProtection="1">
      <alignment vertical="top"/>
    </xf>
    <xf numFmtId="165" fontId="7" fillId="2" borderId="2" xfId="5" applyNumberFormat="1" applyFont="1" applyFill="1" applyBorder="1" applyAlignment="1" applyProtection="1">
      <alignment horizontal="center" vertical="center"/>
    </xf>
    <xf numFmtId="165" fontId="7" fillId="9" borderId="2" xfId="5" applyNumberFormat="1" applyFont="1" applyFill="1" applyBorder="1" applyAlignment="1" applyProtection="1">
      <alignment horizontal="center" vertical="center"/>
    </xf>
    <xf numFmtId="165" fontId="7" fillId="0" borderId="37" xfId="7" applyNumberFormat="1" applyFont="1" applyFill="1" applyBorder="1" applyAlignment="1" applyProtection="1">
      <alignment horizontal="center" vertical="center" wrapText="1"/>
    </xf>
    <xf numFmtId="165" fontId="7" fillId="9" borderId="37" xfId="5" applyNumberFormat="1" applyFont="1" applyFill="1" applyBorder="1" applyAlignment="1" applyProtection="1">
      <alignment horizontal="center" vertical="center"/>
    </xf>
    <xf numFmtId="0" fontId="18" fillId="0" borderId="0" xfId="5" applyNumberFormat="1" applyFont="1" applyFill="1" applyBorder="1" applyAlignment="1" applyProtection="1">
      <alignment vertical="top"/>
    </xf>
    <xf numFmtId="0" fontId="18" fillId="3" borderId="0" xfId="5" applyNumberFormat="1" applyFont="1" applyFill="1" applyBorder="1" applyAlignment="1" applyProtection="1">
      <alignment vertical="top"/>
    </xf>
    <xf numFmtId="165" fontId="18" fillId="0" borderId="0" xfId="5" applyNumberFormat="1" applyFont="1" applyFill="1" applyBorder="1" applyAlignment="1" applyProtection="1">
      <alignment vertical="top"/>
    </xf>
    <xf numFmtId="0" fontId="18" fillId="0" borderId="0" xfId="5" applyNumberFormat="1" applyFont="1" applyFill="1" applyBorder="1" applyAlignment="1" applyProtection="1">
      <alignment horizontal="right" vertical="top"/>
    </xf>
    <xf numFmtId="0" fontId="8" fillId="0" borderId="0" xfId="5" applyNumberFormat="1" applyFont="1" applyFill="1" applyBorder="1" applyAlignment="1" applyProtection="1">
      <alignment vertical="top"/>
    </xf>
    <xf numFmtId="0" fontId="8" fillId="3" borderId="0" xfId="5" applyNumberFormat="1" applyFont="1" applyFill="1" applyBorder="1" applyAlignment="1" applyProtection="1">
      <alignment horizontal="left" vertical="top"/>
    </xf>
    <xf numFmtId="0" fontId="8" fillId="3" borderId="1" xfId="5" applyNumberFormat="1" applyFont="1" applyFill="1" applyBorder="1" applyAlignment="1" applyProtection="1">
      <alignment vertical="top"/>
    </xf>
    <xf numFmtId="0" fontId="8" fillId="0" borderId="1" xfId="5" applyNumberFormat="1" applyFont="1" applyFill="1" applyBorder="1" applyAlignment="1" applyProtection="1">
      <alignment vertical="top"/>
    </xf>
    <xf numFmtId="165" fontId="8" fillId="0" borderId="0" xfId="5" applyNumberFormat="1" applyFont="1" applyFill="1" applyBorder="1" applyAlignment="1" applyProtection="1">
      <alignment vertical="top"/>
    </xf>
    <xf numFmtId="0" fontId="8" fillId="3" borderId="0" xfId="5" applyNumberFormat="1" applyFont="1" applyFill="1" applyBorder="1" applyAlignment="1" applyProtection="1">
      <alignment horizontal="center" vertical="top"/>
    </xf>
    <xf numFmtId="165" fontId="8" fillId="0" borderId="0" xfId="5" applyNumberFormat="1" applyFont="1" applyFill="1" applyBorder="1" applyAlignment="1" applyProtection="1">
      <alignment horizontal="center" vertical="top"/>
    </xf>
    <xf numFmtId="0" fontId="8" fillId="0" borderId="0" xfId="5" applyNumberFormat="1" applyFont="1" applyFill="1" applyBorder="1" applyAlignment="1" applyProtection="1">
      <alignment horizontal="center" vertical="top"/>
    </xf>
    <xf numFmtId="0" fontId="8" fillId="3" borderId="0" xfId="5" applyNumberFormat="1" applyFont="1" applyFill="1" applyBorder="1" applyAlignment="1" applyProtection="1">
      <alignment horizontal="center" vertical="top" wrapText="1"/>
    </xf>
    <xf numFmtId="0" fontId="8" fillId="3" borderId="0" xfId="5" applyNumberFormat="1" applyFont="1" applyFill="1" applyBorder="1" applyAlignment="1" applyProtection="1">
      <alignment vertical="top"/>
    </xf>
    <xf numFmtId="0" fontId="8" fillId="0" borderId="0" xfId="5" applyNumberFormat="1" applyFont="1" applyFill="1" applyBorder="1" applyAlignment="1" applyProtection="1">
      <alignment horizontal="left" vertical="top"/>
    </xf>
    <xf numFmtId="165" fontId="8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vertical="top"/>
    </xf>
    <xf numFmtId="165" fontId="5" fillId="7" borderId="0" xfId="5" applyNumberFormat="1" applyFont="1" applyFill="1" applyBorder="1" applyAlignment="1" applyProtection="1">
      <alignment horizontal="center" vertical="top"/>
    </xf>
    <xf numFmtId="165" fontId="9" fillId="0" borderId="0" xfId="0" applyNumberFormat="1" applyFont="1"/>
    <xf numFmtId="165" fontId="9" fillId="7" borderId="0" xfId="0" applyNumberFormat="1" applyFont="1" applyFill="1"/>
    <xf numFmtId="165" fontId="1" fillId="7" borderId="0" xfId="0" applyNumberFormat="1" applyFont="1" applyFill="1"/>
    <xf numFmtId="49" fontId="21" fillId="4" borderId="2" xfId="2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7" fillId="13" borderId="2" xfId="7" applyNumberFormat="1" applyFont="1" applyFill="1" applyBorder="1" applyAlignment="1" applyProtection="1">
      <alignment horizontal="center" vertical="center" wrapText="1"/>
    </xf>
    <xf numFmtId="49" fontId="7" fillId="13" borderId="2" xfId="4" applyNumberFormat="1" applyFont="1" applyFill="1" applyBorder="1" applyAlignment="1" applyProtection="1">
      <alignment horizontal="center" vertical="top"/>
    </xf>
    <xf numFmtId="165" fontId="7" fillId="13" borderId="2" xfId="1" applyNumberFormat="1" applyFont="1" applyFill="1" applyBorder="1" applyAlignment="1">
      <alignment horizontal="center" vertical="center"/>
    </xf>
    <xf numFmtId="165" fontId="8" fillId="13" borderId="2" xfId="1" applyNumberFormat="1" applyFont="1" applyFill="1" applyBorder="1" applyAlignment="1">
      <alignment horizontal="center" vertical="center" wrapText="1"/>
    </xf>
    <xf numFmtId="165" fontId="8" fillId="13" borderId="2" xfId="1" applyNumberFormat="1" applyFont="1" applyFill="1" applyBorder="1" applyAlignment="1">
      <alignment horizontal="center" vertical="center"/>
    </xf>
    <xf numFmtId="165" fontId="7" fillId="13" borderId="2" xfId="7" applyNumberFormat="1" applyFont="1" applyFill="1" applyBorder="1" applyAlignment="1" applyProtection="1">
      <alignment horizontal="center" vertical="center" wrapText="1"/>
    </xf>
    <xf numFmtId="165" fontId="7" fillId="13" borderId="2" xfId="1" applyNumberFormat="1" applyFont="1" applyFill="1" applyBorder="1" applyAlignment="1">
      <alignment horizontal="center" vertical="center" wrapText="1"/>
    </xf>
    <xf numFmtId="165" fontId="7" fillId="13" borderId="2" xfId="4" applyNumberFormat="1" applyFont="1" applyFill="1" applyBorder="1" applyAlignment="1" applyProtection="1">
      <alignment horizontal="center" vertical="center"/>
    </xf>
    <xf numFmtId="165" fontId="7" fillId="13" borderId="2" xfId="4" applyNumberFormat="1" applyFont="1" applyFill="1" applyBorder="1" applyAlignment="1" applyProtection="1">
      <alignment horizontal="center" vertical="center" wrapText="1"/>
    </xf>
    <xf numFmtId="165" fontId="8" fillId="13" borderId="8" xfId="1" applyNumberFormat="1" applyFont="1" applyFill="1" applyBorder="1" applyAlignment="1">
      <alignment horizontal="center" vertical="center" wrapText="1"/>
    </xf>
    <xf numFmtId="165" fontId="8" fillId="13" borderId="2" xfId="1" applyNumberFormat="1" applyFont="1" applyFill="1" applyBorder="1" applyAlignment="1" applyProtection="1">
      <alignment horizontal="center" vertical="center" wrapText="1"/>
    </xf>
    <xf numFmtId="165" fontId="5" fillId="13" borderId="2" xfId="1" applyNumberFormat="1" applyFont="1" applyFill="1" applyBorder="1" applyAlignment="1" applyProtection="1">
      <alignment horizontal="center" vertical="center" wrapText="1"/>
    </xf>
    <xf numFmtId="165" fontId="7" fillId="13" borderId="2" xfId="7" applyNumberFormat="1" applyFont="1" applyFill="1" applyBorder="1" applyAlignment="1" applyProtection="1">
      <alignment horizontal="right" vertical="center" wrapText="1"/>
    </xf>
    <xf numFmtId="165" fontId="7" fillId="13" borderId="2" xfId="1" applyNumberFormat="1" applyFont="1" applyFill="1" applyBorder="1" applyAlignment="1">
      <alignment horizontal="right" vertical="center"/>
    </xf>
    <xf numFmtId="0" fontId="7" fillId="13" borderId="2" xfId="11" applyNumberFormat="1" applyFont="1" applyFill="1" applyBorder="1" applyAlignment="1" applyProtection="1">
      <alignment horizontal="center" vertical="center" wrapText="1"/>
    </xf>
    <xf numFmtId="165" fontId="8" fillId="13" borderId="6" xfId="4" applyNumberFormat="1" applyFont="1" applyFill="1" applyBorder="1" applyAlignment="1" applyProtection="1">
      <alignment horizontal="center" vertical="center"/>
    </xf>
    <xf numFmtId="165" fontId="8" fillId="13" borderId="2" xfId="4" applyNumberFormat="1" applyFont="1" applyFill="1" applyBorder="1" applyAlignment="1" applyProtection="1">
      <alignment horizontal="center" vertical="center"/>
    </xf>
    <xf numFmtId="165" fontId="7" fillId="13" borderId="6" xfId="4" applyNumberFormat="1" applyFont="1" applyFill="1" applyBorder="1" applyAlignment="1" applyProtection="1">
      <alignment horizontal="center" vertical="center"/>
    </xf>
    <xf numFmtId="165" fontId="7" fillId="13" borderId="6" xfId="4" applyNumberFormat="1" applyFont="1" applyFill="1" applyBorder="1" applyAlignment="1" applyProtection="1">
      <alignment horizontal="center" vertical="center" wrapText="1"/>
    </xf>
    <xf numFmtId="165" fontId="7" fillId="13" borderId="2" xfId="4" applyNumberFormat="1" applyFont="1" applyFill="1" applyBorder="1" applyAlignment="1">
      <alignment horizontal="center" vertical="center" wrapText="1"/>
    </xf>
    <xf numFmtId="165" fontId="7" fillId="13" borderId="2" xfId="11" applyNumberFormat="1" applyFont="1" applyFill="1" applyBorder="1" applyAlignment="1" applyProtection="1">
      <alignment horizontal="center" vertical="center" wrapText="1"/>
    </xf>
    <xf numFmtId="165" fontId="7" fillId="13" borderId="2" xfId="2" applyNumberFormat="1" applyFont="1" applyFill="1" applyBorder="1" applyAlignment="1" applyProtection="1">
      <alignment horizontal="center" vertical="center"/>
    </xf>
    <xf numFmtId="165" fontId="8" fillId="13" borderId="2" xfId="3" applyNumberFormat="1" applyFont="1" applyFill="1" applyBorder="1" applyAlignment="1" applyProtection="1">
      <alignment horizontal="center" vertical="center" wrapText="1"/>
    </xf>
    <xf numFmtId="165" fontId="13" fillId="13" borderId="2" xfId="3" applyNumberFormat="1" applyFont="1" applyFill="1" applyBorder="1" applyAlignment="1" applyProtection="1">
      <alignment horizontal="center" vertical="center" wrapText="1"/>
    </xf>
    <xf numFmtId="165" fontId="13" fillId="13" borderId="8" xfId="3" applyNumberFormat="1" applyFont="1" applyFill="1" applyBorder="1" applyAlignment="1" applyProtection="1">
      <alignment horizontal="center" vertical="center" wrapText="1"/>
    </xf>
    <xf numFmtId="165" fontId="7" fillId="13" borderId="2" xfId="1" applyNumberFormat="1" applyFont="1" applyFill="1" applyBorder="1" applyAlignment="1" applyProtection="1">
      <alignment horizontal="center" vertical="center" wrapText="1"/>
    </xf>
    <xf numFmtId="165" fontId="8" fillId="13" borderId="2" xfId="0" applyNumberFormat="1" applyFont="1" applyFill="1" applyBorder="1" applyAlignment="1">
      <alignment horizontal="center" vertical="center" wrapText="1"/>
    </xf>
    <xf numFmtId="165" fontId="8" fillId="13" borderId="3" xfId="0" applyNumberFormat="1" applyFont="1" applyFill="1" applyBorder="1" applyAlignment="1">
      <alignment horizontal="center" vertical="center" wrapText="1"/>
    </xf>
    <xf numFmtId="4" fontId="8" fillId="13" borderId="2" xfId="0" applyNumberFormat="1" applyFont="1" applyFill="1" applyBorder="1" applyAlignment="1">
      <alignment horizontal="center" vertical="center" wrapText="1"/>
    </xf>
    <xf numFmtId="4" fontId="8" fillId="13" borderId="12" xfId="0" applyNumberFormat="1" applyFont="1" applyFill="1" applyBorder="1" applyAlignment="1">
      <alignment horizontal="center" vertical="center" wrapText="1"/>
    </xf>
    <xf numFmtId="165" fontId="8" fillId="13" borderId="12" xfId="0" applyNumberFormat="1" applyFont="1" applyFill="1" applyBorder="1" applyAlignment="1">
      <alignment horizontal="center" vertical="center"/>
    </xf>
    <xf numFmtId="165" fontId="8" fillId="13" borderId="12" xfId="0" applyNumberFormat="1" applyFont="1" applyFill="1" applyBorder="1" applyAlignment="1">
      <alignment horizontal="center" vertical="center" wrapText="1"/>
    </xf>
    <xf numFmtId="165" fontId="7" fillId="13" borderId="2" xfId="4" applyNumberFormat="1" applyFont="1" applyFill="1" applyBorder="1" applyAlignment="1">
      <alignment horizontal="right" vertical="center" wrapText="1"/>
    </xf>
    <xf numFmtId="165" fontId="7" fillId="13" borderId="2" xfId="4" applyNumberFormat="1" applyFont="1" applyFill="1" applyBorder="1" applyAlignment="1" applyProtection="1">
      <alignment horizontal="right" vertical="center"/>
    </xf>
    <xf numFmtId="49" fontId="7" fillId="13" borderId="2" xfId="2" applyNumberFormat="1" applyFont="1" applyFill="1" applyBorder="1" applyAlignment="1" applyProtection="1">
      <alignment horizontal="center" vertical="center" wrapText="1"/>
    </xf>
    <xf numFmtId="165" fontId="8" fillId="13" borderId="2" xfId="2" applyNumberFormat="1" applyFont="1" applyFill="1" applyBorder="1" applyAlignment="1" applyProtection="1">
      <alignment horizontal="center" vertical="center" wrapText="1"/>
    </xf>
    <xf numFmtId="165" fontId="7" fillId="13" borderId="8" xfId="2" applyNumberFormat="1" applyFont="1" applyFill="1" applyBorder="1" applyAlignment="1" applyProtection="1">
      <alignment horizontal="center" vertical="center" wrapText="1"/>
    </xf>
    <xf numFmtId="165" fontId="7" fillId="13" borderId="8" xfId="4" applyNumberFormat="1" applyFont="1" applyFill="1" applyBorder="1" applyAlignment="1">
      <alignment horizontal="center" vertical="center" wrapText="1"/>
    </xf>
    <xf numFmtId="165" fontId="7" fillId="13" borderId="2" xfId="2" applyNumberFormat="1" applyFont="1" applyFill="1" applyBorder="1" applyAlignment="1" applyProtection="1">
      <alignment horizontal="center" vertical="center" wrapText="1"/>
    </xf>
    <xf numFmtId="165" fontId="7" fillId="13" borderId="8" xfId="4" applyNumberFormat="1" applyFont="1" applyFill="1" applyBorder="1" applyAlignment="1" applyProtection="1">
      <alignment horizontal="center" vertical="center" wrapText="1"/>
    </xf>
    <xf numFmtId="165" fontId="8" fillId="13" borderId="8" xfId="2" applyNumberFormat="1" applyFont="1" applyFill="1" applyBorder="1" applyAlignment="1" applyProtection="1">
      <alignment horizontal="center" vertical="center" wrapText="1"/>
    </xf>
    <xf numFmtId="165" fontId="8" fillId="13" borderId="2" xfId="4" applyNumberFormat="1" applyFont="1" applyFill="1" applyBorder="1" applyAlignment="1" applyProtection="1">
      <alignment horizontal="center" vertical="center" wrapText="1"/>
    </xf>
    <xf numFmtId="165" fontId="7" fillId="13" borderId="7" xfId="2" applyNumberFormat="1" applyFont="1" applyFill="1" applyBorder="1" applyAlignment="1" applyProtection="1">
      <alignment horizontal="center" vertical="center" wrapText="1"/>
    </xf>
    <xf numFmtId="165" fontId="7" fillId="13" borderId="37" xfId="1" applyNumberFormat="1" applyFont="1" applyFill="1" applyBorder="1" applyAlignment="1">
      <alignment horizontal="right" vertical="center"/>
    </xf>
    <xf numFmtId="0" fontId="7" fillId="13" borderId="2" xfId="1" applyNumberFormat="1" applyFont="1" applyFill="1" applyBorder="1" applyAlignment="1" applyProtection="1">
      <alignment horizontal="center" vertical="center" wrapText="1"/>
    </xf>
    <xf numFmtId="165" fontId="7" fillId="13" borderId="2" xfId="3" applyNumberFormat="1" applyFont="1" applyFill="1" applyBorder="1" applyAlignment="1" applyProtection="1">
      <alignment horizontal="center" vertical="center" wrapText="1"/>
    </xf>
    <xf numFmtId="165" fontId="7" fillId="13" borderId="2" xfId="5" applyNumberFormat="1" applyFont="1" applyFill="1" applyBorder="1" applyAlignment="1" applyProtection="1">
      <alignment horizontal="center" vertical="center"/>
    </xf>
    <xf numFmtId="165" fontId="8" fillId="13" borderId="2" xfId="5" applyNumberFormat="1" applyFont="1" applyFill="1" applyBorder="1" applyAlignment="1" applyProtection="1">
      <alignment horizontal="center" vertical="center"/>
    </xf>
    <xf numFmtId="165" fontId="7" fillId="13" borderId="2" xfId="5" applyNumberFormat="1" applyFont="1" applyFill="1" applyBorder="1" applyAlignment="1" applyProtection="1">
      <alignment horizontal="center" vertical="center" wrapText="1"/>
    </xf>
    <xf numFmtId="165" fontId="7" fillId="13" borderId="37" xfId="4" applyNumberFormat="1" applyFont="1" applyFill="1" applyBorder="1" applyAlignment="1" applyProtection="1">
      <alignment horizontal="right" vertical="center"/>
    </xf>
    <xf numFmtId="165" fontId="8" fillId="13" borderId="2" xfId="5" applyNumberFormat="1" applyFont="1" applyFill="1" applyBorder="1" applyAlignment="1" applyProtection="1">
      <alignment horizontal="center" vertical="center" wrapText="1"/>
    </xf>
    <xf numFmtId="165" fontId="7" fillId="13" borderId="2" xfId="5" applyNumberFormat="1" applyFont="1" applyFill="1" applyBorder="1" applyAlignment="1" applyProtection="1">
      <alignment horizontal="right" vertical="center"/>
    </xf>
    <xf numFmtId="165" fontId="7" fillId="13" borderId="20" xfId="5" applyNumberFormat="1" applyFont="1" applyFill="1" applyBorder="1" applyAlignment="1" applyProtection="1">
      <alignment horizontal="center" vertical="center"/>
    </xf>
    <xf numFmtId="165" fontId="7" fillId="13" borderId="37" xfId="7" applyNumberFormat="1" applyFont="1" applyFill="1" applyBorder="1" applyAlignment="1" applyProtection="1">
      <alignment horizontal="center" vertical="center" wrapText="1"/>
    </xf>
    <xf numFmtId="165" fontId="21" fillId="13" borderId="2" xfId="2" applyNumberFormat="1" applyFont="1" applyFill="1" applyBorder="1" applyAlignment="1" applyProtection="1">
      <alignment horizontal="center" vertical="center"/>
    </xf>
    <xf numFmtId="0" fontId="20" fillId="7" borderId="0" xfId="0" applyFont="1" applyFill="1"/>
    <xf numFmtId="165" fontId="23" fillId="13" borderId="2" xfId="7" applyNumberFormat="1" applyFont="1" applyFill="1" applyBorder="1" applyAlignment="1" applyProtection="1">
      <alignment horizontal="center" vertical="center" wrapText="1"/>
    </xf>
    <xf numFmtId="49" fontId="21" fillId="4" borderId="16" xfId="2" applyNumberFormat="1" applyFont="1" applyFill="1" applyBorder="1" applyAlignment="1" applyProtection="1">
      <alignment horizontal="center" vertical="top"/>
    </xf>
    <xf numFmtId="0" fontId="21" fillId="4" borderId="8" xfId="2" applyNumberFormat="1" applyFont="1" applyFill="1" applyBorder="1" applyAlignment="1" applyProtection="1">
      <alignment horizontal="left" vertical="top" wrapText="1"/>
    </xf>
    <xf numFmtId="0" fontId="21" fillId="4" borderId="8" xfId="2" applyNumberFormat="1" applyFont="1" applyFill="1" applyBorder="1" applyAlignment="1" applyProtection="1">
      <alignment horizontal="center" vertical="center" wrapText="1"/>
    </xf>
    <xf numFmtId="165" fontId="21" fillId="4" borderId="2" xfId="2" applyNumberFormat="1" applyFont="1" applyFill="1" applyBorder="1" applyAlignment="1" applyProtection="1">
      <alignment horizontal="center" vertical="center"/>
    </xf>
    <xf numFmtId="165" fontId="21" fillId="12" borderId="2" xfId="2" applyNumberFormat="1" applyFont="1" applyFill="1" applyBorder="1" applyAlignment="1" applyProtection="1">
      <alignment horizontal="center" vertical="center"/>
    </xf>
    <xf numFmtId="165" fontId="21" fillId="4" borderId="2" xfId="4" applyNumberFormat="1" applyFont="1" applyFill="1" applyBorder="1" applyAlignment="1" applyProtection="1">
      <alignment horizontal="center" vertical="center" wrapText="1"/>
    </xf>
    <xf numFmtId="49" fontId="22" fillId="4" borderId="8" xfId="4" applyNumberFormat="1" applyFont="1" applyFill="1" applyBorder="1" applyAlignment="1" applyProtection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4" fontId="5" fillId="13" borderId="3" xfId="0" applyNumberFormat="1" applyFont="1" applyFill="1" applyBorder="1" applyAlignment="1">
      <alignment horizontal="center" vertical="center" wrapText="1"/>
    </xf>
    <xf numFmtId="165" fontId="5" fillId="13" borderId="12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0" fontId="25" fillId="2" borderId="0" xfId="1" applyFont="1" applyFill="1"/>
    <xf numFmtId="0" fontId="25" fillId="2" borderId="0" xfId="1" applyFont="1" applyFill="1" applyAlignment="1">
      <alignment horizontal="center" vertical="center"/>
    </xf>
    <xf numFmtId="0" fontId="25" fillId="3" borderId="0" xfId="1" applyFont="1" applyFill="1"/>
    <xf numFmtId="0" fontId="25" fillId="0" borderId="0" xfId="1" applyFont="1" applyFill="1" applyAlignment="1"/>
    <xf numFmtId="0" fontId="25" fillId="2" borderId="0" xfId="1" applyFont="1" applyFill="1" applyAlignment="1"/>
    <xf numFmtId="0" fontId="26" fillId="2" borderId="0" xfId="7" applyNumberFormat="1" applyFont="1" applyFill="1" applyBorder="1" applyAlignment="1" applyProtection="1">
      <alignment vertical="top"/>
    </xf>
    <xf numFmtId="0" fontId="25" fillId="2" borderId="0" xfId="7" applyNumberFormat="1" applyFont="1" applyFill="1" applyBorder="1" applyAlignment="1" applyProtection="1">
      <alignment horizontal="center" vertical="center"/>
    </xf>
    <xf numFmtId="0" fontId="25" fillId="2" borderId="0" xfId="7" applyNumberFormat="1" applyFont="1" applyFill="1" applyBorder="1" applyAlignment="1" applyProtection="1">
      <alignment vertical="top"/>
    </xf>
    <xf numFmtId="0" fontId="23" fillId="3" borderId="0" xfId="7" applyNumberFormat="1" applyFont="1" applyFill="1" applyBorder="1" applyAlignment="1" applyProtection="1">
      <alignment horizontal="center" vertical="top"/>
    </xf>
    <xf numFmtId="0" fontId="25" fillId="2" borderId="0" xfId="7" applyNumberFormat="1" applyFont="1" applyFill="1" applyBorder="1" applyAlignment="1" applyProtection="1">
      <alignment vertical="top" wrapText="1"/>
    </xf>
    <xf numFmtId="0" fontId="25" fillId="0" borderId="0" xfId="7" applyNumberFormat="1" applyFont="1" applyFill="1" applyBorder="1" applyAlignment="1" applyProtection="1">
      <alignment vertical="top" wrapText="1"/>
    </xf>
    <xf numFmtId="0" fontId="25" fillId="3" borderId="0" xfId="7" applyNumberFormat="1" applyFont="1" applyFill="1" applyBorder="1" applyAlignment="1" applyProtection="1">
      <alignment vertical="top"/>
    </xf>
    <xf numFmtId="165" fontId="23" fillId="13" borderId="2" xfId="4" applyNumberFormat="1" applyFont="1" applyFill="1" applyBorder="1" applyAlignment="1" applyProtection="1">
      <alignment horizontal="center" vertical="center"/>
    </xf>
    <xf numFmtId="165" fontId="23" fillId="13" borderId="6" xfId="4" applyNumberFormat="1" applyFont="1" applyFill="1" applyBorder="1" applyAlignment="1" applyProtection="1">
      <alignment horizontal="center" vertical="center"/>
    </xf>
    <xf numFmtId="165" fontId="23" fillId="13" borderId="2" xfId="4" applyNumberFormat="1" applyFont="1" applyFill="1" applyBorder="1" applyAlignment="1" applyProtection="1">
      <alignment horizontal="center" vertical="center" wrapText="1"/>
    </xf>
    <xf numFmtId="165" fontId="23" fillId="13" borderId="8" xfId="4" applyNumberFormat="1" applyFont="1" applyFill="1" applyBorder="1" applyAlignment="1" applyProtection="1">
      <alignment horizontal="center" vertical="center"/>
    </xf>
    <xf numFmtId="165" fontId="23" fillId="4" borderId="2" xfId="7" applyNumberFormat="1" applyFont="1" applyFill="1" applyBorder="1" applyAlignment="1" applyProtection="1">
      <alignment horizontal="center" vertical="center" wrapText="1"/>
    </xf>
    <xf numFmtId="165" fontId="23" fillId="13" borderId="2" xfId="1" applyNumberFormat="1" applyFont="1" applyFill="1" applyBorder="1" applyAlignment="1">
      <alignment horizontal="center" vertical="center" wrapText="1"/>
    </xf>
    <xf numFmtId="165" fontId="23" fillId="13" borderId="2" xfId="2" applyNumberFormat="1" applyFont="1" applyFill="1" applyBorder="1" applyAlignment="1" applyProtection="1">
      <alignment horizontal="center" vertical="center"/>
    </xf>
    <xf numFmtId="165" fontId="24" fillId="4" borderId="2" xfId="1" applyNumberFormat="1" applyFont="1" applyFill="1" applyBorder="1" applyAlignment="1" applyProtection="1">
      <alignment horizontal="center" vertical="center" wrapText="1"/>
    </xf>
    <xf numFmtId="165" fontId="24" fillId="4" borderId="2" xfId="0" applyNumberFormat="1" applyFont="1" applyFill="1" applyBorder="1" applyAlignment="1">
      <alignment horizontal="center" vertical="center" wrapText="1"/>
    </xf>
    <xf numFmtId="4" fontId="24" fillId="4" borderId="6" xfId="0" applyNumberFormat="1" applyFont="1" applyFill="1" applyBorder="1" applyAlignment="1">
      <alignment horizontal="center" vertical="center" wrapText="1"/>
    </xf>
    <xf numFmtId="4" fontId="24" fillId="4" borderId="2" xfId="0" applyNumberFormat="1" applyFont="1" applyFill="1" applyBorder="1" applyAlignment="1">
      <alignment horizontal="center" vertical="center" wrapText="1"/>
    </xf>
    <xf numFmtId="4" fontId="24" fillId="13" borderId="2" xfId="0" applyNumberFormat="1" applyFont="1" applyFill="1" applyBorder="1" applyAlignment="1">
      <alignment horizontal="center" vertical="center" wrapText="1"/>
    </xf>
    <xf numFmtId="165" fontId="24" fillId="4" borderId="6" xfId="0" applyNumberFormat="1" applyFont="1" applyFill="1" applyBorder="1" applyAlignment="1">
      <alignment horizontal="center" vertical="center" wrapText="1"/>
    </xf>
    <xf numFmtId="165" fontId="23" fillId="13" borderId="8" xfId="4" applyNumberFormat="1" applyFont="1" applyFill="1" applyBorder="1" applyAlignment="1">
      <alignment horizontal="center" vertical="center" wrapText="1"/>
    </xf>
    <xf numFmtId="0" fontId="23" fillId="4" borderId="2" xfId="7" applyNumberFormat="1" applyFont="1" applyFill="1" applyBorder="1" applyAlignment="1" applyProtection="1">
      <alignment horizontal="center" vertical="center" wrapText="1"/>
    </xf>
    <xf numFmtId="165" fontId="23" fillId="4" borderId="2" xfId="1" applyNumberFormat="1" applyFont="1" applyFill="1" applyBorder="1" applyAlignment="1">
      <alignment horizontal="center" vertical="center" wrapText="1"/>
    </xf>
    <xf numFmtId="165" fontId="23" fillId="12" borderId="2" xfId="7" applyNumberFormat="1" applyFont="1" applyFill="1" applyBorder="1" applyAlignment="1" applyProtection="1">
      <alignment horizontal="center" vertical="center" wrapText="1"/>
    </xf>
    <xf numFmtId="165" fontId="23" fillId="13" borderId="8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 applyProtection="1">
      <alignment horizontal="center" vertical="top" wrapText="1"/>
    </xf>
    <xf numFmtId="0" fontId="7" fillId="5" borderId="28" xfId="7" applyNumberFormat="1" applyFont="1" applyFill="1" applyBorder="1" applyAlignment="1" applyProtection="1">
      <alignment horizontal="right" vertical="center" wrapText="1"/>
    </xf>
    <xf numFmtId="0" fontId="7" fillId="5" borderId="4" xfId="7" applyNumberFormat="1" applyFont="1" applyFill="1" applyBorder="1" applyAlignment="1" applyProtection="1">
      <alignment horizontal="right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49" fontId="8" fillId="4" borderId="7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6" xfId="7" applyNumberFormat="1" applyFont="1" applyFill="1" applyBorder="1" applyAlignment="1" applyProtection="1">
      <alignment horizontal="left" vertical="top" wrapText="1"/>
    </xf>
    <xf numFmtId="0" fontId="7" fillId="4" borderId="7" xfId="7" applyNumberFormat="1" applyFont="1" applyFill="1" applyBorder="1" applyAlignment="1" applyProtection="1">
      <alignment horizontal="left" vertical="top" wrapText="1"/>
    </xf>
    <xf numFmtId="0" fontId="7" fillId="4" borderId="8" xfId="7" applyNumberFormat="1" applyFont="1" applyFill="1" applyBorder="1" applyAlignment="1" applyProtection="1">
      <alignment horizontal="left" vertical="top" wrapText="1"/>
    </xf>
    <xf numFmtId="49" fontId="7" fillId="4" borderId="6" xfId="4" applyNumberFormat="1" applyFont="1" applyFill="1" applyBorder="1" applyAlignment="1" applyProtection="1">
      <alignment horizontal="left" vertical="top" wrapText="1"/>
    </xf>
    <xf numFmtId="49" fontId="7" fillId="4" borderId="8" xfId="4" applyNumberFormat="1" applyFont="1" applyFill="1" applyBorder="1" applyAlignment="1" applyProtection="1">
      <alignment horizontal="left" vertical="top" wrapText="1"/>
    </xf>
    <xf numFmtId="49" fontId="8" fillId="4" borderId="6" xfId="4" applyNumberFormat="1" applyFont="1" applyFill="1" applyBorder="1" applyAlignment="1" applyProtection="1">
      <alignment horizontal="center" vertical="center" wrapText="1"/>
    </xf>
    <xf numFmtId="49" fontId="8" fillId="4" borderId="8" xfId="4" applyNumberFormat="1" applyFont="1" applyFill="1" applyBorder="1" applyAlignment="1" applyProtection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 shrinkToFit="1"/>
    </xf>
    <xf numFmtId="0" fontId="8" fillId="4" borderId="8" xfId="1" applyFont="1" applyFill="1" applyBorder="1" applyAlignment="1">
      <alignment horizontal="center" vertical="center" wrapText="1" shrinkToFi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49" fontId="7" fillId="4" borderId="6" xfId="4" applyNumberFormat="1" applyFont="1" applyFill="1" applyBorder="1" applyAlignment="1" applyProtection="1">
      <alignment horizontal="center" vertical="center" wrapText="1"/>
    </xf>
    <xf numFmtId="49" fontId="7" fillId="4" borderId="8" xfId="4" applyNumberFormat="1" applyFont="1" applyFill="1" applyBorder="1" applyAlignment="1" applyProtection="1">
      <alignment horizontal="center" vertical="center" wrapText="1"/>
    </xf>
    <xf numFmtId="49" fontId="7" fillId="4" borderId="30" xfId="7" applyNumberFormat="1" applyFont="1" applyFill="1" applyBorder="1" applyAlignment="1" applyProtection="1">
      <alignment horizontal="center" vertical="top"/>
    </xf>
    <xf numFmtId="49" fontId="7" fillId="4" borderId="16" xfId="7" applyNumberFormat="1" applyFont="1" applyFill="1" applyBorder="1" applyAlignment="1" applyProtection="1">
      <alignment horizontal="center" vertical="top"/>
    </xf>
    <xf numFmtId="1" fontId="7" fillId="4" borderId="6" xfId="4" applyNumberFormat="1" applyFont="1" applyFill="1" applyBorder="1" applyAlignment="1">
      <alignment horizontal="left" vertical="top" wrapText="1"/>
    </xf>
    <xf numFmtId="1" fontId="7" fillId="4" borderId="8" xfId="4" applyNumberFormat="1" applyFont="1" applyFill="1" applyBorder="1" applyAlignment="1">
      <alignment horizontal="left" vertical="top" wrapText="1"/>
    </xf>
    <xf numFmtId="0" fontId="8" fillId="0" borderId="31" xfId="7" applyNumberFormat="1" applyFont="1" applyFill="1" applyBorder="1" applyAlignment="1" applyProtection="1">
      <alignment horizontal="center" vertical="center" wrapText="1"/>
    </xf>
    <xf numFmtId="0" fontId="8" fillId="0" borderId="33" xfId="7" applyNumberFormat="1" applyFont="1" applyFill="1" applyBorder="1" applyAlignment="1" applyProtection="1">
      <alignment horizontal="center" vertical="center" wrapText="1"/>
    </xf>
    <xf numFmtId="0" fontId="8" fillId="0" borderId="34" xfId="7" applyNumberFormat="1" applyFont="1" applyFill="1" applyBorder="1" applyAlignment="1" applyProtection="1">
      <alignment horizontal="center" vertical="center" wrapText="1"/>
    </xf>
    <xf numFmtId="0" fontId="8" fillId="4" borderId="31" xfId="7" applyNumberFormat="1" applyFont="1" applyFill="1" applyBorder="1" applyAlignment="1" applyProtection="1">
      <alignment horizontal="center" vertical="center" wrapText="1"/>
    </xf>
    <xf numFmtId="0" fontId="8" fillId="4" borderId="33" xfId="7" applyNumberFormat="1" applyFont="1" applyFill="1" applyBorder="1" applyAlignment="1" applyProtection="1">
      <alignment horizontal="center" vertical="center" wrapText="1"/>
    </xf>
    <xf numFmtId="0" fontId="8" fillId="4" borderId="34" xfId="7" applyNumberFormat="1" applyFont="1" applyFill="1" applyBorder="1" applyAlignment="1" applyProtection="1">
      <alignment horizontal="center" vertical="center" wrapText="1"/>
    </xf>
    <xf numFmtId="49" fontId="7" fillId="4" borderId="30" xfId="7" applyNumberFormat="1" applyFont="1" applyFill="1" applyBorder="1" applyAlignment="1" applyProtection="1">
      <alignment horizontal="center" vertical="top" wrapText="1" shrinkToFit="1"/>
    </xf>
    <xf numFmtId="49" fontId="7" fillId="4" borderId="32" xfId="7" applyNumberFormat="1" applyFont="1" applyFill="1" applyBorder="1" applyAlignment="1" applyProtection="1">
      <alignment horizontal="center" vertical="top" wrapText="1" shrinkToFit="1"/>
    </xf>
    <xf numFmtId="49" fontId="7" fillId="4" borderId="16" xfId="7" applyNumberFormat="1" applyFont="1" applyFill="1" applyBorder="1" applyAlignment="1" applyProtection="1">
      <alignment horizontal="center" vertical="top" wrapText="1" shrinkToFit="1"/>
    </xf>
    <xf numFmtId="49" fontId="7" fillId="0" borderId="30" xfId="7" applyNumberFormat="1" applyFont="1" applyFill="1" applyBorder="1" applyAlignment="1" applyProtection="1">
      <alignment horizontal="center" vertical="top"/>
    </xf>
    <xf numFmtId="49" fontId="7" fillId="0" borderId="32" xfId="7" applyNumberFormat="1" applyFont="1" applyFill="1" applyBorder="1" applyAlignment="1" applyProtection="1">
      <alignment horizontal="center" vertical="top"/>
    </xf>
    <xf numFmtId="49" fontId="7" fillId="0" borderId="16" xfId="7" applyNumberFormat="1" applyFont="1" applyFill="1" applyBorder="1" applyAlignment="1" applyProtection="1">
      <alignment horizontal="center" vertical="top"/>
    </xf>
    <xf numFmtId="49" fontId="7" fillId="4" borderId="32" xfId="7" applyNumberFormat="1" applyFont="1" applyFill="1" applyBorder="1" applyAlignment="1" applyProtection="1">
      <alignment horizontal="center" vertical="top"/>
    </xf>
    <xf numFmtId="49" fontId="7" fillId="4" borderId="30" xfId="4" applyNumberFormat="1" applyFont="1" applyFill="1" applyBorder="1" applyAlignment="1" applyProtection="1">
      <alignment horizontal="center" vertical="top"/>
    </xf>
    <xf numFmtId="49" fontId="7" fillId="4" borderId="16" xfId="4" applyNumberFormat="1" applyFont="1" applyFill="1" applyBorder="1" applyAlignment="1" applyProtection="1">
      <alignment horizontal="center" vertical="top"/>
    </xf>
    <xf numFmtId="164" fontId="8" fillId="4" borderId="31" xfId="4" applyNumberFormat="1" applyFont="1" applyFill="1" applyBorder="1" applyAlignment="1" applyProtection="1">
      <alignment horizontal="center" vertical="center" wrapText="1"/>
    </xf>
    <xf numFmtId="164" fontId="8" fillId="4" borderId="34" xfId="4" applyNumberFormat="1" applyFont="1" applyFill="1" applyBorder="1" applyAlignment="1" applyProtection="1">
      <alignment horizontal="center" vertical="center" wrapText="1"/>
    </xf>
    <xf numFmtId="0" fontId="8" fillId="4" borderId="31" xfId="1" applyFont="1" applyFill="1" applyBorder="1" applyAlignment="1">
      <alignment horizontal="center" vertical="center" wrapText="1"/>
    </xf>
    <xf numFmtId="0" fontId="8" fillId="4" borderId="33" xfId="1" applyFont="1" applyFill="1" applyBorder="1" applyAlignment="1">
      <alignment horizontal="center" vertical="center" wrapText="1"/>
    </xf>
    <xf numFmtId="0" fontId="8" fillId="4" borderId="34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25" fillId="2" borderId="0" xfId="7" applyNumberFormat="1" applyFont="1" applyFill="1" applyBorder="1" applyAlignment="1" applyProtection="1">
      <alignment horizontal="left" vertical="top" wrapText="1"/>
    </xf>
    <xf numFmtId="0" fontId="8" fillId="4" borderId="7" xfId="1" applyFont="1" applyFill="1" applyBorder="1" applyAlignment="1">
      <alignment horizontal="center" vertical="center" wrapText="1" shrinkToFit="1"/>
    </xf>
    <xf numFmtId="0" fontId="8" fillId="4" borderId="6" xfId="7" applyNumberFormat="1" applyFont="1" applyFill="1" applyBorder="1" applyAlignment="1" applyProtection="1">
      <alignment horizontal="center" vertical="center" wrapText="1"/>
    </xf>
    <xf numFmtId="0" fontId="8" fillId="4" borderId="8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4" borderId="27" xfId="7" applyNumberFormat="1" applyFont="1" applyFill="1" applyBorder="1" applyAlignment="1" applyProtection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7" fillId="0" borderId="7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right" vertical="center"/>
    </xf>
    <xf numFmtId="0" fontId="7" fillId="4" borderId="2" xfId="1" applyNumberFormat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>
      <alignment horizontal="right" vertical="center" wrapText="1"/>
    </xf>
    <xf numFmtId="2" fontId="7" fillId="4" borderId="2" xfId="1" applyNumberFormat="1" applyFont="1" applyFill="1" applyBorder="1" applyAlignment="1" applyProtection="1">
      <alignment horizontal="center" vertical="center" wrapText="1"/>
    </xf>
    <xf numFmtId="0" fontId="7" fillId="3" borderId="20" xfId="7" applyNumberFormat="1" applyFont="1" applyFill="1" applyBorder="1" applyAlignment="1" applyProtection="1">
      <alignment horizontal="center" vertical="center" wrapText="1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49" fontId="7" fillId="3" borderId="30" xfId="7" applyNumberFormat="1" applyFont="1" applyFill="1" applyBorder="1" applyAlignment="1" applyProtection="1">
      <alignment horizontal="center" vertical="top"/>
    </xf>
    <xf numFmtId="49" fontId="7" fillId="3" borderId="32" xfId="7" applyNumberFormat="1" applyFont="1" applyFill="1" applyBorder="1" applyAlignment="1" applyProtection="1">
      <alignment horizontal="center" vertical="top"/>
    </xf>
    <xf numFmtId="49" fontId="7" fillId="3" borderId="16" xfId="7" applyNumberFormat="1" applyFont="1" applyFill="1" applyBorder="1" applyAlignment="1" applyProtection="1">
      <alignment horizontal="center" vertical="top"/>
    </xf>
    <xf numFmtId="0" fontId="7" fillId="3" borderId="6" xfId="7" applyNumberFormat="1" applyFont="1" applyFill="1" applyBorder="1" applyAlignment="1" applyProtection="1">
      <alignment horizontal="center" vertical="center" wrapText="1"/>
    </xf>
    <xf numFmtId="0" fontId="7" fillId="3" borderId="7" xfId="7" applyNumberFormat="1" applyFont="1" applyFill="1" applyBorder="1" applyAlignment="1" applyProtection="1">
      <alignment horizontal="center" vertical="center" wrapText="1"/>
    </xf>
    <xf numFmtId="0" fontId="7" fillId="3" borderId="8" xfId="7" applyNumberFormat="1" applyFont="1" applyFill="1" applyBorder="1" applyAlignment="1" applyProtection="1">
      <alignment horizontal="center" vertical="center" wrapText="1"/>
    </xf>
    <xf numFmtId="0" fontId="7" fillId="3" borderId="28" xfId="7" applyNumberFormat="1" applyFont="1" applyFill="1" applyBorder="1" applyAlignment="1" applyProtection="1">
      <alignment horizontal="center" vertical="center" wrapText="1"/>
    </xf>
    <xf numFmtId="0" fontId="7" fillId="3" borderId="4" xfId="7" applyNumberFormat="1" applyFont="1" applyFill="1" applyBorder="1" applyAlignment="1" applyProtection="1">
      <alignment horizontal="center" vertical="center" wrapText="1"/>
    </xf>
    <xf numFmtId="0" fontId="7" fillId="3" borderId="29" xfId="7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7" fillId="3" borderId="22" xfId="7" applyNumberFormat="1" applyFont="1" applyFill="1" applyBorder="1" applyAlignment="1" applyProtection="1">
      <alignment horizontal="center" vertical="center" wrapText="1"/>
    </xf>
    <xf numFmtId="0" fontId="7" fillId="3" borderId="23" xfId="7" applyNumberFormat="1" applyFont="1" applyFill="1" applyBorder="1" applyAlignment="1" applyProtection="1">
      <alignment horizontal="center" vertical="center" wrapText="1"/>
    </xf>
    <xf numFmtId="0" fontId="7" fillId="3" borderId="24" xfId="7" applyNumberFormat="1" applyFont="1" applyFill="1" applyBorder="1" applyAlignment="1" applyProtection="1">
      <alignment horizontal="center" vertical="center" wrapText="1"/>
    </xf>
    <xf numFmtId="0" fontId="7" fillId="3" borderId="13" xfId="7" applyNumberFormat="1" applyFont="1" applyFill="1" applyBorder="1" applyAlignment="1" applyProtection="1">
      <alignment horizontal="center" vertical="center" wrapText="1"/>
    </xf>
    <xf numFmtId="0" fontId="7" fillId="3" borderId="0" xfId="7" applyNumberFormat="1" applyFont="1" applyFill="1" applyBorder="1" applyAlignment="1" applyProtection="1">
      <alignment horizontal="center" vertical="center" wrapText="1"/>
    </xf>
    <xf numFmtId="0" fontId="7" fillId="3" borderId="9" xfId="7" applyNumberFormat="1" applyFont="1" applyFill="1" applyBorder="1" applyAlignment="1" applyProtection="1">
      <alignment horizontal="center" vertical="center" wrapText="1"/>
    </xf>
    <xf numFmtId="0" fontId="7" fillId="3" borderId="11" xfId="7" applyNumberFormat="1" applyFont="1" applyFill="1" applyBorder="1" applyAlignment="1" applyProtection="1">
      <alignment horizontal="center" vertical="center" wrapText="1"/>
    </xf>
    <xf numFmtId="0" fontId="7" fillId="3" borderId="1" xfId="7" applyNumberFormat="1" applyFont="1" applyFill="1" applyBorder="1" applyAlignment="1" applyProtection="1">
      <alignment horizontal="center" vertical="center" wrapText="1"/>
    </xf>
    <xf numFmtId="0" fontId="7" fillId="3" borderId="10" xfId="7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8" fillId="2" borderId="31" xfId="1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center" vertical="top"/>
    </xf>
    <xf numFmtId="0" fontId="23" fillId="2" borderId="0" xfId="7" applyNumberFormat="1" applyFont="1" applyFill="1" applyBorder="1" applyAlignment="1" applyProtection="1">
      <alignment horizontal="center" vertical="top" wrapText="1"/>
    </xf>
    <xf numFmtId="0" fontId="7" fillId="12" borderId="20" xfId="7" applyNumberFormat="1" applyFont="1" applyFill="1" applyBorder="1" applyAlignment="1" applyProtection="1">
      <alignment horizontal="center" vertical="center" wrapText="1"/>
    </xf>
    <xf numFmtId="0" fontId="7" fillId="12" borderId="2" xfId="7" applyNumberFormat="1" applyFont="1" applyFill="1" applyBorder="1" applyAlignment="1" applyProtection="1">
      <alignment horizontal="center" vertical="center" wrapText="1"/>
    </xf>
    <xf numFmtId="0" fontId="8" fillId="12" borderId="2" xfId="7" applyNumberFormat="1" applyFont="1" applyFill="1" applyBorder="1" applyAlignment="1" applyProtection="1">
      <alignment horizontal="center" vertical="center" wrapText="1"/>
    </xf>
    <xf numFmtId="0" fontId="7" fillId="3" borderId="25" xfId="7" applyNumberFormat="1" applyFont="1" applyFill="1" applyBorder="1" applyAlignment="1" applyProtection="1">
      <alignment horizontal="center" vertical="center" wrapText="1"/>
    </xf>
    <xf numFmtId="0" fontId="7" fillId="3" borderId="27" xfId="7" applyNumberFormat="1" applyFont="1" applyFill="1" applyBorder="1" applyAlignment="1" applyProtection="1">
      <alignment horizontal="center" vertical="center" wrapText="1"/>
    </xf>
    <xf numFmtId="0" fontId="7" fillId="3" borderId="21" xfId="7" applyNumberFormat="1" applyFont="1" applyFill="1" applyBorder="1" applyAlignment="1" applyProtection="1">
      <alignment horizontal="center" vertical="center" wrapText="1"/>
    </xf>
    <xf numFmtId="0" fontId="7" fillId="3" borderId="26" xfId="7" applyNumberFormat="1" applyFont="1" applyFill="1" applyBorder="1" applyAlignment="1" applyProtection="1">
      <alignment horizontal="center" vertical="center" wrapText="1"/>
    </xf>
    <xf numFmtId="0" fontId="8" fillId="3" borderId="26" xfId="7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4" applyNumberFormat="1" applyFont="1" applyFill="1" applyBorder="1" applyAlignment="1" applyProtection="1">
      <alignment horizontal="left" vertical="top" wrapText="1"/>
    </xf>
    <xf numFmtId="0" fontId="7" fillId="4" borderId="8" xfId="4" applyNumberFormat="1" applyFont="1" applyFill="1" applyBorder="1" applyAlignment="1" applyProtection="1">
      <alignment horizontal="left" vertical="top" wrapText="1"/>
    </xf>
    <xf numFmtId="1" fontId="7" fillId="4" borderId="7" xfId="4" applyNumberFormat="1" applyFont="1" applyFill="1" applyBorder="1" applyAlignment="1">
      <alignment horizontal="left" vertical="top" wrapText="1"/>
    </xf>
    <xf numFmtId="49" fontId="7" fillId="4" borderId="30" xfId="4" applyNumberFormat="1" applyFont="1" applyFill="1" applyBorder="1" applyAlignment="1">
      <alignment horizontal="center" vertical="top" wrapText="1"/>
    </xf>
    <xf numFmtId="49" fontId="7" fillId="4" borderId="32" xfId="4" applyNumberFormat="1" applyFont="1" applyFill="1" applyBorder="1" applyAlignment="1">
      <alignment horizontal="center" vertical="top" wrapText="1"/>
    </xf>
    <xf numFmtId="49" fontId="7" fillId="4" borderId="16" xfId="4" applyNumberFormat="1" applyFont="1" applyFill="1" applyBorder="1" applyAlignment="1">
      <alignment horizontal="center" vertical="top" wrapText="1"/>
    </xf>
    <xf numFmtId="49" fontId="7" fillId="4" borderId="7" xfId="4" applyNumberFormat="1" applyFont="1" applyFill="1" applyBorder="1" applyAlignment="1" applyProtection="1">
      <alignment horizontal="center" vertical="center" wrapText="1"/>
    </xf>
    <xf numFmtId="0" fontId="8" fillId="4" borderId="6" xfId="4" applyNumberFormat="1" applyFont="1" applyFill="1" applyBorder="1" applyAlignment="1">
      <alignment horizontal="center" vertical="center" wrapText="1"/>
    </xf>
    <xf numFmtId="0" fontId="8" fillId="4" borderId="7" xfId="4" applyNumberFormat="1" applyFont="1" applyFill="1" applyBorder="1" applyAlignment="1">
      <alignment horizontal="center" vertical="center" wrapText="1"/>
    </xf>
    <xf numFmtId="0" fontId="8" fillId="4" borderId="8" xfId="4" applyNumberFormat="1" applyFont="1" applyFill="1" applyBorder="1" applyAlignment="1">
      <alignment horizontal="center" vertical="center" wrapText="1"/>
    </xf>
    <xf numFmtId="0" fontId="8" fillId="4" borderId="31" xfId="4" applyNumberFormat="1" applyFont="1" applyFill="1" applyBorder="1" applyAlignment="1">
      <alignment horizontal="center" vertical="center" wrapText="1"/>
    </xf>
    <xf numFmtId="0" fontId="8" fillId="4" borderId="33" xfId="4" applyNumberFormat="1" applyFont="1" applyFill="1" applyBorder="1" applyAlignment="1">
      <alignment horizontal="center" vertical="center" wrapText="1"/>
    </xf>
    <xf numFmtId="0" fontId="8" fillId="4" borderId="34" xfId="4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164" fontId="8" fillId="4" borderId="6" xfId="4" applyNumberFormat="1" applyFont="1" applyFill="1" applyBorder="1" applyAlignment="1" applyProtection="1">
      <alignment horizontal="center" vertical="center" wrapText="1"/>
    </xf>
    <xf numFmtId="164" fontId="8" fillId="4" borderId="7" xfId="4" applyNumberFormat="1" applyFont="1" applyFill="1" applyBorder="1" applyAlignment="1" applyProtection="1">
      <alignment horizontal="center" vertical="center" wrapText="1"/>
    </xf>
    <xf numFmtId="164" fontId="8" fillId="4" borderId="8" xfId="4" applyNumberFormat="1" applyFont="1" applyFill="1" applyBorder="1" applyAlignment="1" applyProtection="1">
      <alignment horizontal="center" vertical="center" wrapText="1"/>
    </xf>
    <xf numFmtId="49" fontId="8" fillId="2" borderId="30" xfId="1" applyNumberFormat="1" applyFont="1" applyFill="1" applyBorder="1" applyAlignment="1" applyProtection="1">
      <alignment horizontal="center" vertical="top" wrapText="1"/>
    </xf>
    <xf numFmtId="49" fontId="8" fillId="2" borderId="32" xfId="1" applyNumberFormat="1" applyFont="1" applyFill="1" applyBorder="1" applyAlignment="1" applyProtection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2" xfId="4" applyNumberFormat="1" applyFont="1" applyFill="1" applyBorder="1" applyAlignment="1" applyProtection="1">
      <alignment horizontal="right" vertical="center"/>
    </xf>
    <xf numFmtId="0" fontId="7" fillId="5" borderId="2" xfId="4" applyNumberFormat="1" applyFont="1" applyFill="1" applyBorder="1" applyAlignment="1">
      <alignment horizontal="right" vertical="center" wrapText="1"/>
    </xf>
    <xf numFmtId="0" fontId="16" fillId="5" borderId="2" xfId="10" applyFont="1" applyFill="1" applyBorder="1" applyAlignment="1">
      <alignment horizontal="right" vertical="center" wrapText="1"/>
    </xf>
    <xf numFmtId="49" fontId="7" fillId="4" borderId="30" xfId="0" applyNumberFormat="1" applyFont="1" applyFill="1" applyBorder="1" applyAlignment="1">
      <alignment horizontal="center" vertical="top"/>
    </xf>
    <xf numFmtId="49" fontId="7" fillId="4" borderId="16" xfId="0" applyNumberFormat="1" applyFont="1" applyFill="1" applyBorder="1" applyAlignment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4" fontId="7" fillId="0" borderId="14" xfId="4" applyNumberFormat="1" applyFont="1" applyFill="1" applyBorder="1" applyAlignment="1" applyProtection="1">
      <alignment horizontal="center" vertical="center" wrapText="1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164" fontId="7" fillId="0" borderId="8" xfId="4" applyNumberFormat="1" applyFont="1" applyFill="1" applyBorder="1" applyAlignment="1" applyProtection="1">
      <alignment horizontal="center" vertical="center" wrapText="1"/>
    </xf>
    <xf numFmtId="49" fontId="7" fillId="0" borderId="28" xfId="4" applyNumberFormat="1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horizontal="center" vertical="center"/>
    </xf>
    <xf numFmtId="49" fontId="7" fillId="0" borderId="29" xfId="4" applyNumberFormat="1" applyFont="1" applyFill="1" applyBorder="1" applyAlignment="1" applyProtection="1">
      <alignment horizontal="center" vertical="center"/>
    </xf>
    <xf numFmtId="0" fontId="7" fillId="0" borderId="14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center" vertical="center" wrapText="1"/>
    </xf>
    <xf numFmtId="0" fontId="7" fillId="0" borderId="8" xfId="11" applyNumberFormat="1" applyFont="1" applyFill="1" applyBorder="1" applyAlignment="1" applyProtection="1">
      <alignment horizontal="center" vertical="center" wrapText="1"/>
    </xf>
    <xf numFmtId="0" fontId="7" fillId="0" borderId="15" xfId="11" applyNumberFormat="1" applyFont="1" applyFill="1" applyBorder="1" applyAlignment="1" applyProtection="1">
      <alignment horizontal="center" vertical="center" wrapText="1"/>
    </xf>
    <xf numFmtId="0" fontId="7" fillId="0" borderId="32" xfId="11" applyNumberFormat="1" applyFont="1" applyFill="1" applyBorder="1" applyAlignment="1" applyProtection="1">
      <alignment horizontal="center" vertical="center" wrapText="1"/>
    </xf>
    <xf numFmtId="0" fontId="7" fillId="0" borderId="16" xfId="11" applyNumberFormat="1" applyFont="1" applyFill="1" applyBorder="1" applyAlignment="1" applyProtection="1">
      <alignment horizontal="center" vertical="center" wrapText="1"/>
    </xf>
    <xf numFmtId="0" fontId="7" fillId="12" borderId="14" xfId="11" applyNumberFormat="1" applyFont="1" applyFill="1" applyBorder="1" applyAlignment="1" applyProtection="1">
      <alignment horizontal="center" vertical="center" wrapText="1"/>
    </xf>
    <xf numFmtId="0" fontId="7" fillId="12" borderId="7" xfId="11" applyNumberFormat="1" applyFont="1" applyFill="1" applyBorder="1" applyAlignment="1" applyProtection="1">
      <alignment horizontal="center" vertical="center" wrapText="1"/>
    </xf>
    <xf numFmtId="0" fontId="7" fillId="12" borderId="8" xfId="11" applyNumberFormat="1" applyFont="1" applyFill="1" applyBorder="1" applyAlignment="1" applyProtection="1">
      <alignment horizontal="center" vertical="center" wrapText="1"/>
    </xf>
    <xf numFmtId="164" fontId="7" fillId="0" borderId="39" xfId="4" applyNumberFormat="1" applyFont="1" applyFill="1" applyBorder="1" applyAlignment="1" applyProtection="1">
      <alignment horizontal="center" vertical="center" wrapText="1"/>
    </xf>
    <xf numFmtId="164" fontId="7" fillId="0" borderId="33" xfId="4" applyNumberFormat="1" applyFont="1" applyFill="1" applyBorder="1" applyAlignment="1" applyProtection="1">
      <alignment horizontal="center" vertical="center" wrapText="1"/>
    </xf>
    <xf numFmtId="164" fontId="7" fillId="0" borderId="34" xfId="4" applyNumberFormat="1" applyFont="1" applyFill="1" applyBorder="1" applyAlignment="1" applyProtection="1">
      <alignment horizontal="center" vertical="center" wrapText="1"/>
    </xf>
    <xf numFmtId="0" fontId="7" fillId="0" borderId="22" xfId="4" applyNumberFormat="1" applyFont="1" applyFill="1" applyBorder="1" applyAlignment="1" applyProtection="1">
      <alignment horizontal="center" vertical="center" wrapText="1"/>
    </xf>
    <xf numFmtId="0" fontId="7" fillId="0" borderId="23" xfId="4" applyNumberFormat="1" applyFont="1" applyFill="1" applyBorder="1" applyAlignment="1" applyProtection="1">
      <alignment horizontal="center" vertical="center" wrapText="1"/>
    </xf>
    <xf numFmtId="0" fontId="7" fillId="0" borderId="24" xfId="4" applyNumberFormat="1" applyFont="1" applyFill="1" applyBorder="1" applyAlignment="1" applyProtection="1">
      <alignment horizontal="center" vertical="center" wrapText="1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0" xfId="4" applyNumberFormat="1" applyFont="1" applyFill="1" applyBorder="1" applyAlignment="1" applyProtection="1">
      <alignment horizontal="center" vertical="center" wrapText="1"/>
    </xf>
    <xf numFmtId="49" fontId="7" fillId="0" borderId="30" xfId="4" applyNumberFormat="1" applyFont="1" applyFill="1" applyBorder="1" applyAlignment="1" applyProtection="1">
      <alignment horizontal="center" vertical="top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16" xfId="4" applyNumberFormat="1" applyFont="1" applyFill="1" applyBorder="1" applyAlignment="1" applyProtection="1">
      <alignment horizontal="center" vertical="top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top"/>
      <protection locked="0"/>
    </xf>
    <xf numFmtId="49" fontId="7" fillId="0" borderId="7" xfId="4" applyNumberFormat="1" applyFont="1" applyFill="1" applyBorder="1" applyAlignment="1" applyProtection="1">
      <alignment horizontal="center" vertical="top"/>
      <protection locked="0"/>
    </xf>
    <xf numFmtId="49" fontId="7" fillId="0" borderId="8" xfId="4" applyNumberFormat="1" applyFont="1" applyFill="1" applyBorder="1" applyAlignment="1" applyProtection="1">
      <alignment horizontal="center" vertical="top"/>
      <protection locked="0"/>
    </xf>
    <xf numFmtId="0" fontId="7" fillId="0" borderId="31" xfId="4" applyNumberFormat="1" applyFont="1" applyFill="1" applyBorder="1" applyAlignment="1" applyProtection="1">
      <alignment horizontal="center" vertical="top"/>
    </xf>
    <xf numFmtId="0" fontId="7" fillId="0" borderId="33" xfId="4" applyNumberFormat="1" applyFont="1" applyFill="1" applyBorder="1" applyAlignment="1" applyProtection="1">
      <alignment horizontal="center" vertical="top"/>
    </xf>
    <xf numFmtId="0" fontId="7" fillId="0" borderId="34" xfId="4" applyNumberFormat="1" applyFont="1" applyFill="1" applyBorder="1" applyAlignment="1" applyProtection="1">
      <alignment horizontal="center" vertical="top"/>
    </xf>
    <xf numFmtId="49" fontId="7" fillId="4" borderId="30" xfId="4" applyNumberFormat="1" applyFont="1" applyFill="1" applyBorder="1" applyAlignment="1" applyProtection="1">
      <alignment horizontal="center" vertical="top" wrapText="1"/>
    </xf>
    <xf numFmtId="49" fontId="7" fillId="4" borderId="32" xfId="4" applyNumberFormat="1" applyFont="1" applyFill="1" applyBorder="1" applyAlignment="1" applyProtection="1">
      <alignment horizontal="center" vertical="top" wrapText="1"/>
    </xf>
    <xf numFmtId="49" fontId="7" fillId="4" borderId="16" xfId="4" applyNumberFormat="1" applyFont="1" applyFill="1" applyBorder="1" applyAlignment="1" applyProtection="1">
      <alignment horizontal="center" vertical="top" wrapText="1"/>
    </xf>
    <xf numFmtId="49" fontId="7" fillId="4" borderId="7" xfId="4" applyNumberFormat="1" applyFont="1" applyFill="1" applyBorder="1" applyAlignment="1" applyProtection="1">
      <alignment horizontal="left" vertical="top" wrapText="1"/>
    </xf>
    <xf numFmtId="0" fontId="7" fillId="4" borderId="7" xfId="4" applyNumberFormat="1" applyFont="1" applyFill="1" applyBorder="1" applyAlignment="1" applyProtection="1">
      <alignment horizontal="left" vertical="top" wrapText="1"/>
    </xf>
    <xf numFmtId="0" fontId="7" fillId="4" borderId="6" xfId="11" applyNumberFormat="1" applyFont="1" applyFill="1" applyBorder="1" applyAlignment="1" applyProtection="1">
      <alignment horizontal="left" vertical="top" wrapText="1"/>
    </xf>
    <xf numFmtId="0" fontId="7" fillId="4" borderId="8" xfId="11" applyNumberFormat="1" applyFont="1" applyFill="1" applyBorder="1" applyAlignment="1" applyProtection="1">
      <alignment horizontal="left" vertical="top" wrapText="1"/>
    </xf>
    <xf numFmtId="0" fontId="8" fillId="4" borderId="27" xfId="10" applyFont="1" applyFill="1" applyBorder="1" applyAlignment="1">
      <alignment horizontal="center" vertical="center" wrapText="1"/>
    </xf>
    <xf numFmtId="0" fontId="8" fillId="4" borderId="31" xfId="10" applyFont="1" applyFill="1" applyBorder="1" applyAlignment="1">
      <alignment horizontal="center" vertical="center" wrapText="1"/>
    </xf>
    <xf numFmtId="0" fontId="8" fillId="4" borderId="33" xfId="10" applyFont="1" applyFill="1" applyBorder="1" applyAlignment="1">
      <alignment horizontal="center" vertical="center" wrapText="1"/>
    </xf>
    <xf numFmtId="0" fontId="8" fillId="4" borderId="34" xfId="10" applyFont="1" applyFill="1" applyBorder="1" applyAlignment="1">
      <alignment horizontal="center" vertical="center" wrapText="1"/>
    </xf>
    <xf numFmtId="0" fontId="7" fillId="4" borderId="6" xfId="2" applyNumberFormat="1" applyFont="1" applyFill="1" applyBorder="1" applyAlignment="1" applyProtection="1">
      <alignment horizontal="center" vertical="center" wrapText="1"/>
    </xf>
    <xf numFmtId="0" fontId="7" fillId="4" borderId="8" xfId="2" applyNumberFormat="1" applyFont="1" applyFill="1" applyBorder="1" applyAlignment="1" applyProtection="1">
      <alignment horizontal="center" vertical="center" wrapText="1"/>
    </xf>
    <xf numFmtId="0" fontId="14" fillId="4" borderId="31" xfId="3" applyFont="1" applyFill="1" applyBorder="1" applyAlignment="1">
      <alignment horizontal="center" vertical="center" wrapText="1"/>
    </xf>
    <xf numFmtId="0" fontId="14" fillId="4" borderId="34" xfId="3" applyFont="1" applyFill="1" applyBorder="1" applyAlignment="1">
      <alignment horizontal="center" vertical="center" wrapText="1"/>
    </xf>
    <xf numFmtId="49" fontId="7" fillId="4" borderId="30" xfId="2" applyNumberFormat="1" applyFont="1" applyFill="1" applyBorder="1" applyAlignment="1" applyProtection="1">
      <alignment horizontal="center" vertical="top"/>
    </xf>
    <xf numFmtId="49" fontId="7" fillId="4" borderId="16" xfId="2" applyNumberFormat="1" applyFont="1" applyFill="1" applyBorder="1" applyAlignment="1" applyProtection="1">
      <alignment horizontal="center" vertical="top"/>
    </xf>
    <xf numFmtId="49" fontId="7" fillId="4" borderId="32" xfId="4" applyNumberFormat="1" applyFont="1" applyFill="1" applyBorder="1" applyAlignment="1" applyProtection="1">
      <alignment horizontal="center" vertical="top"/>
    </xf>
    <xf numFmtId="0" fontId="24" fillId="4" borderId="31" xfId="4" applyNumberFormat="1" applyFont="1" applyFill="1" applyBorder="1" applyAlignment="1">
      <alignment horizontal="center" vertical="center" wrapText="1"/>
    </xf>
    <xf numFmtId="0" fontId="24" fillId="4" borderId="34" xfId="4" applyNumberFormat="1" applyFont="1" applyFill="1" applyBorder="1" applyAlignment="1">
      <alignment horizontal="center" vertical="center" wrapText="1"/>
    </xf>
    <xf numFmtId="0" fontId="7" fillId="4" borderId="6" xfId="2" applyNumberFormat="1" applyFont="1" applyFill="1" applyBorder="1" applyAlignment="1" applyProtection="1">
      <alignment horizontal="left" vertical="top" wrapText="1"/>
    </xf>
    <xf numFmtId="0" fontId="7" fillId="4" borderId="8" xfId="2" applyNumberFormat="1" applyFont="1" applyFill="1" applyBorder="1" applyAlignment="1" applyProtection="1">
      <alignment horizontal="left" vertical="top" wrapText="1"/>
    </xf>
    <xf numFmtId="49" fontId="7" fillId="4" borderId="32" xfId="0" applyNumberFormat="1" applyFont="1" applyFill="1" applyBorder="1" applyAlignment="1">
      <alignment horizontal="center" vertical="top"/>
    </xf>
    <xf numFmtId="49" fontId="7" fillId="4" borderId="32" xfId="2" applyNumberFormat="1" applyFont="1" applyFill="1" applyBorder="1" applyAlignment="1" applyProtection="1">
      <alignment horizontal="center" vertical="top"/>
    </xf>
    <xf numFmtId="0" fontId="7" fillId="4" borderId="7" xfId="2" applyNumberFormat="1" applyFont="1" applyFill="1" applyBorder="1" applyAlignment="1" applyProtection="1">
      <alignment horizontal="left" vertical="top" wrapText="1"/>
    </xf>
    <xf numFmtId="0" fontId="7" fillId="4" borderId="7" xfId="2" applyNumberFormat="1" applyFont="1" applyFill="1" applyBorder="1" applyAlignment="1" applyProtection="1">
      <alignment horizontal="center" vertical="center" wrapText="1"/>
    </xf>
    <xf numFmtId="49" fontId="8" fillId="4" borderId="7" xfId="4" applyNumberFormat="1" applyFont="1" applyFill="1" applyBorder="1" applyAlignment="1" applyProtection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7" fillId="4" borderId="6" xfId="3" applyNumberFormat="1" applyFont="1" applyFill="1" applyBorder="1" applyAlignment="1" applyProtection="1">
      <alignment horizontal="center" vertical="center" wrapText="1"/>
    </xf>
    <xf numFmtId="0" fontId="7" fillId="4" borderId="8" xfId="3" applyNumberFormat="1" applyFont="1" applyFill="1" applyBorder="1" applyAlignment="1" applyProtection="1">
      <alignment horizontal="center" vertical="center" wrapText="1"/>
    </xf>
    <xf numFmtId="49" fontId="7" fillId="4" borderId="30" xfId="2" applyNumberFormat="1" applyFont="1" applyFill="1" applyBorder="1" applyAlignment="1" applyProtection="1">
      <alignment horizontal="center" vertical="top" wrapText="1"/>
    </xf>
    <xf numFmtId="49" fontId="7" fillId="4" borderId="32" xfId="2" applyNumberFormat="1" applyFont="1" applyFill="1" applyBorder="1" applyAlignment="1" applyProtection="1">
      <alignment horizontal="center" vertical="top" wrapText="1"/>
    </xf>
    <xf numFmtId="49" fontId="7" fillId="4" borderId="16" xfId="2" applyNumberFormat="1" applyFont="1" applyFill="1" applyBorder="1" applyAlignment="1" applyProtection="1">
      <alignment horizontal="center" vertical="top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32" xfId="2" applyNumberFormat="1" applyFont="1" applyFill="1" applyBorder="1" applyAlignment="1" applyProtection="1">
      <alignment horizontal="center" vertical="top" wrapText="1"/>
    </xf>
    <xf numFmtId="0" fontId="7" fillId="0" borderId="28" xfId="4" applyNumberFormat="1" applyFont="1" applyFill="1" applyBorder="1" applyAlignment="1" applyProtection="1">
      <alignment horizontal="right" vertical="center"/>
    </xf>
    <xf numFmtId="0" fontId="7" fillId="0" borderId="4" xfId="4" applyNumberFormat="1" applyFont="1" applyFill="1" applyBorder="1" applyAlignment="1" applyProtection="1">
      <alignment horizontal="right" vertical="center"/>
    </xf>
    <xf numFmtId="0" fontId="7" fillId="5" borderId="26" xfId="4" applyNumberFormat="1" applyFont="1" applyFill="1" applyBorder="1" applyAlignment="1" applyProtection="1">
      <alignment horizontal="right" vertical="center" wrapText="1"/>
    </xf>
    <xf numFmtId="0" fontId="7" fillId="5" borderId="2" xfId="4" applyNumberFormat="1" applyFont="1" applyFill="1" applyBorder="1" applyAlignment="1" applyProtection="1">
      <alignment horizontal="right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35" xfId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right" vertical="center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Alignment="1" applyProtection="1">
      <alignment horizontal="center" vertical="center" wrapText="1"/>
    </xf>
    <xf numFmtId="0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49" fontId="7" fillId="4" borderId="6" xfId="2" applyNumberFormat="1" applyFont="1" applyFill="1" applyBorder="1" applyAlignment="1" applyProtection="1">
      <alignment horizontal="left" vertical="top" wrapText="1"/>
    </xf>
    <xf numFmtId="49" fontId="7" fillId="4" borderId="7" xfId="2" applyNumberFormat="1" applyFont="1" applyFill="1" applyBorder="1" applyAlignment="1" applyProtection="1">
      <alignment horizontal="left" vertical="top" wrapText="1"/>
    </xf>
    <xf numFmtId="49" fontId="7" fillId="4" borderId="8" xfId="2" applyNumberFormat="1" applyFont="1" applyFill="1" applyBorder="1" applyAlignment="1" applyProtection="1">
      <alignment horizontal="left" vertical="top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  <xf numFmtId="0" fontId="17" fillId="0" borderId="8" xfId="2" applyNumberFormat="1" applyFont="1" applyFill="1" applyBorder="1" applyAlignment="1" applyProtection="1">
      <alignment horizontal="center" vertical="center" wrapText="1"/>
    </xf>
    <xf numFmtId="0" fontId="7" fillId="12" borderId="14" xfId="2" applyNumberFormat="1" applyFont="1" applyFill="1" applyBorder="1" applyAlignment="1" applyProtection="1">
      <alignment horizontal="center" vertical="center" wrapText="1"/>
    </xf>
    <xf numFmtId="0" fontId="7" fillId="12" borderId="7" xfId="2" applyNumberFormat="1" applyFont="1" applyFill="1" applyBorder="1" applyAlignment="1" applyProtection="1">
      <alignment horizontal="center" vertical="center" wrapText="1"/>
    </xf>
    <xf numFmtId="0" fontId="7" fillId="12" borderId="8" xfId="2" applyNumberFormat="1" applyFont="1" applyFill="1" applyBorder="1" applyAlignment="1" applyProtection="1">
      <alignment horizontal="center" vertical="center" wrapText="1"/>
    </xf>
    <xf numFmtId="0" fontId="8" fillId="0" borderId="31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49" fontId="8" fillId="4" borderId="6" xfId="2" applyNumberFormat="1" applyFont="1" applyFill="1" applyBorder="1" applyAlignment="1" applyProtection="1">
      <alignment horizontal="center" vertical="center" wrapText="1"/>
    </xf>
    <xf numFmtId="49" fontId="8" fillId="4" borderId="7" xfId="2" applyNumberFormat="1" applyFont="1" applyFill="1" applyBorder="1" applyAlignment="1" applyProtection="1">
      <alignment horizontal="center" vertical="center" wrapText="1"/>
    </xf>
    <xf numFmtId="49" fontId="8" fillId="4" borderId="8" xfId="2" applyNumberFormat="1" applyFont="1" applyFill="1" applyBorder="1" applyAlignment="1" applyProtection="1">
      <alignment horizontal="center" vertical="center" wrapText="1"/>
    </xf>
    <xf numFmtId="164" fontId="8" fillId="4" borderId="31" xfId="0" applyNumberFormat="1" applyFont="1" applyFill="1" applyBorder="1" applyAlignment="1" applyProtection="1">
      <alignment horizontal="center" vertical="center" wrapText="1"/>
    </xf>
    <xf numFmtId="164" fontId="8" fillId="4" borderId="33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 applyProtection="1">
      <alignment horizontal="center" vertical="center" wrapText="1"/>
    </xf>
    <xf numFmtId="0" fontId="18" fillId="0" borderId="31" xfId="4" applyNumberFormat="1" applyFont="1" applyFill="1" applyBorder="1" applyAlignment="1" applyProtection="1">
      <alignment horizontal="center" vertical="top"/>
    </xf>
    <xf numFmtId="0" fontId="18" fillId="0" borderId="33" xfId="4" applyNumberFormat="1" applyFont="1" applyFill="1" applyBorder="1" applyAlignment="1" applyProtection="1">
      <alignment horizontal="center" vertical="top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31" xfId="2" applyNumberFormat="1" applyFont="1" applyFill="1" applyBorder="1" applyAlignment="1" applyProtection="1">
      <alignment horizontal="center" vertical="center" wrapText="1"/>
    </xf>
    <xf numFmtId="49" fontId="7" fillId="0" borderId="33" xfId="2" applyNumberFormat="1" applyFont="1" applyFill="1" applyBorder="1" applyAlignment="1" applyProtection="1">
      <alignment horizontal="center" vertical="center" wrapText="1"/>
    </xf>
    <xf numFmtId="49" fontId="7" fillId="0" borderId="34" xfId="2" applyNumberFormat="1" applyFont="1" applyFill="1" applyBorder="1" applyAlignment="1" applyProtection="1">
      <alignment horizontal="center" vertical="center" wrapText="1"/>
    </xf>
    <xf numFmtId="49" fontId="7" fillId="0" borderId="39" xfId="2" applyNumberFormat="1" applyFont="1" applyFill="1" applyBorder="1" applyAlignment="1" applyProtection="1">
      <alignment horizontal="center" vertical="center" wrapText="1"/>
    </xf>
    <xf numFmtId="49" fontId="7" fillId="0" borderId="28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29" xfId="2" applyNumberFormat="1" applyFont="1" applyFill="1" applyBorder="1" applyAlignment="1" applyProtection="1">
      <alignment horizontal="center" vertical="center" wrapText="1"/>
    </xf>
    <xf numFmtId="49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</xf>
    <xf numFmtId="0" fontId="7" fillId="0" borderId="23" xfId="2" applyNumberFormat="1" applyFont="1" applyFill="1" applyBorder="1" applyAlignment="1" applyProtection="1">
      <alignment horizontal="center" vertical="center" wrapText="1"/>
    </xf>
    <xf numFmtId="0" fontId="7" fillId="0" borderId="24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49" fontId="7" fillId="0" borderId="21" xfId="2" applyNumberFormat="1" applyFont="1" applyFill="1" applyBorder="1" applyAlignment="1" applyProtection="1">
      <alignment horizontal="center" vertical="center"/>
    </xf>
    <xf numFmtId="49" fontId="17" fillId="0" borderId="26" xfId="2" applyNumberFormat="1" applyFont="1" applyFill="1" applyBorder="1" applyAlignment="1" applyProtection="1">
      <alignment vertical="center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top"/>
    </xf>
    <xf numFmtId="49" fontId="7" fillId="0" borderId="33" xfId="5" applyNumberFormat="1" applyFont="1" applyFill="1" applyBorder="1" applyAlignment="1" applyProtection="1">
      <alignment horizontal="center" vertical="top"/>
    </xf>
    <xf numFmtId="49" fontId="7" fillId="0" borderId="34" xfId="5" applyNumberFormat="1" applyFont="1" applyFill="1" applyBorder="1" applyAlignment="1" applyProtection="1">
      <alignment horizontal="center" vertical="top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top"/>
    </xf>
    <xf numFmtId="49" fontId="7" fillId="0" borderId="7" xfId="5" applyNumberFormat="1" applyFont="1" applyFill="1" applyBorder="1" applyAlignment="1" applyProtection="1">
      <alignment horizontal="center" vertical="top"/>
    </xf>
    <xf numFmtId="49" fontId="7" fillId="0" borderId="8" xfId="5" applyNumberFormat="1" applyFont="1" applyFill="1" applyBorder="1" applyAlignment="1" applyProtection="1">
      <alignment horizontal="center" vertical="top"/>
    </xf>
    <xf numFmtId="0" fontId="7" fillId="12" borderId="14" xfId="1" applyNumberFormat="1" applyFont="1" applyFill="1" applyBorder="1" applyAlignment="1" applyProtection="1">
      <alignment horizontal="center" vertical="center" wrapText="1"/>
    </xf>
    <xf numFmtId="0" fontId="7" fillId="12" borderId="8" xfId="1" applyNumberFormat="1" applyFont="1" applyFill="1" applyBorder="1" applyAlignment="1" applyProtection="1">
      <alignment horizontal="center" vertical="center" wrapText="1"/>
    </xf>
    <xf numFmtId="0" fontId="7" fillId="2" borderId="14" xfId="1" applyNumberFormat="1" applyFont="1" applyFill="1" applyBorder="1" applyAlignment="1" applyProtection="1">
      <alignment horizontal="center" vertical="center" wrapText="1"/>
    </xf>
    <xf numFmtId="0" fontId="7" fillId="6" borderId="8" xfId="1" applyNumberFormat="1" applyFont="1" applyFill="1" applyBorder="1" applyAlignment="1" applyProtection="1">
      <alignment horizontal="center" vertical="center" wrapText="1"/>
    </xf>
    <xf numFmtId="0" fontId="7" fillId="2" borderId="17" xfId="1" applyNumberFormat="1" applyFont="1" applyFill="1" applyBorder="1" applyAlignment="1" applyProtection="1">
      <alignment horizontal="center" vertical="center" wrapText="1"/>
    </xf>
    <xf numFmtId="0" fontId="7" fillId="2" borderId="18" xfId="1" applyNumberFormat="1" applyFont="1" applyFill="1" applyBorder="1" applyAlignment="1" applyProtection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49" fontId="7" fillId="4" borderId="30" xfId="5" applyNumberFormat="1" applyFont="1" applyFill="1" applyBorder="1" applyAlignment="1" applyProtection="1">
      <alignment horizontal="center" vertical="top" wrapText="1"/>
    </xf>
    <xf numFmtId="49" fontId="7" fillId="4" borderId="32" xfId="5" applyNumberFormat="1" applyFont="1" applyFill="1" applyBorder="1" applyAlignment="1" applyProtection="1">
      <alignment horizontal="center" vertical="top" wrapText="1"/>
    </xf>
    <xf numFmtId="49" fontId="7" fillId="4" borderId="16" xfId="5" applyNumberFormat="1" applyFont="1" applyFill="1" applyBorder="1" applyAlignment="1" applyProtection="1">
      <alignment horizontal="center" vertical="top" wrapText="1"/>
    </xf>
    <xf numFmtId="49" fontId="7" fillId="4" borderId="6" xfId="5" applyNumberFormat="1" applyFont="1" applyFill="1" applyBorder="1" applyAlignment="1" applyProtection="1">
      <alignment horizontal="left" vertical="top" wrapText="1"/>
    </xf>
    <xf numFmtId="49" fontId="7" fillId="4" borderId="7" xfId="5" applyNumberFormat="1" applyFont="1" applyFill="1" applyBorder="1" applyAlignment="1" applyProtection="1">
      <alignment horizontal="left" vertical="top" wrapText="1"/>
    </xf>
    <xf numFmtId="49" fontId="7" fillId="4" borderId="8" xfId="5" applyNumberFormat="1" applyFont="1" applyFill="1" applyBorder="1" applyAlignment="1" applyProtection="1">
      <alignment horizontal="left" vertical="top" wrapText="1"/>
    </xf>
    <xf numFmtId="0" fontId="7" fillId="4" borderId="7" xfId="3" applyNumberFormat="1" applyFont="1" applyFill="1" applyBorder="1" applyAlignment="1" applyProtection="1">
      <alignment horizontal="center" vertical="center" wrapText="1"/>
    </xf>
    <xf numFmtId="49" fontId="7" fillId="0" borderId="30" xfId="5" applyNumberFormat="1" applyFont="1" applyFill="1" applyBorder="1" applyAlignment="1" applyProtection="1">
      <alignment horizontal="center" vertical="top"/>
    </xf>
    <xf numFmtId="49" fontId="7" fillId="0" borderId="32" xfId="5" applyNumberFormat="1" applyFont="1" applyFill="1" applyBorder="1" applyAlignment="1" applyProtection="1">
      <alignment horizontal="center" vertical="top"/>
    </xf>
    <xf numFmtId="49" fontId="7" fillId="0" borderId="16" xfId="5" applyNumberFormat="1" applyFont="1" applyFill="1" applyBorder="1" applyAlignment="1" applyProtection="1">
      <alignment horizontal="center" vertical="top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7" xfId="5" applyNumberFormat="1" applyFont="1" applyFill="1" applyBorder="1" applyAlignment="1" applyProtection="1">
      <alignment horizontal="center" vertical="center" wrapText="1"/>
    </xf>
    <xf numFmtId="49" fontId="7" fillId="0" borderId="8" xfId="5" applyNumberFormat="1" applyFont="1" applyFill="1" applyBorder="1" applyAlignment="1" applyProtection="1">
      <alignment horizontal="center" vertical="center" wrapText="1"/>
    </xf>
    <xf numFmtId="49" fontId="8" fillId="4" borderId="6" xfId="5" applyNumberFormat="1" applyFont="1" applyFill="1" applyBorder="1" applyAlignment="1" applyProtection="1">
      <alignment horizontal="center" vertical="center" wrapText="1"/>
    </xf>
    <xf numFmtId="49" fontId="8" fillId="4" borderId="8" xfId="5" applyNumberFormat="1" applyFont="1" applyFill="1" applyBorder="1" applyAlignment="1" applyProtection="1">
      <alignment horizontal="center" vertical="center" wrapText="1"/>
    </xf>
    <xf numFmtId="0" fontId="8" fillId="4" borderId="31" xfId="5" applyNumberFormat="1" applyFont="1" applyFill="1" applyBorder="1" applyAlignment="1" applyProtection="1">
      <alignment horizontal="center" vertical="center" wrapText="1"/>
    </xf>
    <xf numFmtId="0" fontId="8" fillId="4" borderId="34" xfId="5" applyNumberFormat="1" applyFont="1" applyFill="1" applyBorder="1" applyAlignment="1" applyProtection="1">
      <alignment horizontal="center" vertical="center" wrapText="1"/>
    </xf>
    <xf numFmtId="0" fontId="7" fillId="0" borderId="35" xfId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right" vertical="center" wrapText="1"/>
    </xf>
    <xf numFmtId="0" fontId="7" fillId="0" borderId="26" xfId="4" applyNumberFormat="1" applyFont="1" applyFill="1" applyBorder="1" applyAlignment="1" applyProtection="1">
      <alignment horizontal="right" vertical="center"/>
    </xf>
    <xf numFmtId="49" fontId="8" fillId="4" borderId="7" xfId="5" applyNumberFormat="1" applyFont="1" applyFill="1" applyBorder="1" applyAlignment="1" applyProtection="1">
      <alignment horizontal="center" vertical="center" wrapText="1"/>
    </xf>
    <xf numFmtId="49" fontId="8" fillId="4" borderId="31" xfId="5" applyNumberFormat="1" applyFont="1" applyFill="1" applyBorder="1" applyAlignment="1" applyProtection="1">
      <alignment horizontal="center" vertical="center" wrapText="1"/>
    </xf>
    <xf numFmtId="49" fontId="8" fillId="4" borderId="33" xfId="5" applyNumberFormat="1" applyFont="1" applyFill="1" applyBorder="1" applyAlignment="1" applyProtection="1">
      <alignment horizontal="center" vertical="center" wrapText="1"/>
    </xf>
    <xf numFmtId="49" fontId="8" fillId="4" borderId="34" xfId="5" applyNumberFormat="1" applyFont="1" applyFill="1" applyBorder="1" applyAlignment="1" applyProtection="1">
      <alignment horizontal="center" vertical="center" wrapText="1"/>
    </xf>
    <xf numFmtId="0" fontId="7" fillId="5" borderId="26" xfId="4" applyNumberFormat="1" applyFont="1" applyFill="1" applyBorder="1" applyAlignment="1">
      <alignment horizontal="right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31" xfId="3" applyNumberFormat="1" applyFont="1" applyFill="1" applyBorder="1" applyAlignment="1" applyProtection="1">
      <alignment horizontal="center" vertical="center" wrapText="1"/>
    </xf>
    <xf numFmtId="0" fontId="8" fillId="4" borderId="34" xfId="3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Border="1" applyAlignment="1" applyProtection="1">
      <alignment horizontal="left" vertical="top"/>
    </xf>
    <xf numFmtId="0" fontId="7" fillId="0" borderId="26" xfId="5" applyNumberFormat="1" applyFont="1" applyFill="1" applyBorder="1" applyAlignment="1" applyProtection="1">
      <alignment horizontal="right" vertical="center" wrapText="1"/>
    </xf>
    <xf numFmtId="0" fontId="7" fillId="0" borderId="2" xfId="5" applyNumberFormat="1" applyFont="1" applyFill="1" applyBorder="1" applyAlignment="1" applyProtection="1">
      <alignment horizontal="right" vertical="center" wrapText="1"/>
    </xf>
    <xf numFmtId="0" fontId="7" fillId="0" borderId="28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9" borderId="21" xfId="5" applyNumberFormat="1" applyFont="1" applyFill="1" applyBorder="1" applyAlignment="1" applyProtection="1">
      <alignment horizontal="right" vertical="center" wrapText="1"/>
    </xf>
    <xf numFmtId="0" fontId="7" fillId="9" borderId="20" xfId="5" applyNumberFormat="1" applyFont="1" applyFill="1" applyBorder="1" applyAlignment="1" applyProtection="1">
      <alignment horizontal="right" vertical="center" wrapText="1"/>
    </xf>
    <xf numFmtId="49" fontId="7" fillId="4" borderId="6" xfId="5" applyNumberFormat="1" applyFont="1" applyFill="1" applyBorder="1" applyAlignment="1" applyProtection="1">
      <alignment horizontal="center" vertical="top"/>
    </xf>
    <xf numFmtId="49" fontId="7" fillId="4" borderId="8" xfId="5" applyNumberFormat="1" applyFont="1" applyFill="1" applyBorder="1" applyAlignment="1" applyProtection="1">
      <alignment horizontal="center" vertical="top"/>
    </xf>
    <xf numFmtId="0" fontId="7" fillId="4" borderId="2" xfId="3" applyNumberFormat="1" applyFont="1" applyFill="1" applyBorder="1" applyAlignment="1" applyProtection="1">
      <alignment horizontal="left" vertical="top" wrapText="1"/>
    </xf>
    <xf numFmtId="0" fontId="7" fillId="4" borderId="2" xfId="3" applyNumberFormat="1" applyFont="1" applyFill="1" applyBorder="1" applyAlignment="1" applyProtection="1">
      <alignment horizontal="center" vertical="center" wrapText="1"/>
    </xf>
    <xf numFmtId="165" fontId="5" fillId="7" borderId="0" xfId="5" applyNumberFormat="1" applyFont="1" applyFill="1" applyBorder="1" applyAlignment="1" applyProtection="1">
      <alignment horizontal="center" vertical="top"/>
    </xf>
    <xf numFmtId="0" fontId="7" fillId="0" borderId="28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8" fillId="3" borderId="0" xfId="5" applyNumberFormat="1" applyFont="1" applyFill="1" applyBorder="1" applyAlignment="1" applyProtection="1">
      <alignment horizontal="center" vertical="top"/>
    </xf>
    <xf numFmtId="0" fontId="8" fillId="4" borderId="8" xfId="3" applyNumberFormat="1" applyFont="1" applyFill="1" applyBorder="1" applyAlignment="1" applyProtection="1">
      <alignment horizontal="center" vertical="center" wrapText="1"/>
    </xf>
    <xf numFmtId="49" fontId="7" fillId="4" borderId="30" xfId="5" applyNumberFormat="1" applyFont="1" applyFill="1" applyBorder="1" applyAlignment="1" applyProtection="1">
      <alignment horizontal="center" vertical="top"/>
    </xf>
    <xf numFmtId="49" fontId="7" fillId="4" borderId="16" xfId="5" applyNumberFormat="1" applyFont="1" applyFill="1" applyBorder="1" applyAlignment="1" applyProtection="1">
      <alignment horizontal="center" vertical="top"/>
    </xf>
    <xf numFmtId="0" fontId="7" fillId="4" borderId="6" xfId="3" applyNumberFormat="1" applyFont="1" applyFill="1" applyBorder="1" applyAlignment="1" applyProtection="1">
      <alignment horizontal="left" vertical="top" wrapText="1"/>
    </xf>
    <xf numFmtId="0" fontId="7" fillId="4" borderId="8" xfId="3" applyNumberFormat="1" applyFont="1" applyFill="1" applyBorder="1" applyAlignment="1" applyProtection="1">
      <alignment horizontal="left" vertical="top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00FFFF"/>
      <color rgb="FF99FF99"/>
      <color rgb="FFFFFFCC"/>
      <color rgb="FF99CCFF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9"/>
  <sheetViews>
    <sheetView tabSelected="1" view="pageBreakPreview" zoomScale="70" zoomScaleNormal="70" zoomScaleSheetLayoutView="70" workbookViewId="0">
      <pane ySplit="11" topLeftCell="A64" activePane="bottomLeft" state="frozen"/>
      <selection activeCell="F60" sqref="F60"/>
      <selection pane="bottomLeft" activeCell="C74" sqref="C74"/>
    </sheetView>
  </sheetViews>
  <sheetFormatPr defaultRowHeight="15" x14ac:dyDescent="0.25"/>
  <cols>
    <col min="1" max="1" width="9.140625" style="1"/>
    <col min="2" max="2" width="57.28515625" style="1" customWidth="1"/>
    <col min="3" max="3" width="18.28515625" style="1" customWidth="1"/>
    <col min="4" max="4" width="33.42578125" style="1" customWidth="1"/>
    <col min="5" max="5" width="19.42578125" style="1" customWidth="1"/>
    <col min="6" max="6" width="19.28515625" style="2" customWidth="1"/>
    <col min="7" max="7" width="18.140625" style="1" customWidth="1"/>
    <col min="8" max="9" width="19" style="3" customWidth="1"/>
    <col min="10" max="10" width="19" style="1" customWidth="1"/>
    <col min="11" max="11" width="18.140625" style="1" customWidth="1"/>
    <col min="12" max="12" width="20.42578125" style="1" customWidth="1"/>
    <col min="13" max="13" width="28.42578125" style="1" customWidth="1"/>
    <col min="14" max="14" width="14.85546875" style="1" customWidth="1"/>
    <col min="15" max="15" width="11.5703125" style="1" bestFit="1" customWidth="1"/>
    <col min="16" max="18" width="11.140625" style="1" bestFit="1" customWidth="1"/>
    <col min="19" max="16384" width="9.140625" style="1"/>
  </cols>
  <sheetData>
    <row r="1" spans="1:14" ht="15.75" customHeight="1" x14ac:dyDescent="0.25">
      <c r="A1" s="4"/>
      <c r="B1" s="418"/>
      <c r="C1" s="419"/>
      <c r="D1" s="418"/>
      <c r="E1" s="418"/>
      <c r="F1" s="420"/>
      <c r="G1" s="418"/>
      <c r="H1" s="421"/>
      <c r="I1" s="421"/>
      <c r="J1" s="422"/>
      <c r="K1" s="500" t="s">
        <v>323</v>
      </c>
      <c r="L1" s="500"/>
      <c r="M1" s="500"/>
    </row>
    <row r="2" spans="1:14" ht="15.75" customHeight="1" x14ac:dyDescent="0.25">
      <c r="A2" s="4"/>
      <c r="B2" s="423"/>
      <c r="C2" s="424"/>
      <c r="D2" s="425"/>
      <c r="E2" s="425"/>
      <c r="F2" s="426"/>
      <c r="G2" s="427"/>
      <c r="H2" s="428"/>
      <c r="I2" s="428"/>
      <c r="J2" s="427"/>
      <c r="K2" s="500"/>
      <c r="L2" s="500"/>
      <c r="M2" s="500"/>
    </row>
    <row r="3" spans="1:14" ht="32.25" customHeight="1" x14ac:dyDescent="0.25">
      <c r="A3" s="4"/>
      <c r="B3" s="423"/>
      <c r="C3" s="424"/>
      <c r="D3" s="425"/>
      <c r="E3" s="425"/>
      <c r="F3" s="429"/>
      <c r="G3" s="427"/>
      <c r="H3" s="428"/>
      <c r="I3" s="428"/>
      <c r="J3" s="427"/>
      <c r="K3" s="500"/>
      <c r="L3" s="500"/>
      <c r="M3" s="500"/>
    </row>
    <row r="4" spans="1:14" ht="15.75" x14ac:dyDescent="0.25">
      <c r="A4" s="4"/>
      <c r="B4" s="423"/>
      <c r="C4" s="424"/>
      <c r="D4" s="425"/>
      <c r="E4" s="425"/>
      <c r="F4" s="429"/>
      <c r="G4" s="427"/>
      <c r="H4" s="428"/>
      <c r="I4" s="428"/>
      <c r="J4" s="427"/>
      <c r="K4" s="500" t="s">
        <v>318</v>
      </c>
      <c r="L4" s="500"/>
      <c r="M4" s="500"/>
    </row>
    <row r="5" spans="1:14" ht="18.75" x14ac:dyDescent="0.25">
      <c r="A5" s="15"/>
      <c r="B5" s="551" t="s">
        <v>133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</row>
    <row r="6" spans="1:14" ht="16.5" thickBot="1" x14ac:dyDescent="0.3">
      <c r="A6" s="15"/>
      <c r="B6" s="11"/>
      <c r="C6" s="10"/>
      <c r="D6" s="11"/>
      <c r="E6" s="11"/>
      <c r="F6" s="14"/>
      <c r="G6" s="550"/>
      <c r="H6" s="550"/>
      <c r="I6" s="550"/>
      <c r="J6" s="550"/>
      <c r="K6" s="550"/>
      <c r="L6" s="550"/>
      <c r="M6" s="550"/>
    </row>
    <row r="7" spans="1:14" ht="15" customHeight="1" x14ac:dyDescent="0.25">
      <c r="A7" s="557" t="s">
        <v>1</v>
      </c>
      <c r="B7" s="515" t="s">
        <v>6</v>
      </c>
      <c r="C7" s="515" t="s">
        <v>0</v>
      </c>
      <c r="D7" s="515" t="s">
        <v>2</v>
      </c>
      <c r="E7" s="515" t="s">
        <v>148</v>
      </c>
      <c r="F7" s="552" t="s">
        <v>3</v>
      </c>
      <c r="G7" s="530" t="s">
        <v>48</v>
      </c>
      <c r="H7" s="531"/>
      <c r="I7" s="531"/>
      <c r="J7" s="531"/>
      <c r="K7" s="532"/>
      <c r="L7" s="515" t="s">
        <v>17</v>
      </c>
      <c r="M7" s="555" t="s">
        <v>7</v>
      </c>
    </row>
    <row r="8" spans="1:14" x14ac:dyDescent="0.25">
      <c r="A8" s="558"/>
      <c r="B8" s="516"/>
      <c r="C8" s="516"/>
      <c r="D8" s="516"/>
      <c r="E8" s="516"/>
      <c r="F8" s="553"/>
      <c r="G8" s="533"/>
      <c r="H8" s="534"/>
      <c r="I8" s="534"/>
      <c r="J8" s="534"/>
      <c r="K8" s="535"/>
      <c r="L8" s="516"/>
      <c r="M8" s="556"/>
    </row>
    <row r="9" spans="1:14" ht="27.75" customHeight="1" x14ac:dyDescent="0.25">
      <c r="A9" s="559"/>
      <c r="B9" s="517"/>
      <c r="C9" s="517"/>
      <c r="D9" s="517"/>
      <c r="E9" s="516"/>
      <c r="F9" s="554"/>
      <c r="G9" s="536"/>
      <c r="H9" s="537"/>
      <c r="I9" s="537"/>
      <c r="J9" s="537"/>
      <c r="K9" s="538"/>
      <c r="L9" s="516"/>
      <c r="M9" s="556"/>
    </row>
    <row r="10" spans="1:14" ht="73.5" customHeight="1" x14ac:dyDescent="0.25">
      <c r="A10" s="559"/>
      <c r="B10" s="517"/>
      <c r="C10" s="517"/>
      <c r="D10" s="517"/>
      <c r="E10" s="516"/>
      <c r="F10" s="554"/>
      <c r="G10" s="16" t="s">
        <v>46</v>
      </c>
      <c r="H10" s="350" t="s">
        <v>47</v>
      </c>
      <c r="I10" s="17" t="s">
        <v>150</v>
      </c>
      <c r="J10" s="16" t="s">
        <v>151</v>
      </c>
      <c r="K10" s="16" t="s">
        <v>152</v>
      </c>
      <c r="L10" s="516"/>
      <c r="M10" s="556"/>
    </row>
    <row r="11" spans="1:14" ht="18" customHeight="1" x14ac:dyDescent="0.25">
      <c r="A11" s="18">
        <v>1</v>
      </c>
      <c r="B11" s="19">
        <v>2</v>
      </c>
      <c r="C11" s="19" t="s">
        <v>18</v>
      </c>
      <c r="D11" s="19">
        <v>4</v>
      </c>
      <c r="E11" s="19" t="s">
        <v>19</v>
      </c>
      <c r="F11" s="20" t="s">
        <v>134</v>
      </c>
      <c r="G11" s="19" t="s">
        <v>20</v>
      </c>
      <c r="H11" s="351" t="s">
        <v>135</v>
      </c>
      <c r="I11" s="19" t="s">
        <v>21</v>
      </c>
      <c r="J11" s="19" t="s">
        <v>22</v>
      </c>
      <c r="K11" s="19" t="s">
        <v>30</v>
      </c>
      <c r="L11" s="19" t="s">
        <v>31</v>
      </c>
      <c r="M11" s="21" t="s">
        <v>50</v>
      </c>
    </row>
    <row r="12" spans="1:14" ht="35.25" customHeight="1" x14ac:dyDescent="0.25">
      <c r="A12" s="524" t="s">
        <v>61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6"/>
    </row>
    <row r="13" spans="1:14" ht="31.5" customHeight="1" x14ac:dyDescent="0.25">
      <c r="A13" s="518"/>
      <c r="B13" s="521" t="s">
        <v>262</v>
      </c>
      <c r="C13" s="504" t="s">
        <v>149</v>
      </c>
      <c r="D13" s="22" t="s">
        <v>10</v>
      </c>
      <c r="E13" s="23">
        <f t="shared" ref="E13:K13" si="0">SUM(E14:E18)</f>
        <v>2336141.8930000002</v>
      </c>
      <c r="F13" s="24">
        <f t="shared" si="0"/>
        <v>12005845.164999999</v>
      </c>
      <c r="G13" s="23">
        <f t="shared" si="0"/>
        <v>2616864.3339999998</v>
      </c>
      <c r="H13" s="352">
        <f t="shared" si="0"/>
        <v>2749875.6949999998</v>
      </c>
      <c r="I13" s="23">
        <f t="shared" si="0"/>
        <v>2749437.7119999998</v>
      </c>
      <c r="J13" s="23">
        <f t="shared" si="0"/>
        <v>2749437.7119999998</v>
      </c>
      <c r="K13" s="23">
        <f t="shared" si="0"/>
        <v>1140229.7120000001</v>
      </c>
      <c r="L13" s="527"/>
      <c r="M13" s="540"/>
    </row>
    <row r="14" spans="1:14" ht="37.5" x14ac:dyDescent="0.25">
      <c r="A14" s="519"/>
      <c r="B14" s="522"/>
      <c r="C14" s="505"/>
      <c r="D14" s="25" t="s">
        <v>5</v>
      </c>
      <c r="E14" s="26">
        <f>E23+E24+E25+E34+E38+E42+E43+E44</f>
        <v>1302780</v>
      </c>
      <c r="F14" s="27">
        <f t="shared" ref="F14:F17" si="1">SUM(G14:K14)</f>
        <v>6311466</v>
      </c>
      <c r="G14" s="26">
        <f>G23+G24+G25+G34+G38+G42+G43+G44</f>
        <v>1531991</v>
      </c>
      <c r="H14" s="353">
        <f>H23+H24+H25+H34+H38+H42+H43+H44</f>
        <v>1593925</v>
      </c>
      <c r="I14" s="26">
        <f>I23+I24+I25+I34+I38+I42+I43+I44</f>
        <v>1592775</v>
      </c>
      <c r="J14" s="26">
        <f>J23+J24+J25+J34+J38+J42+J43+J44</f>
        <v>1592775</v>
      </c>
      <c r="K14" s="26">
        <f>K23+K24+K25+K34+K38+K42+K43+K44</f>
        <v>0</v>
      </c>
      <c r="L14" s="528"/>
      <c r="M14" s="541"/>
      <c r="N14" s="28"/>
    </row>
    <row r="15" spans="1:14" ht="56.25" x14ac:dyDescent="0.25">
      <c r="A15" s="519"/>
      <c r="B15" s="522"/>
      <c r="C15" s="505"/>
      <c r="D15" s="25" t="s">
        <v>12</v>
      </c>
      <c r="E15" s="29">
        <f>E19+E22+E26+E28+E31+E32+E33+E35+E37+E40+E45+E46</f>
        <v>731334.36599999992</v>
      </c>
      <c r="F15" s="27">
        <f t="shared" si="1"/>
        <v>3936486.5380000006</v>
      </c>
      <c r="G15" s="29">
        <f>G19+G22+G26+G28+G31+G32+G33+G35+G37+G40+G45+G46+G48</f>
        <v>746450.82100000011</v>
      </c>
      <c r="H15" s="354">
        <f t="shared" ref="H15:K15" si="2">H19+H22+H26+H28+H31+H32+H33+H35+H37+H40+H45+H46+H48</f>
        <v>795530.228</v>
      </c>
      <c r="I15" s="29">
        <f t="shared" si="2"/>
        <v>803646.16300000006</v>
      </c>
      <c r="J15" s="29">
        <f t="shared" si="2"/>
        <v>803646.16300000006</v>
      </c>
      <c r="K15" s="29">
        <f t="shared" si="2"/>
        <v>787213.16300000006</v>
      </c>
      <c r="L15" s="528"/>
      <c r="M15" s="541"/>
      <c r="N15" s="28"/>
    </row>
    <row r="16" spans="1:14" ht="123" customHeight="1" x14ac:dyDescent="0.25">
      <c r="A16" s="519"/>
      <c r="B16" s="522"/>
      <c r="C16" s="505"/>
      <c r="D16" s="25" t="s">
        <v>91</v>
      </c>
      <c r="E16" s="30">
        <f>E39+E29+E41+E47+E36</f>
        <v>13678.833999999999</v>
      </c>
      <c r="F16" s="27">
        <f>SUM(G16:K16)</f>
        <v>9268.7919999999995</v>
      </c>
      <c r="G16" s="30">
        <f>G39+G29+G41+G47+G36</f>
        <v>8216.7669999999998</v>
      </c>
      <c r="H16" s="354">
        <f>H39+H29+H41+H47+H36</f>
        <v>1052.0250000000001</v>
      </c>
      <c r="I16" s="30">
        <f t="shared" ref="I16:K16" si="3">I39+I29+I41+I47+I36</f>
        <v>0</v>
      </c>
      <c r="J16" s="30">
        <f t="shared" si="3"/>
        <v>0</v>
      </c>
      <c r="K16" s="30">
        <f t="shared" si="3"/>
        <v>0</v>
      </c>
      <c r="L16" s="528"/>
      <c r="M16" s="541"/>
      <c r="N16" s="28"/>
    </row>
    <row r="17" spans="1:20" ht="75" x14ac:dyDescent="0.25">
      <c r="A17" s="519"/>
      <c r="B17" s="522"/>
      <c r="C17" s="505"/>
      <c r="D17" s="17" t="s">
        <v>51</v>
      </c>
      <c r="E17" s="26">
        <f>E20+E30</f>
        <v>36793.925999999999</v>
      </c>
      <c r="F17" s="27">
        <f t="shared" si="1"/>
        <v>222222.23499999999</v>
      </c>
      <c r="G17" s="26">
        <f>G20+G30</f>
        <v>38885.425999999999</v>
      </c>
      <c r="H17" s="353">
        <f>H20+H30</f>
        <v>50598.122000000003</v>
      </c>
      <c r="I17" s="26">
        <f>I20+I30</f>
        <v>44246.228999999999</v>
      </c>
      <c r="J17" s="26">
        <f>J20+J30</f>
        <v>44246.228999999999</v>
      </c>
      <c r="K17" s="26">
        <f>K20+K30</f>
        <v>44246.228999999999</v>
      </c>
      <c r="L17" s="528"/>
      <c r="M17" s="541"/>
      <c r="O17" s="28"/>
      <c r="P17" s="31"/>
      <c r="Q17" s="31"/>
    </row>
    <row r="18" spans="1:20" ht="56.25" x14ac:dyDescent="0.25">
      <c r="A18" s="520"/>
      <c r="B18" s="523"/>
      <c r="C18" s="506"/>
      <c r="D18" s="17" t="s">
        <v>64</v>
      </c>
      <c r="E18" s="26">
        <f t="shared" ref="E18" si="4">E21</f>
        <v>251554.76699999999</v>
      </c>
      <c r="F18" s="27">
        <f t="shared" ref="F18" si="5">SUM(G18:K18)</f>
        <v>1526401.6</v>
      </c>
      <c r="G18" s="26">
        <f>G21</f>
        <v>291320.32000000001</v>
      </c>
      <c r="H18" s="353">
        <f t="shared" ref="H18:K18" si="6">H21</f>
        <v>308770.32</v>
      </c>
      <c r="I18" s="26">
        <f t="shared" si="6"/>
        <v>308770.32</v>
      </c>
      <c r="J18" s="26">
        <f t="shared" si="6"/>
        <v>308770.32</v>
      </c>
      <c r="K18" s="26">
        <f t="shared" si="6"/>
        <v>308770.32</v>
      </c>
      <c r="L18" s="529"/>
      <c r="M18" s="542"/>
      <c r="P18" s="31"/>
      <c r="Q18" s="31"/>
      <c r="R18" s="31"/>
    </row>
    <row r="19" spans="1:20" ht="66" customHeight="1" x14ac:dyDescent="0.25">
      <c r="A19" s="475" t="s">
        <v>93</v>
      </c>
      <c r="B19" s="462" t="s">
        <v>65</v>
      </c>
      <c r="C19" s="460" t="s">
        <v>149</v>
      </c>
      <c r="D19" s="32" t="s">
        <v>12</v>
      </c>
      <c r="E19" s="33">
        <v>607188.58499999996</v>
      </c>
      <c r="F19" s="34">
        <f>SUM(G19:K19)</f>
        <v>2965359.46</v>
      </c>
      <c r="G19" s="33">
        <v>587406.33700000006</v>
      </c>
      <c r="H19" s="406">
        <f>597396.384-1300-10332.413</f>
        <v>585763.9709999999</v>
      </c>
      <c r="I19" s="33">
        <v>597396.38399999996</v>
      </c>
      <c r="J19" s="33">
        <v>597396.38399999996</v>
      </c>
      <c r="K19" s="33">
        <v>597396.38399999996</v>
      </c>
      <c r="L19" s="539" t="s">
        <v>11</v>
      </c>
      <c r="M19" s="507" t="s">
        <v>66</v>
      </c>
      <c r="N19" s="35"/>
    </row>
    <row r="20" spans="1:20" ht="75" x14ac:dyDescent="0.25">
      <c r="A20" s="491"/>
      <c r="B20" s="463"/>
      <c r="C20" s="499"/>
      <c r="D20" s="36" t="s">
        <v>51</v>
      </c>
      <c r="E20" s="37">
        <v>25069.506000000001</v>
      </c>
      <c r="F20" s="34">
        <f t="shared" ref="F20:F22" si="7">SUM(G20:K20)</f>
        <v>173082.598</v>
      </c>
      <c r="G20" s="37">
        <v>31072.702000000001</v>
      </c>
      <c r="H20" s="435">
        <f>30488.556+5013.918</f>
        <v>35502.474000000002</v>
      </c>
      <c r="I20" s="37">
        <f>H20</f>
        <v>35502.474000000002</v>
      </c>
      <c r="J20" s="37">
        <f t="shared" ref="J20:K20" si="8">I20</f>
        <v>35502.474000000002</v>
      </c>
      <c r="K20" s="37">
        <f t="shared" si="8"/>
        <v>35502.474000000002</v>
      </c>
      <c r="L20" s="539"/>
      <c r="M20" s="507"/>
      <c r="O20" s="38"/>
      <c r="P20" s="38"/>
      <c r="Q20" s="38"/>
    </row>
    <row r="21" spans="1:20" ht="56.25" x14ac:dyDescent="0.25">
      <c r="A21" s="476"/>
      <c r="B21" s="464"/>
      <c r="C21" s="499"/>
      <c r="D21" s="36" t="s">
        <v>64</v>
      </c>
      <c r="E21" s="37">
        <v>251554.76699999999</v>
      </c>
      <c r="F21" s="34">
        <f t="shared" si="7"/>
        <v>1526401.6</v>
      </c>
      <c r="G21" s="37">
        <f>286338.82+4981.5</f>
        <v>291320.32000000001</v>
      </c>
      <c r="H21" s="356">
        <v>308770.32</v>
      </c>
      <c r="I21" s="37">
        <v>308770.32</v>
      </c>
      <c r="J21" s="37">
        <v>308770.32</v>
      </c>
      <c r="K21" s="37">
        <v>308770.32</v>
      </c>
      <c r="L21" s="539"/>
      <c r="M21" s="507"/>
      <c r="O21" s="38"/>
      <c r="P21" s="38"/>
      <c r="Q21" s="38"/>
    </row>
    <row r="22" spans="1:20" ht="99" customHeight="1" x14ac:dyDescent="0.3">
      <c r="A22" s="39" t="s">
        <v>94</v>
      </c>
      <c r="B22" s="40" t="s">
        <v>71</v>
      </c>
      <c r="C22" s="36" t="s">
        <v>149</v>
      </c>
      <c r="D22" s="36" t="s">
        <v>12</v>
      </c>
      <c r="E22" s="37">
        <v>97943.71</v>
      </c>
      <c r="F22" s="34">
        <f t="shared" si="7"/>
        <v>483990.94599999994</v>
      </c>
      <c r="G22" s="37">
        <v>123994.07</v>
      </c>
      <c r="H22" s="356">
        <v>89999.218999999997</v>
      </c>
      <c r="I22" s="37">
        <v>89999.218999999997</v>
      </c>
      <c r="J22" s="37">
        <v>89999.218999999997</v>
      </c>
      <c r="K22" s="37">
        <v>89999.218999999997</v>
      </c>
      <c r="L22" s="41" t="s">
        <v>11</v>
      </c>
      <c r="M22" s="42" t="s">
        <v>66</v>
      </c>
      <c r="N22" s="35"/>
      <c r="O22" s="38"/>
      <c r="P22" s="38"/>
      <c r="Q22" s="38"/>
    </row>
    <row r="23" spans="1:20" ht="223.5" customHeight="1" x14ac:dyDescent="0.25">
      <c r="A23" s="43" t="s">
        <v>95</v>
      </c>
      <c r="B23" s="44" t="s">
        <v>67</v>
      </c>
      <c r="C23" s="36" t="s">
        <v>149</v>
      </c>
      <c r="D23" s="32" t="s">
        <v>5</v>
      </c>
      <c r="E23" s="37">
        <v>1114065</v>
      </c>
      <c r="F23" s="34">
        <f>SUM(G23:K23)</f>
        <v>5439532</v>
      </c>
      <c r="G23" s="33">
        <v>1330105</v>
      </c>
      <c r="H23" s="356">
        <v>1369809</v>
      </c>
      <c r="I23" s="37">
        <v>1369809</v>
      </c>
      <c r="J23" s="37">
        <v>1369809</v>
      </c>
      <c r="K23" s="37">
        <v>0</v>
      </c>
      <c r="L23" s="41" t="s">
        <v>11</v>
      </c>
      <c r="M23" s="45" t="s">
        <v>223</v>
      </c>
      <c r="O23" s="46"/>
      <c r="P23" s="46"/>
      <c r="Q23" s="38"/>
      <c r="R23" s="38"/>
      <c r="S23" s="47"/>
      <c r="T23" s="47"/>
    </row>
    <row r="24" spans="1:20" ht="183.75" customHeight="1" x14ac:dyDescent="0.25">
      <c r="A24" s="39" t="s">
        <v>96</v>
      </c>
      <c r="B24" s="44" t="s">
        <v>68</v>
      </c>
      <c r="C24" s="36" t="s">
        <v>149</v>
      </c>
      <c r="D24" s="36" t="s">
        <v>5</v>
      </c>
      <c r="E24" s="37">
        <v>76694</v>
      </c>
      <c r="F24" s="34">
        <f t="shared" ref="F24:F27" si="9">SUM(G24:K24)</f>
        <v>292214</v>
      </c>
      <c r="G24" s="37">
        <v>64520</v>
      </c>
      <c r="H24" s="356">
        <v>75898</v>
      </c>
      <c r="I24" s="37">
        <v>75898</v>
      </c>
      <c r="J24" s="37">
        <v>75898</v>
      </c>
      <c r="K24" s="37">
        <v>0</v>
      </c>
      <c r="L24" s="48" t="s">
        <v>11</v>
      </c>
      <c r="M24" s="49" t="s">
        <v>219</v>
      </c>
      <c r="O24" s="47"/>
      <c r="P24" s="47"/>
      <c r="Q24" s="47"/>
    </row>
    <row r="25" spans="1:20" ht="63.75" customHeight="1" x14ac:dyDescent="0.25">
      <c r="A25" s="475" t="s">
        <v>97</v>
      </c>
      <c r="B25" s="462" t="s">
        <v>153</v>
      </c>
      <c r="C25" s="460" t="s">
        <v>149</v>
      </c>
      <c r="D25" s="36" t="s">
        <v>5</v>
      </c>
      <c r="E25" s="37">
        <v>31013</v>
      </c>
      <c r="F25" s="34">
        <f t="shared" si="9"/>
        <v>108994</v>
      </c>
      <c r="G25" s="37">
        <v>28213</v>
      </c>
      <c r="H25" s="356">
        <v>26927</v>
      </c>
      <c r="I25" s="37">
        <v>26927</v>
      </c>
      <c r="J25" s="37">
        <v>26927</v>
      </c>
      <c r="K25" s="37">
        <v>0</v>
      </c>
      <c r="L25" s="451" t="s">
        <v>11</v>
      </c>
      <c r="M25" s="482" t="s">
        <v>213</v>
      </c>
      <c r="O25" s="38"/>
      <c r="P25" s="38"/>
      <c r="Q25" s="38"/>
    </row>
    <row r="26" spans="1:20" ht="63.75" customHeight="1" x14ac:dyDescent="0.25">
      <c r="A26" s="491"/>
      <c r="B26" s="463"/>
      <c r="C26" s="499"/>
      <c r="D26" s="36" t="s">
        <v>12</v>
      </c>
      <c r="E26" s="37">
        <v>6352</v>
      </c>
      <c r="F26" s="34">
        <f t="shared" si="9"/>
        <v>58704</v>
      </c>
      <c r="G26" s="37">
        <v>9405</v>
      </c>
      <c r="H26" s="356">
        <v>16433</v>
      </c>
      <c r="I26" s="37">
        <v>16433</v>
      </c>
      <c r="J26" s="37">
        <v>16433</v>
      </c>
      <c r="K26" s="37">
        <v>0</v>
      </c>
      <c r="L26" s="452"/>
      <c r="M26" s="483"/>
    </row>
    <row r="27" spans="1:20" ht="93.75" x14ac:dyDescent="0.25">
      <c r="A27" s="476"/>
      <c r="B27" s="464"/>
      <c r="C27" s="461"/>
      <c r="D27" s="36" t="s">
        <v>317</v>
      </c>
      <c r="E27" s="37">
        <v>0</v>
      </c>
      <c r="F27" s="34">
        <f t="shared" si="9"/>
        <v>16433</v>
      </c>
      <c r="G27" s="37">
        <v>0</v>
      </c>
      <c r="H27" s="356">
        <v>16433</v>
      </c>
      <c r="I27" s="37">
        <v>0</v>
      </c>
      <c r="J27" s="37">
        <v>0</v>
      </c>
      <c r="K27" s="37">
        <v>0</v>
      </c>
      <c r="L27" s="453"/>
      <c r="M27" s="484"/>
    </row>
    <row r="28" spans="1:20" ht="68.25" customHeight="1" x14ac:dyDescent="0.25">
      <c r="A28" s="475" t="s">
        <v>98</v>
      </c>
      <c r="B28" s="454" t="s">
        <v>154</v>
      </c>
      <c r="C28" s="460" t="s">
        <v>149</v>
      </c>
      <c r="D28" s="32" t="s">
        <v>12</v>
      </c>
      <c r="E28" s="37">
        <v>2739.2159999999999</v>
      </c>
      <c r="F28" s="34">
        <f>SUM(G28:K28)</f>
        <v>10459.5</v>
      </c>
      <c r="G28" s="37">
        <f>4200+185+2601+236.5+2237+1000</f>
        <v>10459.5</v>
      </c>
      <c r="H28" s="356">
        <v>0</v>
      </c>
      <c r="I28" s="37">
        <v>0</v>
      </c>
      <c r="J28" s="37">
        <v>0</v>
      </c>
      <c r="K28" s="37">
        <v>0</v>
      </c>
      <c r="L28" s="451" t="s">
        <v>41</v>
      </c>
      <c r="M28" s="496" t="s">
        <v>214</v>
      </c>
      <c r="N28" s="50"/>
      <c r="O28" s="46"/>
      <c r="P28" s="46"/>
      <c r="Q28" s="46"/>
      <c r="R28" s="46"/>
    </row>
    <row r="29" spans="1:20" ht="117.75" customHeight="1" x14ac:dyDescent="0.25">
      <c r="A29" s="491"/>
      <c r="B29" s="455"/>
      <c r="C29" s="499"/>
      <c r="D29" s="32" t="s">
        <v>91</v>
      </c>
      <c r="E29" s="37">
        <f>6845.601+4543.233</f>
        <v>11388.833999999999</v>
      </c>
      <c r="F29" s="34">
        <f t="shared" ref="F29:F32" si="10">SUM(G29:K29)</f>
        <v>7014.1890000000003</v>
      </c>
      <c r="G29" s="37">
        <f>4426.868+1634.4+300</f>
        <v>6361.268</v>
      </c>
      <c r="H29" s="435">
        <v>652.92100000000005</v>
      </c>
      <c r="I29" s="37">
        <v>0</v>
      </c>
      <c r="J29" s="37">
        <v>0</v>
      </c>
      <c r="K29" s="37">
        <v>0</v>
      </c>
      <c r="L29" s="452"/>
      <c r="M29" s="497"/>
      <c r="N29" s="50"/>
      <c r="O29" s="46"/>
      <c r="P29" s="46"/>
      <c r="Q29" s="46"/>
      <c r="R29" s="46"/>
      <c r="S29" s="46"/>
    </row>
    <row r="30" spans="1:20" ht="75" customHeight="1" x14ac:dyDescent="0.25">
      <c r="A30" s="476"/>
      <c r="B30" s="456"/>
      <c r="C30" s="461"/>
      <c r="D30" s="36" t="s">
        <v>51</v>
      </c>
      <c r="E30" s="37">
        <v>11724.42</v>
      </c>
      <c r="F30" s="34">
        <f t="shared" si="10"/>
        <v>49139.636999999995</v>
      </c>
      <c r="G30" s="37">
        <f>8743.755-931.031</f>
        <v>7812.7239999999993</v>
      </c>
      <c r="H30" s="435">
        <f>8743.755+6351.893</f>
        <v>15095.647999999999</v>
      </c>
      <c r="I30" s="37">
        <v>8743.7549999999992</v>
      </c>
      <c r="J30" s="37">
        <v>8743.7549999999992</v>
      </c>
      <c r="K30" s="37">
        <v>8743.7549999999992</v>
      </c>
      <c r="L30" s="453"/>
      <c r="M30" s="498"/>
      <c r="N30" s="28"/>
      <c r="O30" s="51"/>
      <c r="P30" s="38"/>
      <c r="Q30" s="38"/>
    </row>
    <row r="31" spans="1:20" ht="117" customHeight="1" x14ac:dyDescent="0.25">
      <c r="A31" s="52" t="s">
        <v>99</v>
      </c>
      <c r="B31" s="53" t="s">
        <v>159</v>
      </c>
      <c r="C31" s="36" t="s">
        <v>149</v>
      </c>
      <c r="D31" s="32" t="s">
        <v>12</v>
      </c>
      <c r="E31" s="37">
        <v>4800</v>
      </c>
      <c r="F31" s="34">
        <f t="shared" si="10"/>
        <v>2925.3140000000003</v>
      </c>
      <c r="G31" s="37">
        <f>1135.422-184.356</f>
        <v>951.06600000000003</v>
      </c>
      <c r="H31" s="356">
        <v>1974.248</v>
      </c>
      <c r="I31" s="37">
        <v>0</v>
      </c>
      <c r="J31" s="37">
        <v>0</v>
      </c>
      <c r="K31" s="37">
        <v>0</v>
      </c>
      <c r="L31" s="54" t="s">
        <v>8</v>
      </c>
      <c r="M31" s="55" t="s">
        <v>218</v>
      </c>
      <c r="N31" s="28"/>
    </row>
    <row r="32" spans="1:20" ht="89.25" customHeight="1" x14ac:dyDescent="0.25">
      <c r="A32" s="56" t="s">
        <v>100</v>
      </c>
      <c r="B32" s="57" t="s">
        <v>160</v>
      </c>
      <c r="C32" s="36" t="s">
        <v>149</v>
      </c>
      <c r="D32" s="32" t="s">
        <v>12</v>
      </c>
      <c r="E32" s="33">
        <v>490</v>
      </c>
      <c r="F32" s="34">
        <f t="shared" si="10"/>
        <v>0</v>
      </c>
      <c r="G32" s="33">
        <f>1000-1000</f>
        <v>0</v>
      </c>
      <c r="H32" s="355">
        <v>0</v>
      </c>
      <c r="I32" s="33">
        <v>0</v>
      </c>
      <c r="J32" s="33">
        <v>0</v>
      </c>
      <c r="K32" s="33">
        <v>0</v>
      </c>
      <c r="L32" s="58" t="s">
        <v>11</v>
      </c>
      <c r="M32" s="55" t="s">
        <v>215</v>
      </c>
      <c r="O32" s="38"/>
      <c r="P32" s="38"/>
      <c r="Q32" s="38"/>
    </row>
    <row r="33" spans="1:20" ht="97.5" customHeight="1" x14ac:dyDescent="0.25">
      <c r="A33" s="475" t="s">
        <v>101</v>
      </c>
      <c r="B33" s="462" t="s">
        <v>289</v>
      </c>
      <c r="C33" s="460" t="s">
        <v>149</v>
      </c>
      <c r="D33" s="32" t="s">
        <v>12</v>
      </c>
      <c r="E33" s="33">
        <v>500</v>
      </c>
      <c r="F33" s="34">
        <f t="shared" ref="F33:F34" si="11">SUM(G33:K33)</f>
        <v>500</v>
      </c>
      <c r="G33" s="33">
        <f>1000-500</f>
        <v>500</v>
      </c>
      <c r="H33" s="355">
        <v>0</v>
      </c>
      <c r="I33" s="33">
        <v>0</v>
      </c>
      <c r="J33" s="33">
        <v>0</v>
      </c>
      <c r="K33" s="33">
        <v>0</v>
      </c>
      <c r="L33" s="502" t="s">
        <v>11</v>
      </c>
      <c r="M33" s="482" t="s">
        <v>216</v>
      </c>
      <c r="O33" s="38"/>
      <c r="P33" s="38"/>
      <c r="Q33" s="38"/>
    </row>
    <row r="34" spans="1:20" ht="80.25" customHeight="1" x14ac:dyDescent="0.25">
      <c r="A34" s="476"/>
      <c r="B34" s="464"/>
      <c r="C34" s="461"/>
      <c r="D34" s="32" t="s">
        <v>5</v>
      </c>
      <c r="E34" s="33">
        <v>500</v>
      </c>
      <c r="F34" s="34">
        <f t="shared" si="11"/>
        <v>500</v>
      </c>
      <c r="G34" s="33">
        <f>500</f>
        <v>500</v>
      </c>
      <c r="H34" s="355">
        <v>0</v>
      </c>
      <c r="I34" s="33">
        <v>0</v>
      </c>
      <c r="J34" s="33">
        <v>0</v>
      </c>
      <c r="K34" s="33">
        <v>0</v>
      </c>
      <c r="L34" s="503"/>
      <c r="M34" s="484"/>
      <c r="N34" s="46"/>
    </row>
    <row r="35" spans="1:20" ht="56.25" x14ac:dyDescent="0.25">
      <c r="A35" s="475" t="s">
        <v>102</v>
      </c>
      <c r="B35" s="477" t="s">
        <v>161</v>
      </c>
      <c r="C35" s="460" t="s">
        <v>149</v>
      </c>
      <c r="D35" s="32" t="s">
        <v>12</v>
      </c>
      <c r="E35" s="37">
        <f>389.25+1263.75</f>
        <v>1653</v>
      </c>
      <c r="F35" s="34">
        <f t="shared" ref="F35:F42" si="12">SUM(G35:K35)</f>
        <v>1642.23</v>
      </c>
      <c r="G35" s="37">
        <v>800</v>
      </c>
      <c r="H35" s="356">
        <v>842.23</v>
      </c>
      <c r="I35" s="37">
        <v>0</v>
      </c>
      <c r="J35" s="37">
        <v>0</v>
      </c>
      <c r="K35" s="37">
        <v>0</v>
      </c>
      <c r="L35" s="471" t="s">
        <v>8</v>
      </c>
      <c r="M35" s="482" t="s">
        <v>217</v>
      </c>
      <c r="O35" s="46"/>
      <c r="P35" s="46"/>
      <c r="Q35" s="46"/>
      <c r="R35" s="46"/>
      <c r="S35" s="46"/>
      <c r="T35" s="46"/>
    </row>
    <row r="36" spans="1:20" s="349" customFormat="1" ht="119.25" customHeight="1" x14ac:dyDescent="0.25">
      <c r="A36" s="476"/>
      <c r="B36" s="478"/>
      <c r="C36" s="461"/>
      <c r="D36" s="444" t="s">
        <v>91</v>
      </c>
      <c r="E36" s="445">
        <v>0</v>
      </c>
      <c r="F36" s="446">
        <f t="shared" si="12"/>
        <v>399.10399999999998</v>
      </c>
      <c r="G36" s="445">
        <v>0</v>
      </c>
      <c r="H36" s="435">
        <v>399.10399999999998</v>
      </c>
      <c r="I36" s="445">
        <v>0</v>
      </c>
      <c r="J36" s="445">
        <v>0</v>
      </c>
      <c r="K36" s="445">
        <v>0</v>
      </c>
      <c r="L36" s="472"/>
      <c r="M36" s="484"/>
      <c r="O36" s="405"/>
      <c r="P36" s="405"/>
      <c r="Q36" s="405"/>
      <c r="R36" s="405"/>
      <c r="S36" s="405"/>
      <c r="T36" s="405"/>
    </row>
    <row r="37" spans="1:20" ht="61.5" customHeight="1" x14ac:dyDescent="0.25">
      <c r="A37" s="485" t="s">
        <v>103</v>
      </c>
      <c r="B37" s="462" t="s">
        <v>162</v>
      </c>
      <c r="C37" s="460" t="s">
        <v>149</v>
      </c>
      <c r="D37" s="32" t="s">
        <v>12</v>
      </c>
      <c r="E37" s="33">
        <v>3722.1550000000002</v>
      </c>
      <c r="F37" s="34">
        <f t="shared" si="12"/>
        <v>7862.66</v>
      </c>
      <c r="G37" s="33">
        <f>7366.42+496.24</f>
        <v>7862.66</v>
      </c>
      <c r="H37" s="355">
        <v>0</v>
      </c>
      <c r="I37" s="33">
        <v>0</v>
      </c>
      <c r="J37" s="33">
        <v>0</v>
      </c>
      <c r="K37" s="33">
        <v>0</v>
      </c>
      <c r="L37" s="469" t="s">
        <v>143</v>
      </c>
      <c r="M37" s="482" t="s">
        <v>220</v>
      </c>
      <c r="N37" s="46"/>
    </row>
    <row r="38" spans="1:20" ht="40.5" customHeight="1" x14ac:dyDescent="0.25">
      <c r="A38" s="486"/>
      <c r="B38" s="463"/>
      <c r="C38" s="499"/>
      <c r="D38" s="32" t="s">
        <v>5</v>
      </c>
      <c r="E38" s="33">
        <v>0</v>
      </c>
      <c r="F38" s="34">
        <f t="shared" si="12"/>
        <v>0</v>
      </c>
      <c r="G38" s="33">
        <v>0</v>
      </c>
      <c r="H38" s="355">
        <v>0</v>
      </c>
      <c r="I38" s="33">
        <v>0</v>
      </c>
      <c r="J38" s="33">
        <v>0</v>
      </c>
      <c r="K38" s="33">
        <v>0</v>
      </c>
      <c r="L38" s="501"/>
      <c r="M38" s="483"/>
      <c r="N38" s="50"/>
    </row>
    <row r="39" spans="1:20" ht="113.25" customHeight="1" x14ac:dyDescent="0.25">
      <c r="A39" s="487"/>
      <c r="B39" s="464"/>
      <c r="C39" s="461"/>
      <c r="D39" s="32" t="s">
        <v>91</v>
      </c>
      <c r="E39" s="33">
        <f>2400-110</f>
        <v>2290</v>
      </c>
      <c r="F39" s="34">
        <f t="shared" si="12"/>
        <v>1355.499</v>
      </c>
      <c r="G39" s="33">
        <v>1355.499</v>
      </c>
      <c r="H39" s="355">
        <v>0</v>
      </c>
      <c r="I39" s="33">
        <v>0</v>
      </c>
      <c r="J39" s="33">
        <v>0</v>
      </c>
      <c r="K39" s="33">
        <v>0</v>
      </c>
      <c r="L39" s="470"/>
      <c r="M39" s="484"/>
      <c r="N39" s="61"/>
      <c r="O39" s="46"/>
      <c r="P39" s="46"/>
      <c r="Q39" s="46"/>
    </row>
    <row r="40" spans="1:20" ht="55.5" customHeight="1" x14ac:dyDescent="0.25">
      <c r="A40" s="485" t="s">
        <v>104</v>
      </c>
      <c r="B40" s="462" t="s">
        <v>163</v>
      </c>
      <c r="C40" s="460" t="s">
        <v>149</v>
      </c>
      <c r="D40" s="32" t="s">
        <v>12</v>
      </c>
      <c r="E40" s="33">
        <v>0</v>
      </c>
      <c r="F40" s="34">
        <f t="shared" si="12"/>
        <v>0</v>
      </c>
      <c r="G40" s="33">
        <v>0</v>
      </c>
      <c r="H40" s="355">
        <v>0</v>
      </c>
      <c r="I40" s="33">
        <v>0</v>
      </c>
      <c r="J40" s="33">
        <v>0</v>
      </c>
      <c r="K40" s="33">
        <v>0</v>
      </c>
      <c r="L40" s="469" t="s">
        <v>143</v>
      </c>
      <c r="M40" s="482" t="s">
        <v>288</v>
      </c>
      <c r="N40" s="46"/>
      <c r="O40" s="46"/>
      <c r="P40" s="46"/>
      <c r="Q40" s="46"/>
    </row>
    <row r="41" spans="1:20" ht="121.5" customHeight="1" x14ac:dyDescent="0.25">
      <c r="A41" s="487"/>
      <c r="B41" s="464"/>
      <c r="C41" s="461"/>
      <c r="D41" s="32" t="s">
        <v>91</v>
      </c>
      <c r="E41" s="33">
        <v>0</v>
      </c>
      <c r="F41" s="34">
        <f t="shared" si="12"/>
        <v>0</v>
      </c>
      <c r="G41" s="33">
        <v>0</v>
      </c>
      <c r="H41" s="355">
        <f>20000-20000</f>
        <v>0</v>
      </c>
      <c r="I41" s="33">
        <v>0</v>
      </c>
      <c r="J41" s="33">
        <f>20000-20000</f>
        <v>0</v>
      </c>
      <c r="K41" s="33">
        <v>0</v>
      </c>
      <c r="L41" s="470"/>
      <c r="M41" s="484"/>
      <c r="N41" s="46"/>
      <c r="O41" s="46"/>
      <c r="P41" s="46"/>
      <c r="Q41" s="46"/>
    </row>
    <row r="42" spans="1:20" ht="198" customHeight="1" x14ac:dyDescent="0.25">
      <c r="A42" s="43" t="s">
        <v>105</v>
      </c>
      <c r="B42" s="59" t="s">
        <v>164</v>
      </c>
      <c r="C42" s="36" t="s">
        <v>149</v>
      </c>
      <c r="D42" s="36" t="s">
        <v>5</v>
      </c>
      <c r="E42" s="37">
        <f>5440+250+100</f>
        <v>5790</v>
      </c>
      <c r="F42" s="34">
        <f t="shared" si="12"/>
        <v>4238</v>
      </c>
      <c r="G42" s="37">
        <f>900+500+100+100+319+20+600+271+150+128</f>
        <v>3088</v>
      </c>
      <c r="H42" s="435">
        <f>1000+150</f>
        <v>1150</v>
      </c>
      <c r="I42" s="37">
        <v>0</v>
      </c>
      <c r="J42" s="37">
        <v>0</v>
      </c>
      <c r="K42" s="37">
        <v>0</v>
      </c>
      <c r="L42" s="60" t="s">
        <v>8</v>
      </c>
      <c r="M42" s="45" t="s">
        <v>282</v>
      </c>
      <c r="N42" s="38"/>
    </row>
    <row r="43" spans="1:20" ht="164.25" customHeight="1" x14ac:dyDescent="0.25">
      <c r="A43" s="62" t="s">
        <v>106</v>
      </c>
      <c r="B43" s="63" t="s">
        <v>179</v>
      </c>
      <c r="C43" s="64" t="s">
        <v>149</v>
      </c>
      <c r="D43" s="65" t="s">
        <v>5</v>
      </c>
      <c r="E43" s="33">
        <v>74718</v>
      </c>
      <c r="F43" s="34">
        <f>SUM(G43:K43)</f>
        <v>465988</v>
      </c>
      <c r="G43" s="66">
        <f>101366+4199</f>
        <v>105565</v>
      </c>
      <c r="H43" s="355">
        <f>115822+4319</f>
        <v>120141</v>
      </c>
      <c r="I43" s="33">
        <f t="shared" ref="I43:J43" si="13">115822+4319</f>
        <v>120141</v>
      </c>
      <c r="J43" s="33">
        <f t="shared" si="13"/>
        <v>120141</v>
      </c>
      <c r="K43" s="33">
        <v>0</v>
      </c>
      <c r="L43" s="67" t="s">
        <v>44</v>
      </c>
      <c r="M43" s="45" t="s">
        <v>82</v>
      </c>
      <c r="O43" s="38"/>
      <c r="P43" s="38"/>
    </row>
    <row r="44" spans="1:20" ht="45" customHeight="1" x14ac:dyDescent="0.25">
      <c r="A44" s="492" t="s">
        <v>107</v>
      </c>
      <c r="B44" s="465" t="s">
        <v>180</v>
      </c>
      <c r="C44" s="473" t="s">
        <v>149</v>
      </c>
      <c r="D44" s="68" t="s">
        <v>5</v>
      </c>
      <c r="E44" s="69">
        <v>0</v>
      </c>
      <c r="F44" s="70">
        <f t="shared" ref="F44:F47" si="14">SUM(G44:K44)</f>
        <v>0</v>
      </c>
      <c r="G44" s="69">
        <v>0</v>
      </c>
      <c r="H44" s="357">
        <v>0</v>
      </c>
      <c r="I44" s="69">
        <v>0</v>
      </c>
      <c r="J44" s="69">
        <v>0</v>
      </c>
      <c r="K44" s="69">
        <v>0</v>
      </c>
      <c r="L44" s="467" t="s">
        <v>11</v>
      </c>
      <c r="M44" s="494" t="s">
        <v>83</v>
      </c>
    </row>
    <row r="45" spans="1:20" ht="63" customHeight="1" x14ac:dyDescent="0.25">
      <c r="A45" s="493"/>
      <c r="B45" s="466"/>
      <c r="C45" s="474"/>
      <c r="D45" s="68" t="s">
        <v>23</v>
      </c>
      <c r="E45" s="71">
        <v>4445.7</v>
      </c>
      <c r="F45" s="70">
        <f t="shared" si="14"/>
        <v>23794.928000000004</v>
      </c>
      <c r="G45" s="71">
        <f>4398.288+286.4</f>
        <v>4684.6879999999992</v>
      </c>
      <c r="H45" s="358">
        <v>4777.5600000000004</v>
      </c>
      <c r="I45" s="71">
        <v>4777.5600000000004</v>
      </c>
      <c r="J45" s="71">
        <v>4777.5600000000004</v>
      </c>
      <c r="K45" s="71">
        <v>4777.5600000000004</v>
      </c>
      <c r="L45" s="468"/>
      <c r="M45" s="495"/>
      <c r="N45" s="46"/>
    </row>
    <row r="46" spans="1:20" ht="87.75" customHeight="1" x14ac:dyDescent="0.25">
      <c r="A46" s="72" t="s">
        <v>108</v>
      </c>
      <c r="B46" s="73" t="s">
        <v>181</v>
      </c>
      <c r="C46" s="74" t="s">
        <v>149</v>
      </c>
      <c r="D46" s="68" t="s">
        <v>12</v>
      </c>
      <c r="E46" s="71">
        <v>1500</v>
      </c>
      <c r="F46" s="70">
        <f t="shared" si="14"/>
        <v>1087.5</v>
      </c>
      <c r="G46" s="71">
        <v>387.5</v>
      </c>
      <c r="H46" s="358">
        <v>700</v>
      </c>
      <c r="I46" s="71">
        <v>0</v>
      </c>
      <c r="J46" s="71">
        <v>0</v>
      </c>
      <c r="K46" s="71">
        <v>0</v>
      </c>
      <c r="L46" s="75" t="s">
        <v>11</v>
      </c>
      <c r="M46" s="76" t="s">
        <v>228</v>
      </c>
      <c r="N46" s="46"/>
    </row>
    <row r="47" spans="1:20" ht="121.5" customHeight="1" x14ac:dyDescent="0.25">
      <c r="A47" s="77" t="s">
        <v>109</v>
      </c>
      <c r="B47" s="78" t="s">
        <v>269</v>
      </c>
      <c r="C47" s="68" t="s">
        <v>149</v>
      </c>
      <c r="D47" s="68" t="s">
        <v>91</v>
      </c>
      <c r="E47" s="71">
        <v>0</v>
      </c>
      <c r="F47" s="70">
        <f t="shared" si="14"/>
        <v>500</v>
      </c>
      <c r="G47" s="71">
        <f>450+50</f>
        <v>500</v>
      </c>
      <c r="H47" s="358">
        <v>0</v>
      </c>
      <c r="I47" s="71">
        <v>0</v>
      </c>
      <c r="J47" s="71">
        <v>0</v>
      </c>
      <c r="K47" s="71">
        <v>0</v>
      </c>
      <c r="L47" s="75" t="s">
        <v>11</v>
      </c>
      <c r="M47" s="79" t="s">
        <v>280</v>
      </c>
      <c r="N47" s="46"/>
    </row>
    <row r="48" spans="1:20" ht="120.75" customHeight="1" x14ac:dyDescent="0.25">
      <c r="A48" s="77" t="s">
        <v>110</v>
      </c>
      <c r="B48" s="78" t="s">
        <v>300</v>
      </c>
      <c r="C48" s="68" t="s">
        <v>149</v>
      </c>
      <c r="D48" s="68" t="s">
        <v>12</v>
      </c>
      <c r="E48" s="71">
        <v>0</v>
      </c>
      <c r="F48" s="70">
        <v>380160</v>
      </c>
      <c r="G48" s="71">
        <v>0</v>
      </c>
      <c r="H48" s="358">
        <v>95040</v>
      </c>
      <c r="I48" s="71">
        <v>95040</v>
      </c>
      <c r="J48" s="71">
        <v>95040</v>
      </c>
      <c r="K48" s="71">
        <v>95040</v>
      </c>
      <c r="L48" s="75" t="s">
        <v>11</v>
      </c>
      <c r="M48" s="79" t="s">
        <v>301</v>
      </c>
      <c r="N48" s="46"/>
    </row>
    <row r="49" spans="1:15" ht="27" customHeight="1" x14ac:dyDescent="0.25">
      <c r="A49" s="488"/>
      <c r="B49" s="508" t="s">
        <v>248</v>
      </c>
      <c r="C49" s="504" t="s">
        <v>149</v>
      </c>
      <c r="D49" s="22" t="s">
        <v>10</v>
      </c>
      <c r="E49" s="23">
        <f>SUM(E50:E53)</f>
        <v>2347.585</v>
      </c>
      <c r="F49" s="24">
        <f>SUM(F50:F53)</f>
        <v>664907.679</v>
      </c>
      <c r="G49" s="23">
        <f>SUM(G50:G53)</f>
        <v>298753.99200000003</v>
      </c>
      <c r="H49" s="352">
        <f t="shared" ref="H49:K49" si="15">SUM(H50:H53)</f>
        <v>366153.68699999998</v>
      </c>
      <c r="I49" s="23">
        <f t="shared" si="15"/>
        <v>0</v>
      </c>
      <c r="J49" s="23">
        <f t="shared" si="15"/>
        <v>0</v>
      </c>
      <c r="K49" s="23">
        <f t="shared" si="15"/>
        <v>0</v>
      </c>
      <c r="L49" s="457"/>
      <c r="M49" s="479"/>
    </row>
    <row r="50" spans="1:15" ht="36.75" customHeight="1" x14ac:dyDescent="0.25">
      <c r="A50" s="489"/>
      <c r="B50" s="509"/>
      <c r="C50" s="505"/>
      <c r="D50" s="25" t="s">
        <v>5</v>
      </c>
      <c r="E50" s="30">
        <f>E56+E57</f>
        <v>0</v>
      </c>
      <c r="F50" s="27">
        <f t="shared" ref="F50:F51" si="16">SUM(G50:K50)</f>
        <v>25193</v>
      </c>
      <c r="G50" s="30">
        <f>G56+G57</f>
        <v>0</v>
      </c>
      <c r="H50" s="354">
        <f>H56+H59</f>
        <v>25193</v>
      </c>
      <c r="I50" s="30">
        <f>I59+I62</f>
        <v>0</v>
      </c>
      <c r="J50" s="30">
        <f>J59+J62</f>
        <v>0</v>
      </c>
      <c r="K50" s="30">
        <f>K62</f>
        <v>0</v>
      </c>
      <c r="L50" s="458"/>
      <c r="M50" s="480"/>
    </row>
    <row r="51" spans="1:15" ht="57" customHeight="1" x14ac:dyDescent="0.25">
      <c r="A51" s="489"/>
      <c r="B51" s="509"/>
      <c r="C51" s="505"/>
      <c r="D51" s="25" t="s">
        <v>12</v>
      </c>
      <c r="E51" s="26">
        <f>E54+E58</f>
        <v>0</v>
      </c>
      <c r="F51" s="27">
        <f t="shared" si="16"/>
        <v>1326</v>
      </c>
      <c r="G51" s="26">
        <f>G54+G58</f>
        <v>0</v>
      </c>
      <c r="H51" s="353">
        <f>H54+H60</f>
        <v>1326</v>
      </c>
      <c r="I51" s="26">
        <f>I60+I63</f>
        <v>0</v>
      </c>
      <c r="J51" s="26">
        <f>I60+I63</f>
        <v>0</v>
      </c>
      <c r="K51" s="26">
        <f>K63</f>
        <v>0</v>
      </c>
      <c r="L51" s="458"/>
      <c r="M51" s="480"/>
    </row>
    <row r="52" spans="1:15" ht="117" customHeight="1" x14ac:dyDescent="0.25">
      <c r="A52" s="489"/>
      <c r="B52" s="509"/>
      <c r="C52" s="505"/>
      <c r="D52" s="80" t="s">
        <v>91</v>
      </c>
      <c r="E52" s="81">
        <f>E55</f>
        <v>2347.585</v>
      </c>
      <c r="F52" s="27">
        <f>SUM(G52:K52)</f>
        <v>350388.679</v>
      </c>
      <c r="G52" s="81">
        <f t="shared" ref="G52:J52" si="17">G55</f>
        <v>10753.992</v>
      </c>
      <c r="H52" s="359">
        <f>H55</f>
        <v>339634.68699999998</v>
      </c>
      <c r="I52" s="81" t="str">
        <f t="shared" si="17"/>
        <v xml:space="preserve"> -</v>
      </c>
      <c r="J52" s="81" t="str">
        <f t="shared" si="17"/>
        <v xml:space="preserve"> -</v>
      </c>
      <c r="K52" s="81" t="s">
        <v>249</v>
      </c>
      <c r="L52" s="458"/>
      <c r="M52" s="480"/>
    </row>
    <row r="53" spans="1:15" ht="18.75" x14ac:dyDescent="0.25">
      <c r="A53" s="490"/>
      <c r="B53" s="510"/>
      <c r="C53" s="506"/>
      <c r="D53" s="80" t="s">
        <v>4</v>
      </c>
      <c r="E53" s="81">
        <f>E62</f>
        <v>0</v>
      </c>
      <c r="F53" s="27">
        <f>SUM(G53:K53)</f>
        <v>288000</v>
      </c>
      <c r="G53" s="82">
        <f>G64</f>
        <v>288000</v>
      </c>
      <c r="H53" s="359">
        <f>H64</f>
        <v>0</v>
      </c>
      <c r="I53" s="81">
        <v>0</v>
      </c>
      <c r="J53" s="81">
        <v>0</v>
      </c>
      <c r="K53" s="81">
        <v>0</v>
      </c>
      <c r="L53" s="459"/>
      <c r="M53" s="481"/>
    </row>
    <row r="54" spans="1:15" ht="56.25" customHeight="1" x14ac:dyDescent="0.25">
      <c r="A54" s="448" t="s">
        <v>111</v>
      </c>
      <c r="B54" s="512" t="s">
        <v>277</v>
      </c>
      <c r="C54" s="514" t="s">
        <v>281</v>
      </c>
      <c r="D54" s="83" t="s">
        <v>9</v>
      </c>
      <c r="E54" s="84">
        <v>0</v>
      </c>
      <c r="F54" s="85">
        <f>SUM(G54:K54)</f>
        <v>0</v>
      </c>
      <c r="G54" s="84">
        <v>0</v>
      </c>
      <c r="H54" s="360">
        <v>0</v>
      </c>
      <c r="I54" s="86" t="s">
        <v>249</v>
      </c>
      <c r="J54" s="86" t="s">
        <v>42</v>
      </c>
      <c r="K54" s="86" t="s">
        <v>42</v>
      </c>
      <c r="L54" s="544" t="s">
        <v>43</v>
      </c>
      <c r="M54" s="547" t="s">
        <v>316</v>
      </c>
      <c r="N54" s="28"/>
      <c r="O54" s="28"/>
    </row>
    <row r="55" spans="1:15" ht="115.5" customHeight="1" x14ac:dyDescent="0.25">
      <c r="A55" s="448"/>
      <c r="B55" s="512"/>
      <c r="C55" s="514"/>
      <c r="D55" s="83" t="s">
        <v>91</v>
      </c>
      <c r="E55" s="84">
        <v>2347.585</v>
      </c>
      <c r="F55" s="85">
        <f>SUM(G55:J55)</f>
        <v>350388.679</v>
      </c>
      <c r="G55" s="437">
        <v>10753.992</v>
      </c>
      <c r="H55" s="360">
        <f>36312.49+295712.4+9957.382-2347.585</f>
        <v>339634.68699999998</v>
      </c>
      <c r="I55" s="84" t="s">
        <v>249</v>
      </c>
      <c r="J55" s="86" t="s">
        <v>249</v>
      </c>
      <c r="K55" s="86" t="s">
        <v>42</v>
      </c>
      <c r="L55" s="545"/>
      <c r="M55" s="548"/>
      <c r="N55" s="28"/>
      <c r="O55" s="28"/>
    </row>
    <row r="56" spans="1:15" ht="37.5" x14ac:dyDescent="0.25">
      <c r="A56" s="448"/>
      <c r="B56" s="512"/>
      <c r="C56" s="514"/>
      <c r="D56" s="83" t="s">
        <v>5</v>
      </c>
      <c r="E56" s="84">
        <f>55440-55440</f>
        <v>0</v>
      </c>
      <c r="F56" s="85">
        <f>SUM(G56:J56)</f>
        <v>0</v>
      </c>
      <c r="G56" s="437">
        <v>0</v>
      </c>
      <c r="H56" s="360">
        <v>0</v>
      </c>
      <c r="I56" s="84" t="s">
        <v>42</v>
      </c>
      <c r="J56" s="86" t="s">
        <v>42</v>
      </c>
      <c r="K56" s="86" t="s">
        <v>42</v>
      </c>
      <c r="L56" s="545"/>
      <c r="M56" s="548"/>
      <c r="N56" s="28"/>
      <c r="O56" s="28"/>
    </row>
    <row r="57" spans="1:15" ht="37.5" x14ac:dyDescent="0.25">
      <c r="A57" s="448" t="s">
        <v>112</v>
      </c>
      <c r="B57" s="512" t="s">
        <v>182</v>
      </c>
      <c r="C57" s="543" t="s">
        <v>46</v>
      </c>
      <c r="D57" s="83" t="s">
        <v>5</v>
      </c>
      <c r="E57" s="84">
        <v>0</v>
      </c>
      <c r="F57" s="85">
        <f t="shared" ref="F57:F58" si="18">SUM(G57:J57)</f>
        <v>0</v>
      </c>
      <c r="G57" s="84">
        <f>124500-124500</f>
        <v>0</v>
      </c>
      <c r="H57" s="361" t="s">
        <v>42</v>
      </c>
      <c r="I57" s="84" t="s">
        <v>42</v>
      </c>
      <c r="J57" s="84" t="s">
        <v>42</v>
      </c>
      <c r="K57" s="84" t="s">
        <v>42</v>
      </c>
      <c r="L57" s="545"/>
      <c r="M57" s="548"/>
    </row>
    <row r="58" spans="1:15" ht="60" customHeight="1" x14ac:dyDescent="0.25">
      <c r="A58" s="448"/>
      <c r="B58" s="512"/>
      <c r="C58" s="543"/>
      <c r="D58" s="83" t="s">
        <v>9</v>
      </c>
      <c r="E58" s="84">
        <v>0</v>
      </c>
      <c r="F58" s="85">
        <f t="shared" si="18"/>
        <v>0</v>
      </c>
      <c r="G58" s="84">
        <f>10500-10500</f>
        <v>0</v>
      </c>
      <c r="H58" s="361" t="s">
        <v>42</v>
      </c>
      <c r="I58" s="84" t="s">
        <v>42</v>
      </c>
      <c r="J58" s="84" t="s">
        <v>42</v>
      </c>
      <c r="K58" s="84" t="s">
        <v>42</v>
      </c>
      <c r="L58" s="545"/>
      <c r="M58" s="548"/>
    </row>
    <row r="59" spans="1:15" ht="42.75" customHeight="1" x14ac:dyDescent="0.25">
      <c r="A59" s="448" t="s">
        <v>113</v>
      </c>
      <c r="B59" s="512" t="s">
        <v>302</v>
      </c>
      <c r="C59" s="543" t="s">
        <v>303</v>
      </c>
      <c r="D59" s="83" t="s">
        <v>5</v>
      </c>
      <c r="E59" s="84">
        <v>0</v>
      </c>
      <c r="F59" s="85">
        <f t="shared" ref="F59:F62" si="19">SUM(G59:K59)</f>
        <v>25193</v>
      </c>
      <c r="G59" s="87" t="s">
        <v>42</v>
      </c>
      <c r="H59" s="360">
        <f>25193</f>
        <v>25193</v>
      </c>
      <c r="I59" s="84">
        <v>0</v>
      </c>
      <c r="J59" s="84">
        <v>0</v>
      </c>
      <c r="K59" s="84" t="s">
        <v>304</v>
      </c>
      <c r="L59" s="545"/>
      <c r="M59" s="548"/>
    </row>
    <row r="60" spans="1:15" ht="60" customHeight="1" x14ac:dyDescent="0.25">
      <c r="A60" s="448"/>
      <c r="B60" s="512"/>
      <c r="C60" s="543"/>
      <c r="D60" s="83" t="s">
        <v>9</v>
      </c>
      <c r="E60" s="84">
        <v>0</v>
      </c>
      <c r="F60" s="85">
        <f t="shared" si="19"/>
        <v>1326</v>
      </c>
      <c r="G60" s="87" t="s">
        <v>42</v>
      </c>
      <c r="H60" s="360">
        <v>1326</v>
      </c>
      <c r="I60" s="84">
        <v>0</v>
      </c>
      <c r="J60" s="84">
        <v>0</v>
      </c>
      <c r="K60" s="84" t="s">
        <v>304</v>
      </c>
      <c r="L60" s="545"/>
      <c r="M60" s="548"/>
    </row>
    <row r="61" spans="1:15" ht="93.75" x14ac:dyDescent="0.25">
      <c r="A61" s="448"/>
      <c r="B61" s="512"/>
      <c r="C61" s="543"/>
      <c r="D61" s="83" t="s">
        <v>317</v>
      </c>
      <c r="E61" s="84">
        <v>0</v>
      </c>
      <c r="F61" s="85">
        <f t="shared" si="19"/>
        <v>1326</v>
      </c>
      <c r="G61" s="87" t="s">
        <v>249</v>
      </c>
      <c r="H61" s="360">
        <v>1326</v>
      </c>
      <c r="I61" s="84">
        <v>0</v>
      </c>
      <c r="J61" s="84">
        <v>0</v>
      </c>
      <c r="K61" s="84" t="s">
        <v>249</v>
      </c>
      <c r="L61" s="545"/>
      <c r="M61" s="548"/>
    </row>
    <row r="62" spans="1:15" ht="37.5" customHeight="1" x14ac:dyDescent="0.25">
      <c r="A62" s="448" t="s">
        <v>114</v>
      </c>
      <c r="B62" s="512" t="s">
        <v>305</v>
      </c>
      <c r="C62" s="543" t="s">
        <v>306</v>
      </c>
      <c r="D62" s="83" t="s">
        <v>5</v>
      </c>
      <c r="E62" s="84">
        <v>0</v>
      </c>
      <c r="F62" s="85">
        <f t="shared" si="19"/>
        <v>0</v>
      </c>
      <c r="G62" s="87" t="s">
        <v>304</v>
      </c>
      <c r="H62" s="360" t="s">
        <v>304</v>
      </c>
      <c r="I62" s="84">
        <v>0</v>
      </c>
      <c r="J62" s="84">
        <v>0</v>
      </c>
      <c r="K62" s="84">
        <v>0</v>
      </c>
      <c r="L62" s="545"/>
      <c r="M62" s="548"/>
    </row>
    <row r="63" spans="1:15" ht="56.25" x14ac:dyDescent="0.25">
      <c r="A63" s="448"/>
      <c r="B63" s="512"/>
      <c r="C63" s="543"/>
      <c r="D63" s="83" t="s">
        <v>9</v>
      </c>
      <c r="E63" s="84">
        <v>0</v>
      </c>
      <c r="F63" s="85">
        <f>SUM(G63:K63)</f>
        <v>0</v>
      </c>
      <c r="G63" s="87" t="s">
        <v>304</v>
      </c>
      <c r="H63" s="360" t="s">
        <v>304</v>
      </c>
      <c r="I63" s="84">
        <v>0</v>
      </c>
      <c r="J63" s="84">
        <v>0</v>
      </c>
      <c r="K63" s="84">
        <v>0</v>
      </c>
      <c r="L63" s="545"/>
      <c r="M63" s="548"/>
    </row>
    <row r="64" spans="1:15" ht="56.25" x14ac:dyDescent="0.25">
      <c r="A64" s="88" t="s">
        <v>115</v>
      </c>
      <c r="B64" s="89" t="s">
        <v>307</v>
      </c>
      <c r="C64" s="90" t="s">
        <v>258</v>
      </c>
      <c r="D64" s="83" t="s">
        <v>4</v>
      </c>
      <c r="E64" s="84">
        <v>20000</v>
      </c>
      <c r="F64" s="91">
        <f t="shared" ref="F64" si="20">SUM(G64:J64)</f>
        <v>288000</v>
      </c>
      <c r="G64" s="84">
        <f>40000+248000</f>
        <v>288000</v>
      </c>
      <c r="H64" s="360">
        <v>0</v>
      </c>
      <c r="I64" s="84" t="s">
        <v>42</v>
      </c>
      <c r="J64" s="84" t="s">
        <v>42</v>
      </c>
      <c r="K64" s="92" t="s">
        <v>42</v>
      </c>
      <c r="L64" s="546"/>
      <c r="M64" s="549"/>
    </row>
    <row r="65" spans="1:13" ht="18.75" x14ac:dyDescent="0.3">
      <c r="A65" s="449" t="s">
        <v>56</v>
      </c>
      <c r="B65" s="450"/>
      <c r="C65" s="450"/>
      <c r="D65" s="450"/>
      <c r="E65" s="93">
        <f>SUM(E66:E72)-E68</f>
        <v>2338489.4780000001</v>
      </c>
      <c r="F65" s="93">
        <f t="shared" ref="F65:K65" si="21">SUM(F66:F72)-F68</f>
        <v>12670752.844000001</v>
      </c>
      <c r="G65" s="93">
        <f t="shared" si="21"/>
        <v>2915618.3259999999</v>
      </c>
      <c r="H65" s="362">
        <f t="shared" si="21"/>
        <v>3116029.3819999998</v>
      </c>
      <c r="I65" s="93">
        <f t="shared" si="21"/>
        <v>2749437.7119999998</v>
      </c>
      <c r="J65" s="93">
        <f t="shared" si="21"/>
        <v>2749437.7119999998</v>
      </c>
      <c r="K65" s="93">
        <f t="shared" si="21"/>
        <v>1140229.7120000001</v>
      </c>
      <c r="L65" s="94"/>
      <c r="M65" s="95"/>
    </row>
    <row r="66" spans="1:13" ht="18.75" x14ac:dyDescent="0.3">
      <c r="A66" s="511" t="s">
        <v>5</v>
      </c>
      <c r="B66" s="511"/>
      <c r="C66" s="511"/>
      <c r="D66" s="511"/>
      <c r="E66" s="96">
        <f>E14+E50</f>
        <v>1302780</v>
      </c>
      <c r="F66" s="93">
        <f>SUM(G66:K66)</f>
        <v>6336659</v>
      </c>
      <c r="G66" s="96">
        <f>G14+G50</f>
        <v>1531991</v>
      </c>
      <c r="H66" s="362">
        <f>H14+H50</f>
        <v>1619118</v>
      </c>
      <c r="I66" s="96">
        <f>I14+I50</f>
        <v>1592775</v>
      </c>
      <c r="J66" s="96">
        <f>J14+J50</f>
        <v>1592775</v>
      </c>
      <c r="K66" s="96">
        <f>K14+K50</f>
        <v>0</v>
      </c>
      <c r="L66" s="97"/>
      <c r="M66" s="98"/>
    </row>
    <row r="67" spans="1:13" ht="18.75" x14ac:dyDescent="0.3">
      <c r="A67" s="511" t="s">
        <v>9</v>
      </c>
      <c r="B67" s="511"/>
      <c r="C67" s="511"/>
      <c r="D67" s="511"/>
      <c r="E67" s="99">
        <f>E15+E51</f>
        <v>731334.36599999992</v>
      </c>
      <c r="F67" s="93">
        <f t="shared" ref="F67:F72" si="22">SUM(G67:K67)</f>
        <v>3937812.5380000006</v>
      </c>
      <c r="G67" s="99">
        <f>G15+G51</f>
        <v>746450.82100000011</v>
      </c>
      <c r="H67" s="363">
        <f>H15+H51</f>
        <v>796856.228</v>
      </c>
      <c r="I67" s="99">
        <f>I15</f>
        <v>803646.16300000006</v>
      </c>
      <c r="J67" s="99">
        <f>J15+J51</f>
        <v>803646.16300000006</v>
      </c>
      <c r="K67" s="99">
        <f>K15+K51</f>
        <v>787213.16300000006</v>
      </c>
      <c r="L67" s="97"/>
      <c r="M67" s="98"/>
    </row>
    <row r="68" spans="1:13" ht="18.75" x14ac:dyDescent="0.3">
      <c r="A68" s="511" t="s">
        <v>317</v>
      </c>
      <c r="B68" s="511"/>
      <c r="C68" s="511"/>
      <c r="D68" s="511"/>
      <c r="E68" s="99">
        <v>0</v>
      </c>
      <c r="F68" s="93">
        <f t="shared" si="22"/>
        <v>17759</v>
      </c>
      <c r="G68" s="99">
        <v>0</v>
      </c>
      <c r="H68" s="363">
        <f>H27+H61</f>
        <v>17759</v>
      </c>
      <c r="I68" s="99">
        <v>0</v>
      </c>
      <c r="J68" s="99">
        <v>0</v>
      </c>
      <c r="K68" s="99">
        <v>0</v>
      </c>
      <c r="L68" s="97"/>
      <c r="M68" s="98"/>
    </row>
    <row r="69" spans="1:13" ht="36" customHeight="1" x14ac:dyDescent="0.3">
      <c r="A69" s="513" t="s">
        <v>91</v>
      </c>
      <c r="B69" s="513"/>
      <c r="C69" s="513"/>
      <c r="D69" s="513"/>
      <c r="E69" s="99">
        <f>E16+E52</f>
        <v>16026.418999999998</v>
      </c>
      <c r="F69" s="93">
        <f t="shared" si="22"/>
        <v>359657.47100000002</v>
      </c>
      <c r="G69" s="99">
        <f>G16+G52</f>
        <v>18970.758999999998</v>
      </c>
      <c r="H69" s="363">
        <f>H16+H52</f>
        <v>340686.712</v>
      </c>
      <c r="I69" s="99">
        <f t="shared" ref="I69:K71" si="23">I16</f>
        <v>0</v>
      </c>
      <c r="J69" s="99">
        <f t="shared" si="23"/>
        <v>0</v>
      </c>
      <c r="K69" s="99">
        <f t="shared" si="23"/>
        <v>0</v>
      </c>
      <c r="L69" s="97"/>
      <c r="M69" s="98"/>
    </row>
    <row r="70" spans="1:13" ht="18.75" x14ac:dyDescent="0.3">
      <c r="A70" s="511" t="s">
        <v>51</v>
      </c>
      <c r="B70" s="511"/>
      <c r="C70" s="511"/>
      <c r="D70" s="511"/>
      <c r="E70" s="99">
        <f>E17</f>
        <v>36793.925999999999</v>
      </c>
      <c r="F70" s="93">
        <f t="shared" si="22"/>
        <v>222222.23499999999</v>
      </c>
      <c r="G70" s="99">
        <f>G17</f>
        <v>38885.425999999999</v>
      </c>
      <c r="H70" s="363">
        <f>H17</f>
        <v>50598.122000000003</v>
      </c>
      <c r="I70" s="99">
        <f t="shared" si="23"/>
        <v>44246.228999999999</v>
      </c>
      <c r="J70" s="99">
        <f t="shared" si="23"/>
        <v>44246.228999999999</v>
      </c>
      <c r="K70" s="99">
        <f t="shared" si="23"/>
        <v>44246.228999999999</v>
      </c>
      <c r="L70" s="97"/>
      <c r="M70" s="98"/>
    </row>
    <row r="71" spans="1:13" ht="18.75" x14ac:dyDescent="0.3">
      <c r="A71" s="511" t="s">
        <v>64</v>
      </c>
      <c r="B71" s="511"/>
      <c r="C71" s="511"/>
      <c r="D71" s="511"/>
      <c r="E71" s="99">
        <f>E18</f>
        <v>251554.76699999999</v>
      </c>
      <c r="F71" s="93">
        <f t="shared" si="22"/>
        <v>1526401.6</v>
      </c>
      <c r="G71" s="99">
        <f>G18</f>
        <v>291320.32000000001</v>
      </c>
      <c r="H71" s="363">
        <f>H18</f>
        <v>308770.32</v>
      </c>
      <c r="I71" s="99">
        <f t="shared" si="23"/>
        <v>308770.32</v>
      </c>
      <c r="J71" s="99">
        <f t="shared" si="23"/>
        <v>308770.32</v>
      </c>
      <c r="K71" s="99">
        <f t="shared" si="23"/>
        <v>308770.32</v>
      </c>
      <c r="L71" s="97"/>
      <c r="M71" s="98"/>
    </row>
    <row r="72" spans="1:13" ht="18.75" x14ac:dyDescent="0.3">
      <c r="A72" s="511" t="s">
        <v>4</v>
      </c>
      <c r="B72" s="511"/>
      <c r="C72" s="511"/>
      <c r="D72" s="511"/>
      <c r="E72" s="96">
        <f>E53</f>
        <v>0</v>
      </c>
      <c r="F72" s="93">
        <f t="shared" si="22"/>
        <v>288000</v>
      </c>
      <c r="G72" s="96">
        <f>G53</f>
        <v>288000</v>
      </c>
      <c r="H72" s="362">
        <f t="shared" ref="H72:K72" si="24">H53</f>
        <v>0</v>
      </c>
      <c r="I72" s="96">
        <f t="shared" si="24"/>
        <v>0</v>
      </c>
      <c r="J72" s="96">
        <f t="shared" si="24"/>
        <v>0</v>
      </c>
      <c r="K72" s="96">
        <f t="shared" si="24"/>
        <v>0</v>
      </c>
      <c r="L72" s="97"/>
      <c r="M72" s="98"/>
    </row>
    <row r="74" spans="1:13" x14ac:dyDescent="0.25">
      <c r="E74" s="28"/>
      <c r="F74" s="101"/>
      <c r="G74" s="28"/>
      <c r="H74" s="102"/>
      <c r="I74" s="102"/>
      <c r="J74" s="50"/>
      <c r="K74" s="50"/>
    </row>
    <row r="75" spans="1:13" ht="15.75" x14ac:dyDescent="0.25">
      <c r="E75" s="103"/>
      <c r="F75" s="104"/>
      <c r="G75" s="103"/>
      <c r="H75" s="103"/>
      <c r="I75" s="103"/>
      <c r="J75" s="103"/>
      <c r="K75" s="103"/>
    </row>
    <row r="76" spans="1:13" ht="15.75" x14ac:dyDescent="0.25">
      <c r="F76" s="101"/>
      <c r="G76" s="28"/>
      <c r="H76" s="103"/>
      <c r="I76" s="102"/>
      <c r="J76" s="28"/>
      <c r="K76" s="28"/>
    </row>
    <row r="77" spans="1:13" ht="15.75" x14ac:dyDescent="0.25">
      <c r="G77" s="28"/>
      <c r="H77" s="103"/>
      <c r="I77" s="102"/>
      <c r="J77" s="28"/>
      <c r="K77" s="28"/>
    </row>
    <row r="78" spans="1:13" ht="15.75" x14ac:dyDescent="0.25">
      <c r="H78" s="103"/>
      <c r="I78" s="102"/>
      <c r="J78" s="28"/>
    </row>
    <row r="79" spans="1:13" x14ac:dyDescent="0.25">
      <c r="G79" s="28"/>
      <c r="H79" s="102"/>
      <c r="I79" s="102"/>
      <c r="J79" s="28"/>
      <c r="K79" s="28"/>
    </row>
    <row r="86" spans="5:11" x14ac:dyDescent="0.25">
      <c r="E86" s="28"/>
      <c r="F86" s="101"/>
      <c r="G86" s="28"/>
      <c r="H86" s="28"/>
      <c r="I86" s="102"/>
      <c r="J86" s="28"/>
      <c r="K86" s="28"/>
    </row>
    <row r="88" spans="5:11" x14ac:dyDescent="0.25">
      <c r="H88" s="102"/>
    </row>
    <row r="89" spans="5:11" x14ac:dyDescent="0.25">
      <c r="H89" s="102"/>
    </row>
  </sheetData>
  <sheetProtection formatCells="0" formatColumns="0" formatRows="0" insertColumns="0" insertRows="0" insertHyperlinks="0" deleteColumns="0" deleteRows="0" sort="0" autoFilter="0" pivotTables="0"/>
  <mergeCells count="86">
    <mergeCell ref="L19:L21"/>
    <mergeCell ref="C7:C10"/>
    <mergeCell ref="M13:M18"/>
    <mergeCell ref="K1:M3"/>
    <mergeCell ref="A54:A56"/>
    <mergeCell ref="L54:L64"/>
    <mergeCell ref="M54:M64"/>
    <mergeCell ref="A59:A61"/>
    <mergeCell ref="B59:B61"/>
    <mergeCell ref="C59:C61"/>
    <mergeCell ref="C62:C63"/>
    <mergeCell ref="G6:M6"/>
    <mergeCell ref="B5:M5"/>
    <mergeCell ref="F7:F10"/>
    <mergeCell ref="A19:A21"/>
    <mergeCell ref="M7:M10"/>
    <mergeCell ref="A13:A18"/>
    <mergeCell ref="B13:B18"/>
    <mergeCell ref="A12:M12"/>
    <mergeCell ref="L13:L18"/>
    <mergeCell ref="L7:L10"/>
    <mergeCell ref="E7:E10"/>
    <mergeCell ref="D7:D10"/>
    <mergeCell ref="G7:K9"/>
    <mergeCell ref="A7:A10"/>
    <mergeCell ref="C54:C56"/>
    <mergeCell ref="A71:D71"/>
    <mergeCell ref="A70:D70"/>
    <mergeCell ref="A40:A41"/>
    <mergeCell ref="B40:B41"/>
    <mergeCell ref="A68:D68"/>
    <mergeCell ref="B57:B58"/>
    <mergeCell ref="C57:C58"/>
    <mergeCell ref="A72:D72"/>
    <mergeCell ref="A62:A63"/>
    <mergeCell ref="B62:B63"/>
    <mergeCell ref="A66:D66"/>
    <mergeCell ref="A67:D67"/>
    <mergeCell ref="A69:D69"/>
    <mergeCell ref="K4:M4"/>
    <mergeCell ref="A28:A30"/>
    <mergeCell ref="A33:A34"/>
    <mergeCell ref="B33:B34"/>
    <mergeCell ref="L37:L39"/>
    <mergeCell ref="M37:M39"/>
    <mergeCell ref="M33:M34"/>
    <mergeCell ref="C33:C34"/>
    <mergeCell ref="L33:L34"/>
    <mergeCell ref="C13:C18"/>
    <mergeCell ref="C19:C21"/>
    <mergeCell ref="C28:C30"/>
    <mergeCell ref="M19:M21"/>
    <mergeCell ref="C37:C39"/>
    <mergeCell ref="B7:B10"/>
    <mergeCell ref="B19:B21"/>
    <mergeCell ref="M49:M53"/>
    <mergeCell ref="L25:L27"/>
    <mergeCell ref="M25:M27"/>
    <mergeCell ref="A37:A39"/>
    <mergeCell ref="A49:A53"/>
    <mergeCell ref="A25:A27"/>
    <mergeCell ref="A44:A45"/>
    <mergeCell ref="M44:M45"/>
    <mergeCell ref="M40:M41"/>
    <mergeCell ref="M28:M30"/>
    <mergeCell ref="M35:M36"/>
    <mergeCell ref="B25:B27"/>
    <mergeCell ref="C25:C27"/>
    <mergeCell ref="C49:C53"/>
    <mergeCell ref="B49:B53"/>
    <mergeCell ref="A57:A58"/>
    <mergeCell ref="A65:D65"/>
    <mergeCell ref="L28:L30"/>
    <mergeCell ref="B28:B30"/>
    <mergeCell ref="L49:L53"/>
    <mergeCell ref="C40:C41"/>
    <mergeCell ref="B37:B39"/>
    <mergeCell ref="B44:B45"/>
    <mergeCell ref="L44:L45"/>
    <mergeCell ref="L40:L41"/>
    <mergeCell ref="L35:L36"/>
    <mergeCell ref="C44:C45"/>
    <mergeCell ref="A35:A36"/>
    <mergeCell ref="B35:B36"/>
    <mergeCell ref="C35:C36"/>
    <mergeCell ref="B54:B56"/>
  </mergeCells>
  <pageMargins left="0.19685039370078741" right="0.19685039370078741" top="0.19685039370078741" bottom="0.19685039370078741" header="0" footer="0"/>
  <pageSetup paperSize="9" scale="48" fitToHeight="0" orientation="landscape" r:id="rId1"/>
  <rowBreaks count="4" manualBreakCount="4">
    <brk id="23" max="12" man="1"/>
    <brk id="34" max="16383" man="1"/>
    <brk id="45" max="12" man="1"/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21"/>
  <sheetViews>
    <sheetView view="pageBreakPreview" zoomScale="70" zoomScaleNormal="70" zoomScaleSheetLayoutView="70" workbookViewId="0">
      <pane ySplit="8" topLeftCell="A97" activePane="bottomLeft" state="frozen"/>
      <selection activeCell="F60" sqref="F60"/>
      <selection pane="bottomLeft" activeCell="H32" sqref="H32"/>
    </sheetView>
  </sheetViews>
  <sheetFormatPr defaultRowHeight="15" x14ac:dyDescent="0.25"/>
  <cols>
    <col min="1" max="1" width="9.140625" style="106"/>
    <col min="2" max="2" width="59.7109375" style="106" customWidth="1"/>
    <col min="3" max="3" width="17.85546875" style="106" customWidth="1"/>
    <col min="4" max="4" width="31.5703125" style="106" customWidth="1"/>
    <col min="5" max="5" width="19.28515625" style="106" customWidth="1"/>
    <col min="6" max="6" width="19.28515625" style="217" customWidth="1"/>
    <col min="7" max="7" width="19.28515625" style="106" customWidth="1"/>
    <col min="8" max="9" width="19.28515625" style="215" customWidth="1"/>
    <col min="10" max="11" width="19.28515625" style="106" customWidth="1"/>
    <col min="12" max="12" width="21.140625" style="106" customWidth="1"/>
    <col min="13" max="13" width="24.5703125" style="106" customWidth="1"/>
    <col min="14" max="14" width="18.140625" style="106" customWidth="1"/>
    <col min="15" max="15" width="14.28515625" style="106" customWidth="1"/>
    <col min="16" max="18" width="9.140625" style="106"/>
    <col min="19" max="19" width="10.140625" style="106" bestFit="1" customWidth="1"/>
    <col min="20" max="16384" width="9.140625" style="106"/>
  </cols>
  <sheetData>
    <row r="1" spans="1:19" ht="15.75" x14ac:dyDescent="0.25">
      <c r="A1" s="4"/>
      <c r="B1" s="5"/>
      <c r="C1" s="6"/>
      <c r="D1" s="5"/>
      <c r="E1" s="5"/>
      <c r="F1" s="105"/>
      <c r="G1" s="5"/>
      <c r="H1" s="7"/>
      <c r="I1" s="7"/>
      <c r="J1" s="8"/>
      <c r="K1" s="8"/>
      <c r="L1" s="8"/>
      <c r="M1" s="8"/>
    </row>
    <row r="2" spans="1:19" ht="15.75" customHeight="1" x14ac:dyDescent="0.25">
      <c r="A2" s="4"/>
      <c r="B2" s="9"/>
      <c r="C2" s="10"/>
      <c r="D2" s="11"/>
      <c r="E2" s="11"/>
      <c r="F2" s="107"/>
      <c r="G2" s="12"/>
      <c r="H2" s="13"/>
      <c r="I2" s="13"/>
      <c r="J2" s="12"/>
      <c r="K2" s="12"/>
      <c r="L2" s="598"/>
      <c r="M2" s="598"/>
    </row>
    <row r="3" spans="1:19" ht="15.75" customHeight="1" thickBot="1" x14ac:dyDescent="0.3">
      <c r="A3" s="4"/>
      <c r="B3" s="9"/>
      <c r="C3" s="10"/>
      <c r="D3" s="11"/>
      <c r="E3" s="11"/>
      <c r="F3" s="107"/>
      <c r="G3" s="12"/>
      <c r="H3" s="13"/>
      <c r="I3" s="13"/>
      <c r="J3" s="12"/>
      <c r="K3" s="12"/>
      <c r="L3" s="108"/>
      <c r="M3" s="108"/>
    </row>
    <row r="4" spans="1:19" ht="15" customHeight="1" x14ac:dyDescent="0.25">
      <c r="A4" s="608" t="s">
        <v>13</v>
      </c>
      <c r="B4" s="605" t="s">
        <v>14</v>
      </c>
      <c r="C4" s="605" t="s">
        <v>0</v>
      </c>
      <c r="D4" s="605" t="s">
        <v>15</v>
      </c>
      <c r="E4" s="605" t="s">
        <v>148</v>
      </c>
      <c r="F4" s="611" t="s">
        <v>16</v>
      </c>
      <c r="G4" s="617" t="s">
        <v>49</v>
      </c>
      <c r="H4" s="618"/>
      <c r="I4" s="618"/>
      <c r="J4" s="618"/>
      <c r="K4" s="619"/>
      <c r="L4" s="599" t="s">
        <v>17</v>
      </c>
      <c r="M4" s="614" t="s">
        <v>7</v>
      </c>
    </row>
    <row r="5" spans="1:19" x14ac:dyDescent="0.25">
      <c r="A5" s="609"/>
      <c r="B5" s="606"/>
      <c r="C5" s="606"/>
      <c r="D5" s="606"/>
      <c r="E5" s="606"/>
      <c r="F5" s="612"/>
      <c r="G5" s="620"/>
      <c r="H5" s="621"/>
      <c r="I5" s="621"/>
      <c r="J5" s="621"/>
      <c r="K5" s="622"/>
      <c r="L5" s="600"/>
      <c r="M5" s="615"/>
    </row>
    <row r="6" spans="1:19" ht="45.75" customHeight="1" x14ac:dyDescent="0.25">
      <c r="A6" s="610"/>
      <c r="B6" s="607"/>
      <c r="C6" s="607"/>
      <c r="D6" s="607"/>
      <c r="E6" s="607"/>
      <c r="F6" s="613"/>
      <c r="G6" s="109" t="s">
        <v>46</v>
      </c>
      <c r="H6" s="364" t="s">
        <v>47</v>
      </c>
      <c r="I6" s="109" t="s">
        <v>150</v>
      </c>
      <c r="J6" s="109" t="s">
        <v>151</v>
      </c>
      <c r="K6" s="109" t="s">
        <v>152</v>
      </c>
      <c r="L6" s="601"/>
      <c r="M6" s="616"/>
    </row>
    <row r="7" spans="1:19" ht="17.25" customHeight="1" x14ac:dyDescent="0.25">
      <c r="A7" s="18" t="s">
        <v>29</v>
      </c>
      <c r="B7" s="19">
        <v>2</v>
      </c>
      <c r="C7" s="19" t="s">
        <v>18</v>
      </c>
      <c r="D7" s="19" t="s">
        <v>137</v>
      </c>
      <c r="E7" s="19" t="s">
        <v>19</v>
      </c>
      <c r="F7" s="20" t="s">
        <v>134</v>
      </c>
      <c r="G7" s="19" t="s">
        <v>20</v>
      </c>
      <c r="H7" s="351" t="s">
        <v>135</v>
      </c>
      <c r="I7" s="19" t="s">
        <v>21</v>
      </c>
      <c r="J7" s="19" t="s">
        <v>22</v>
      </c>
      <c r="K7" s="19" t="s">
        <v>30</v>
      </c>
      <c r="L7" s="19" t="s">
        <v>31</v>
      </c>
      <c r="M7" s="21" t="s">
        <v>50</v>
      </c>
    </row>
    <row r="8" spans="1:19" ht="10.5" customHeight="1" x14ac:dyDescent="0.25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4"/>
    </row>
    <row r="9" spans="1:19" s="111" customFormat="1" ht="25.5" customHeight="1" x14ac:dyDescent="0.25">
      <c r="A9" s="602" t="s">
        <v>62</v>
      </c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4"/>
      <c r="N9" s="110"/>
      <c r="O9" s="110"/>
    </row>
    <row r="10" spans="1:19" ht="37.5" customHeight="1" x14ac:dyDescent="0.25">
      <c r="A10" s="623"/>
      <c r="B10" s="626" t="s">
        <v>139</v>
      </c>
      <c r="C10" s="626" t="s">
        <v>149</v>
      </c>
      <c r="D10" s="112" t="s">
        <v>10</v>
      </c>
      <c r="E10" s="113">
        <f>SUM(E11:E15)</f>
        <v>3599009.6299999994</v>
      </c>
      <c r="F10" s="70">
        <f t="shared" ref="F10:F15" si="0">SUM(G10:K10)</f>
        <v>17630049.974999998</v>
      </c>
      <c r="G10" s="113">
        <f>SUM(G11:G15)</f>
        <v>4143859.9955099998</v>
      </c>
      <c r="H10" s="357">
        <f>SUM(H11:H15)</f>
        <v>4386267.6954899998</v>
      </c>
      <c r="I10" s="113">
        <f>SUM(I11:I15)</f>
        <v>4058590.6079999995</v>
      </c>
      <c r="J10" s="113">
        <f>SUM(J11:J15)</f>
        <v>4058590.6079999995</v>
      </c>
      <c r="K10" s="113">
        <f>SUM(K11:K15)</f>
        <v>982741.06799999997</v>
      </c>
      <c r="L10" s="630"/>
      <c r="M10" s="633"/>
    </row>
    <row r="11" spans="1:19" ht="39.75" customHeight="1" x14ac:dyDescent="0.25">
      <c r="A11" s="624"/>
      <c r="B11" s="627"/>
      <c r="C11" s="627"/>
      <c r="D11" s="114" t="s">
        <v>5</v>
      </c>
      <c r="E11" s="115">
        <f>E23+E24+E25+E27+E28+E30+E34+E36+E38+E40+E42+E60+E61+E62+E66</f>
        <v>2579269.7999999998</v>
      </c>
      <c r="F11" s="70">
        <f t="shared" si="0"/>
        <v>12455898.4</v>
      </c>
      <c r="G11" s="115">
        <f>G23+G24+G25+G27+G28+G30+G34+G36+G38+G40+G42+G60+G61+G62+G66+G50</f>
        <v>3098243.11051</v>
      </c>
      <c r="H11" s="365">
        <f t="shared" ref="H11:K11" si="1">H23+H24+H25+H27+H28+H30+H34+H36+H38+H40+H42+H60+H61+H62+H66+H50</f>
        <v>3222757.2894899999</v>
      </c>
      <c r="I11" s="115">
        <f t="shared" si="1"/>
        <v>3067449</v>
      </c>
      <c r="J11" s="115">
        <f t="shared" si="1"/>
        <v>3067449</v>
      </c>
      <c r="K11" s="115">
        <f t="shared" si="1"/>
        <v>0</v>
      </c>
      <c r="L11" s="631"/>
      <c r="M11" s="634"/>
    </row>
    <row r="12" spans="1:19" ht="58.5" customHeight="1" x14ac:dyDescent="0.25">
      <c r="A12" s="624"/>
      <c r="B12" s="627"/>
      <c r="C12" s="627"/>
      <c r="D12" s="112" t="s">
        <v>9</v>
      </c>
      <c r="E12" s="116">
        <f>E16+E19+E21+E22+E29+E31+E35+E37+E39+E41+E43+E44+E45+E48+E51+E63+E64+E65+E67</f>
        <v>834761.21700000006</v>
      </c>
      <c r="F12" s="70">
        <f t="shared" si="0"/>
        <v>4009465.5579999993</v>
      </c>
      <c r="G12" s="116">
        <f>G16+G19+G21+G22+G29+G31+G35+G37+G39+G41+G43+G44+G45+G48+G51+G63+G64+G65+G67+G69+G26+G71</f>
        <v>821923.09799999988</v>
      </c>
      <c r="H12" s="366">
        <f t="shared" ref="H12:K12" si="2">H16+H19+H21+H22+H29+H31+H35+H37+H39+H41+H43+H44+H45+H48+H51+H63+H64+H65+H67+H69+H26+H71</f>
        <v>880155.46</v>
      </c>
      <c r="I12" s="116">
        <f t="shared" si="2"/>
        <v>771929.17999999993</v>
      </c>
      <c r="J12" s="116">
        <f t="shared" si="2"/>
        <v>771929.17999999993</v>
      </c>
      <c r="K12" s="116">
        <f t="shared" si="2"/>
        <v>763528.6399999999</v>
      </c>
      <c r="L12" s="631"/>
      <c r="M12" s="634"/>
    </row>
    <row r="13" spans="1:19" ht="119.25" customHeight="1" x14ac:dyDescent="0.25">
      <c r="A13" s="624"/>
      <c r="B13" s="627"/>
      <c r="C13" s="627"/>
      <c r="D13" s="117" t="s">
        <v>91</v>
      </c>
      <c r="E13" s="26">
        <f>E32+E49+E53+E70</f>
        <v>11834.492999999999</v>
      </c>
      <c r="F13" s="70">
        <f t="shared" si="0"/>
        <v>26495.603999999999</v>
      </c>
      <c r="G13" s="26">
        <f>G32+G49+G53+G70+G20+G47</f>
        <v>20005.952000000001</v>
      </c>
      <c r="H13" s="353">
        <f t="shared" ref="H13:K13" si="3">H32+H49+H53+H70+H20+H47</f>
        <v>6489.6519999999991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631"/>
      <c r="M13" s="634"/>
    </row>
    <row r="14" spans="1:19" ht="81" customHeight="1" x14ac:dyDescent="0.25">
      <c r="A14" s="624"/>
      <c r="B14" s="627"/>
      <c r="C14" s="627"/>
      <c r="D14" s="117" t="s">
        <v>51</v>
      </c>
      <c r="E14" s="26">
        <f>E17+E33</f>
        <v>168767.12400000001</v>
      </c>
      <c r="F14" s="70">
        <f t="shared" si="0"/>
        <v>1110707.7880000002</v>
      </c>
      <c r="G14" s="26">
        <f>G17+G33</f>
        <v>198466.71000000002</v>
      </c>
      <c r="H14" s="353">
        <f>H17+H33</f>
        <v>271299.91899999999</v>
      </c>
      <c r="I14" s="26">
        <f>I17+I33</f>
        <v>213647.05300000001</v>
      </c>
      <c r="J14" s="26">
        <f>J17+J33</f>
        <v>213647.05300000001</v>
      </c>
      <c r="K14" s="26">
        <f>K17+K33</f>
        <v>213647.05300000001</v>
      </c>
      <c r="L14" s="631"/>
      <c r="M14" s="634"/>
      <c r="S14" s="118"/>
    </row>
    <row r="15" spans="1:19" ht="68.25" customHeight="1" x14ac:dyDescent="0.25">
      <c r="A15" s="625"/>
      <c r="B15" s="628"/>
      <c r="C15" s="628"/>
      <c r="D15" s="117" t="s">
        <v>64</v>
      </c>
      <c r="E15" s="26">
        <f>E18</f>
        <v>4376.9960000000001</v>
      </c>
      <c r="F15" s="70">
        <f t="shared" si="0"/>
        <v>27482.625</v>
      </c>
      <c r="G15" s="26">
        <f t="shared" ref="G15:K15" si="4">G18</f>
        <v>5221.125</v>
      </c>
      <c r="H15" s="353">
        <f t="shared" si="4"/>
        <v>5565.375</v>
      </c>
      <c r="I15" s="26">
        <f t="shared" si="4"/>
        <v>5565.375</v>
      </c>
      <c r="J15" s="26">
        <f t="shared" si="4"/>
        <v>5565.375</v>
      </c>
      <c r="K15" s="26">
        <f t="shared" si="4"/>
        <v>5565.375</v>
      </c>
      <c r="L15" s="632"/>
      <c r="M15" s="635"/>
      <c r="S15" s="118"/>
    </row>
    <row r="16" spans="1:19" ht="67.5" customHeight="1" x14ac:dyDescent="0.25">
      <c r="A16" s="636" t="s">
        <v>93</v>
      </c>
      <c r="B16" s="465" t="s">
        <v>69</v>
      </c>
      <c r="C16" s="473" t="s">
        <v>149</v>
      </c>
      <c r="D16" s="68" t="s">
        <v>24</v>
      </c>
      <c r="E16" s="69">
        <v>438987.25900000002</v>
      </c>
      <c r="F16" s="70">
        <f>SUM(G16:K16)</f>
        <v>1889300.0920000002</v>
      </c>
      <c r="G16" s="69">
        <v>465168</v>
      </c>
      <c r="H16" s="357">
        <v>354533.02299999999</v>
      </c>
      <c r="I16" s="69">
        <v>356533.02299999999</v>
      </c>
      <c r="J16" s="69">
        <v>356533.02299999999</v>
      </c>
      <c r="K16" s="69">
        <v>356533.02299999999</v>
      </c>
      <c r="L16" s="629" t="s">
        <v>11</v>
      </c>
      <c r="M16" s="643" t="s">
        <v>72</v>
      </c>
      <c r="O16" s="119"/>
      <c r="P16" s="119"/>
      <c r="Q16" s="119"/>
    </row>
    <row r="17" spans="1:22" ht="83.25" customHeight="1" x14ac:dyDescent="0.25">
      <c r="A17" s="637"/>
      <c r="B17" s="639"/>
      <c r="C17" s="573"/>
      <c r="D17" s="120" t="s">
        <v>51</v>
      </c>
      <c r="E17" s="69">
        <v>119767.406</v>
      </c>
      <c r="F17" s="70">
        <f t="shared" ref="F17:F60" si="5">SUM(G17:K17)</f>
        <v>905374.83000000007</v>
      </c>
      <c r="G17" s="69">
        <f>175878.271+67.2-12504.798</f>
        <v>163440.67300000001</v>
      </c>
      <c r="H17" s="430">
        <f>175878.271+67.2+38152.273</f>
        <v>214097.74400000001</v>
      </c>
      <c r="I17" s="69">
        <f>175878.271+67.2</f>
        <v>175945.47100000002</v>
      </c>
      <c r="J17" s="69">
        <f>175878.271+67.2</f>
        <v>175945.47100000002</v>
      </c>
      <c r="K17" s="69">
        <f>175878.271+67.2</f>
        <v>175945.47100000002</v>
      </c>
      <c r="L17" s="629"/>
      <c r="M17" s="643"/>
      <c r="N17" s="1"/>
      <c r="O17" s="121"/>
      <c r="P17" s="121"/>
      <c r="Q17" s="121"/>
    </row>
    <row r="18" spans="1:22" ht="61.5" customHeight="1" x14ac:dyDescent="0.25">
      <c r="A18" s="638"/>
      <c r="B18" s="466"/>
      <c r="C18" s="474"/>
      <c r="D18" s="120" t="s">
        <v>64</v>
      </c>
      <c r="E18" s="69">
        <v>4376.9960000000001</v>
      </c>
      <c r="F18" s="70">
        <f t="shared" si="5"/>
        <v>27482.625</v>
      </c>
      <c r="G18" s="69">
        <v>5221.125</v>
      </c>
      <c r="H18" s="357">
        <v>5565.375</v>
      </c>
      <c r="I18" s="69">
        <v>5565.375</v>
      </c>
      <c r="J18" s="69">
        <v>5565.375</v>
      </c>
      <c r="K18" s="69">
        <v>5565.375</v>
      </c>
      <c r="L18" s="629"/>
      <c r="M18" s="643"/>
      <c r="O18" s="121"/>
      <c r="P18" s="121"/>
      <c r="Q18" s="121"/>
    </row>
    <row r="19" spans="1:22" ht="65.25" customHeight="1" x14ac:dyDescent="0.25">
      <c r="A19" s="636" t="s">
        <v>94</v>
      </c>
      <c r="B19" s="465" t="s">
        <v>70</v>
      </c>
      <c r="C19" s="473" t="s">
        <v>149</v>
      </c>
      <c r="D19" s="120" t="s">
        <v>24</v>
      </c>
      <c r="E19" s="69">
        <v>128460.2</v>
      </c>
      <c r="F19" s="70">
        <f t="shared" si="5"/>
        <v>633040.40399999998</v>
      </c>
      <c r="G19" s="69">
        <v>173058.86</v>
      </c>
      <c r="H19" s="357">
        <v>114995.386</v>
      </c>
      <c r="I19" s="69">
        <v>114995.386</v>
      </c>
      <c r="J19" s="69">
        <v>114995.386</v>
      </c>
      <c r="K19" s="69">
        <v>114995.386</v>
      </c>
      <c r="L19" s="467" t="s">
        <v>11</v>
      </c>
      <c r="M19" s="644" t="s">
        <v>72</v>
      </c>
      <c r="O19" s="121"/>
      <c r="P19" s="121"/>
      <c r="Q19" s="121"/>
    </row>
    <row r="20" spans="1:22" ht="116.25" customHeight="1" x14ac:dyDescent="0.25">
      <c r="A20" s="638"/>
      <c r="B20" s="466"/>
      <c r="C20" s="474"/>
      <c r="D20" s="120" t="s">
        <v>91</v>
      </c>
      <c r="E20" s="69">
        <v>0</v>
      </c>
      <c r="F20" s="70">
        <f t="shared" si="5"/>
        <v>798.59</v>
      </c>
      <c r="G20" s="69">
        <v>798.59</v>
      </c>
      <c r="H20" s="357">
        <v>0</v>
      </c>
      <c r="I20" s="69">
        <v>0</v>
      </c>
      <c r="J20" s="69">
        <v>0</v>
      </c>
      <c r="K20" s="69">
        <v>0</v>
      </c>
      <c r="L20" s="468"/>
      <c r="M20" s="645"/>
      <c r="O20" s="121"/>
      <c r="P20" s="121"/>
      <c r="Q20" s="121"/>
    </row>
    <row r="21" spans="1:22" ht="99.75" customHeight="1" x14ac:dyDescent="0.25">
      <c r="A21" s="122" t="s">
        <v>95</v>
      </c>
      <c r="B21" s="123" t="s">
        <v>92</v>
      </c>
      <c r="C21" s="68" t="s">
        <v>149</v>
      </c>
      <c r="D21" s="120" t="s">
        <v>24</v>
      </c>
      <c r="E21" s="69">
        <v>61325.218999999997</v>
      </c>
      <c r="F21" s="70">
        <f t="shared" si="5"/>
        <v>249328.66399999999</v>
      </c>
      <c r="G21" s="69">
        <v>60665.144</v>
      </c>
      <c r="H21" s="430">
        <f>46979.284+746.384</f>
        <v>47725.667999999998</v>
      </c>
      <c r="I21" s="69">
        <v>46979.284</v>
      </c>
      <c r="J21" s="69">
        <v>46979.284</v>
      </c>
      <c r="K21" s="69">
        <v>46979.284</v>
      </c>
      <c r="L21" s="124" t="s">
        <v>11</v>
      </c>
      <c r="M21" s="125" t="s">
        <v>130</v>
      </c>
      <c r="N21" s="1"/>
      <c r="O21" s="119"/>
      <c r="P21" s="119"/>
      <c r="Q21" s="119"/>
    </row>
    <row r="22" spans="1:22" ht="136.5" customHeight="1" x14ac:dyDescent="0.25">
      <c r="A22" s="126" t="s">
        <v>96</v>
      </c>
      <c r="B22" s="127" t="s">
        <v>165</v>
      </c>
      <c r="C22" s="120" t="s">
        <v>149</v>
      </c>
      <c r="D22" s="68" t="s">
        <v>24</v>
      </c>
      <c r="E22" s="69">
        <v>13103.741</v>
      </c>
      <c r="F22" s="70">
        <f t="shared" si="5"/>
        <v>49727.635999999984</v>
      </c>
      <c r="G22" s="69">
        <f>16604.172+267.62</f>
        <v>16871.791999999998</v>
      </c>
      <c r="H22" s="357">
        <v>8213.9609999999993</v>
      </c>
      <c r="I22" s="69">
        <v>8213.9609999999993</v>
      </c>
      <c r="J22" s="69">
        <v>8213.9609999999993</v>
      </c>
      <c r="K22" s="69">
        <v>8213.9609999999993</v>
      </c>
      <c r="L22" s="75" t="s">
        <v>11</v>
      </c>
      <c r="M22" s="128" t="s">
        <v>130</v>
      </c>
      <c r="O22" s="119"/>
      <c r="P22" s="119"/>
      <c r="Q22" s="119"/>
      <c r="V22" s="118"/>
    </row>
    <row r="23" spans="1:22" ht="275.25" customHeight="1" x14ac:dyDescent="0.25">
      <c r="A23" s="129" t="s">
        <v>97</v>
      </c>
      <c r="B23" s="127" t="s">
        <v>263</v>
      </c>
      <c r="C23" s="120" t="s">
        <v>149</v>
      </c>
      <c r="D23" s="68" t="s">
        <v>5</v>
      </c>
      <c r="E23" s="69">
        <v>2270359</v>
      </c>
      <c r="F23" s="70">
        <f>SUM(G23:K23)</f>
        <v>10640123</v>
      </c>
      <c r="G23" s="69">
        <v>2673101</v>
      </c>
      <c r="H23" s="357">
        <v>2655674</v>
      </c>
      <c r="I23" s="69">
        <v>2655674</v>
      </c>
      <c r="J23" s="69">
        <v>2655674</v>
      </c>
      <c r="K23" s="69">
        <v>0</v>
      </c>
      <c r="L23" s="75" t="s">
        <v>11</v>
      </c>
      <c r="M23" s="130" t="s">
        <v>136</v>
      </c>
      <c r="O23" s="121"/>
      <c r="P23" s="121"/>
      <c r="Q23" s="121"/>
    </row>
    <row r="24" spans="1:22" ht="270" customHeight="1" x14ac:dyDescent="0.25">
      <c r="A24" s="126" t="s">
        <v>98</v>
      </c>
      <c r="B24" s="131" t="s">
        <v>188</v>
      </c>
      <c r="C24" s="132" t="s">
        <v>149</v>
      </c>
      <c r="D24" s="132" t="s">
        <v>5</v>
      </c>
      <c r="E24" s="133">
        <f>175303-13633</f>
        <v>161670</v>
      </c>
      <c r="F24" s="70">
        <f t="shared" si="5"/>
        <v>830932</v>
      </c>
      <c r="G24" s="133">
        <v>187702</v>
      </c>
      <c r="H24" s="367">
        <v>214410</v>
      </c>
      <c r="I24" s="133">
        <v>214410</v>
      </c>
      <c r="J24" s="133">
        <v>214410</v>
      </c>
      <c r="K24" s="133">
        <v>0</v>
      </c>
      <c r="L24" s="134" t="s">
        <v>11</v>
      </c>
      <c r="M24" s="135" t="s">
        <v>221</v>
      </c>
      <c r="O24" s="119"/>
      <c r="P24" s="119"/>
      <c r="Q24" s="119"/>
      <c r="R24" s="121"/>
    </row>
    <row r="25" spans="1:22" ht="73.5" customHeight="1" x14ac:dyDescent="0.25">
      <c r="A25" s="492" t="s">
        <v>99</v>
      </c>
      <c r="B25" s="567" t="s">
        <v>189</v>
      </c>
      <c r="C25" s="473" t="s">
        <v>149</v>
      </c>
      <c r="D25" s="68" t="s">
        <v>5</v>
      </c>
      <c r="E25" s="133">
        <v>116517</v>
      </c>
      <c r="F25" s="70">
        <f t="shared" si="5"/>
        <v>714240</v>
      </c>
      <c r="G25" s="133">
        <v>159822</v>
      </c>
      <c r="H25" s="367">
        <v>184806</v>
      </c>
      <c r="I25" s="133">
        <v>184806</v>
      </c>
      <c r="J25" s="133">
        <v>184806</v>
      </c>
      <c r="K25" s="133">
        <v>0</v>
      </c>
      <c r="L25" s="467" t="s">
        <v>11</v>
      </c>
      <c r="M25" s="494" t="s">
        <v>25</v>
      </c>
      <c r="O25" s="121"/>
      <c r="P25" s="121"/>
      <c r="Q25" s="121"/>
    </row>
    <row r="26" spans="1:22" ht="75" x14ac:dyDescent="0.25">
      <c r="A26" s="493"/>
      <c r="B26" s="568"/>
      <c r="C26" s="474"/>
      <c r="D26" s="68" t="s">
        <v>24</v>
      </c>
      <c r="E26" s="133">
        <v>0</v>
      </c>
      <c r="F26" s="70">
        <f t="shared" si="5"/>
        <v>220634.989</v>
      </c>
      <c r="G26" s="133">
        <v>0</v>
      </c>
      <c r="H26" s="431">
        <f>52575.644+10332.413</f>
        <v>62908.057000000001</v>
      </c>
      <c r="I26" s="133">
        <v>52575.644</v>
      </c>
      <c r="J26" s="133">
        <v>52575.644</v>
      </c>
      <c r="K26" s="133">
        <v>52575.644</v>
      </c>
      <c r="L26" s="468"/>
      <c r="M26" s="495"/>
      <c r="N26" s="1"/>
      <c r="O26" s="121"/>
      <c r="P26" s="121"/>
      <c r="Q26" s="121"/>
    </row>
    <row r="27" spans="1:22" ht="143.25" customHeight="1" x14ac:dyDescent="0.25">
      <c r="A27" s="126" t="s">
        <v>100</v>
      </c>
      <c r="B27" s="78" t="s">
        <v>190</v>
      </c>
      <c r="C27" s="68" t="s">
        <v>149</v>
      </c>
      <c r="D27" s="68" t="s">
        <v>5</v>
      </c>
      <c r="E27" s="69">
        <v>40</v>
      </c>
      <c r="F27" s="70">
        <f t="shared" ref="F27" si="6">SUM(G27:K27)</f>
        <v>395</v>
      </c>
      <c r="G27" s="69">
        <v>80</v>
      </c>
      <c r="H27" s="357">
        <v>105</v>
      </c>
      <c r="I27" s="69">
        <v>105</v>
      </c>
      <c r="J27" s="69">
        <v>105</v>
      </c>
      <c r="K27" s="69">
        <v>0</v>
      </c>
      <c r="L27" s="75" t="s">
        <v>11</v>
      </c>
      <c r="M27" s="136" t="s">
        <v>52</v>
      </c>
      <c r="O27" s="121"/>
      <c r="P27" s="121"/>
      <c r="Q27" s="121"/>
    </row>
    <row r="28" spans="1:22" ht="68.25" customHeight="1" x14ac:dyDescent="0.25">
      <c r="A28" s="492" t="s">
        <v>101</v>
      </c>
      <c r="B28" s="465" t="s">
        <v>264</v>
      </c>
      <c r="C28" s="473" t="s">
        <v>149</v>
      </c>
      <c r="D28" s="68" t="s">
        <v>5</v>
      </c>
      <c r="E28" s="133">
        <v>212</v>
      </c>
      <c r="F28" s="70">
        <f t="shared" si="5"/>
        <v>466</v>
      </c>
      <c r="G28" s="133">
        <v>118</v>
      </c>
      <c r="H28" s="367">
        <v>116</v>
      </c>
      <c r="I28" s="133">
        <v>116</v>
      </c>
      <c r="J28" s="133">
        <v>116</v>
      </c>
      <c r="K28" s="133">
        <v>0</v>
      </c>
      <c r="L28" s="467" t="s">
        <v>11</v>
      </c>
      <c r="M28" s="494" t="s">
        <v>155</v>
      </c>
      <c r="O28" s="121"/>
      <c r="P28" s="121"/>
      <c r="Q28" s="121"/>
    </row>
    <row r="29" spans="1:22" ht="174" customHeight="1" x14ac:dyDescent="0.25">
      <c r="A29" s="493"/>
      <c r="B29" s="466"/>
      <c r="C29" s="474"/>
      <c r="D29" s="68" t="s">
        <v>23</v>
      </c>
      <c r="E29" s="71">
        <v>9188.7000000000007</v>
      </c>
      <c r="F29" s="70">
        <f t="shared" si="5"/>
        <v>32938.342000000004</v>
      </c>
      <c r="G29" s="71">
        <v>7736.7219999999998</v>
      </c>
      <c r="H29" s="358">
        <v>8400.5400000000009</v>
      </c>
      <c r="I29" s="71">
        <v>8400.5400000000009</v>
      </c>
      <c r="J29" s="71">
        <v>8400.5400000000009</v>
      </c>
      <c r="K29" s="71">
        <v>0</v>
      </c>
      <c r="L29" s="468"/>
      <c r="M29" s="495"/>
    </row>
    <row r="30" spans="1:22" ht="37.5" customHeight="1" x14ac:dyDescent="0.25">
      <c r="A30" s="492" t="s">
        <v>102</v>
      </c>
      <c r="B30" s="567" t="s">
        <v>191</v>
      </c>
      <c r="C30" s="473" t="s">
        <v>149</v>
      </c>
      <c r="D30" s="68" t="s">
        <v>5</v>
      </c>
      <c r="E30" s="137">
        <v>0</v>
      </c>
      <c r="F30" s="70">
        <f t="shared" ref="F30" si="7">SUM(G30:K30)</f>
        <v>0</v>
      </c>
      <c r="G30" s="137">
        <v>0</v>
      </c>
      <c r="H30" s="368">
        <v>0</v>
      </c>
      <c r="I30" s="137">
        <v>0</v>
      </c>
      <c r="J30" s="137">
        <v>0</v>
      </c>
      <c r="K30" s="137">
        <v>0</v>
      </c>
      <c r="L30" s="586" t="s">
        <v>41</v>
      </c>
      <c r="M30" s="644" t="s">
        <v>222</v>
      </c>
      <c r="N30" s="119"/>
      <c r="O30" s="119"/>
      <c r="P30" s="119"/>
      <c r="Q30" s="119"/>
      <c r="R30" s="119"/>
    </row>
    <row r="31" spans="1:22" ht="64.5" customHeight="1" x14ac:dyDescent="0.25">
      <c r="A31" s="653"/>
      <c r="B31" s="640"/>
      <c r="C31" s="573"/>
      <c r="D31" s="68" t="s">
        <v>23</v>
      </c>
      <c r="E31" s="71">
        <v>94414.815000000002</v>
      </c>
      <c r="F31" s="70">
        <f t="shared" si="5"/>
        <v>2413.636</v>
      </c>
      <c r="G31" s="71">
        <f>115.914+122.975</f>
        <v>238.88900000000001</v>
      </c>
      <c r="H31" s="358">
        <v>2174.7469999999998</v>
      </c>
      <c r="I31" s="71">
        <v>0</v>
      </c>
      <c r="J31" s="71">
        <f>5000-400-1000-1350-2250</f>
        <v>0</v>
      </c>
      <c r="K31" s="71">
        <f>5000-400-1000-1350-2250</f>
        <v>0</v>
      </c>
      <c r="L31" s="587"/>
      <c r="M31" s="645"/>
      <c r="N31" s="119"/>
      <c r="O31" s="121"/>
      <c r="P31" s="121"/>
    </row>
    <row r="32" spans="1:22" ht="120" customHeight="1" x14ac:dyDescent="0.25">
      <c r="A32" s="653"/>
      <c r="B32" s="640"/>
      <c r="C32" s="573"/>
      <c r="D32" s="138" t="s">
        <v>91</v>
      </c>
      <c r="E32" s="139">
        <v>11214.246999999999</v>
      </c>
      <c r="F32" s="70">
        <f t="shared" si="5"/>
        <v>23006.917000000001</v>
      </c>
      <c r="G32" s="139">
        <f>13232.584+4590.387+302.494</f>
        <v>18125.465</v>
      </c>
      <c r="H32" s="447">
        <f>805.556+3706.736+369.16</f>
        <v>4881.4519999999993</v>
      </c>
      <c r="I32" s="139">
        <v>0</v>
      </c>
      <c r="J32" s="139">
        <v>0</v>
      </c>
      <c r="K32" s="139">
        <v>0</v>
      </c>
      <c r="L32" s="587"/>
      <c r="M32" s="645"/>
      <c r="N32" s="1"/>
    </row>
    <row r="33" spans="1:20" ht="79.5" customHeight="1" x14ac:dyDescent="0.25">
      <c r="A33" s="493"/>
      <c r="B33" s="568"/>
      <c r="C33" s="474"/>
      <c r="D33" s="120" t="s">
        <v>51</v>
      </c>
      <c r="E33" s="140">
        <v>48999.718000000001</v>
      </c>
      <c r="F33" s="141">
        <f t="shared" si="5"/>
        <v>205332.95799999998</v>
      </c>
      <c r="G33" s="140">
        <f>37701.582-2675.545</f>
        <v>35026.037000000004</v>
      </c>
      <c r="H33" s="433">
        <f>37701.582+19500.593</f>
        <v>57202.175000000003</v>
      </c>
      <c r="I33" s="140">
        <v>37701.582000000002</v>
      </c>
      <c r="J33" s="140">
        <v>37701.582000000002</v>
      </c>
      <c r="K33" s="140">
        <v>37701.582000000002</v>
      </c>
      <c r="L33" s="588"/>
      <c r="M33" s="646"/>
      <c r="N33" s="1"/>
      <c r="O33" s="121"/>
      <c r="P33" s="121"/>
      <c r="Q33" s="121"/>
    </row>
    <row r="34" spans="1:20" ht="78" customHeight="1" x14ac:dyDescent="0.25">
      <c r="A34" s="492" t="s">
        <v>103</v>
      </c>
      <c r="B34" s="567" t="s">
        <v>290</v>
      </c>
      <c r="C34" s="473" t="s">
        <v>149</v>
      </c>
      <c r="D34" s="68" t="s">
        <v>5</v>
      </c>
      <c r="E34" s="69">
        <v>1000</v>
      </c>
      <c r="F34" s="70">
        <f t="shared" ref="F34:F35" si="8">SUM(G34:K34)</f>
        <v>2000</v>
      </c>
      <c r="G34" s="69">
        <f>2000</f>
        <v>2000</v>
      </c>
      <c r="H34" s="357">
        <v>0</v>
      </c>
      <c r="I34" s="69">
        <v>0</v>
      </c>
      <c r="J34" s="69">
        <v>0</v>
      </c>
      <c r="K34" s="69">
        <v>0</v>
      </c>
      <c r="L34" s="467" t="s">
        <v>11</v>
      </c>
      <c r="M34" s="482" t="s">
        <v>224</v>
      </c>
      <c r="O34" s="121"/>
      <c r="P34" s="121"/>
      <c r="Q34" s="121"/>
    </row>
    <row r="35" spans="1:20" ht="76.5" customHeight="1" x14ac:dyDescent="0.25">
      <c r="A35" s="493"/>
      <c r="B35" s="568"/>
      <c r="C35" s="474"/>
      <c r="D35" s="68" t="s">
        <v>23</v>
      </c>
      <c r="E35" s="71">
        <f>262-162</f>
        <v>100</v>
      </c>
      <c r="F35" s="70">
        <f t="shared" si="8"/>
        <v>1500</v>
      </c>
      <c r="G35" s="71">
        <v>200</v>
      </c>
      <c r="H35" s="432">
        <v>1300</v>
      </c>
      <c r="I35" s="71">
        <v>0</v>
      </c>
      <c r="J35" s="71">
        <v>0</v>
      </c>
      <c r="K35" s="71">
        <v>0</v>
      </c>
      <c r="L35" s="468"/>
      <c r="M35" s="484"/>
      <c r="N35" s="46"/>
    </row>
    <row r="36" spans="1:20" ht="127.5" customHeight="1" x14ac:dyDescent="0.25">
      <c r="A36" s="492" t="s">
        <v>104</v>
      </c>
      <c r="B36" s="567" t="s">
        <v>291</v>
      </c>
      <c r="C36" s="473" t="s">
        <v>149</v>
      </c>
      <c r="D36" s="68" t="s">
        <v>5</v>
      </c>
      <c r="E36" s="69">
        <v>0</v>
      </c>
      <c r="F36" s="70">
        <f t="shared" ref="F36:F37" si="9">SUM(G36:K36)</f>
        <v>0</v>
      </c>
      <c r="G36" s="69">
        <v>0</v>
      </c>
      <c r="H36" s="357">
        <v>0</v>
      </c>
      <c r="I36" s="69">
        <v>0</v>
      </c>
      <c r="J36" s="69">
        <v>0</v>
      </c>
      <c r="K36" s="69">
        <v>0</v>
      </c>
      <c r="L36" s="467" t="s">
        <v>11</v>
      </c>
      <c r="M36" s="482" t="s">
        <v>225</v>
      </c>
      <c r="O36" s="121"/>
      <c r="P36" s="121"/>
      <c r="Q36" s="121"/>
    </row>
    <row r="37" spans="1:20" ht="132.75" customHeight="1" x14ac:dyDescent="0.25">
      <c r="A37" s="493"/>
      <c r="B37" s="568"/>
      <c r="C37" s="474"/>
      <c r="D37" s="68" t="s">
        <v>23</v>
      </c>
      <c r="E37" s="71">
        <v>0</v>
      </c>
      <c r="F37" s="70">
        <f t="shared" si="9"/>
        <v>0</v>
      </c>
      <c r="G37" s="71">
        <v>0</v>
      </c>
      <c r="H37" s="358">
        <v>0</v>
      </c>
      <c r="I37" s="71">
        <v>0</v>
      </c>
      <c r="J37" s="71">
        <v>0</v>
      </c>
      <c r="K37" s="71">
        <v>0</v>
      </c>
      <c r="L37" s="468"/>
      <c r="M37" s="484"/>
      <c r="N37" s="119"/>
    </row>
    <row r="38" spans="1:20" ht="81" customHeight="1" x14ac:dyDescent="0.25">
      <c r="A38" s="492" t="s">
        <v>105</v>
      </c>
      <c r="B38" s="567" t="s">
        <v>292</v>
      </c>
      <c r="C38" s="473" t="s">
        <v>149</v>
      </c>
      <c r="D38" s="68" t="s">
        <v>5</v>
      </c>
      <c r="E38" s="69">
        <v>0</v>
      </c>
      <c r="F38" s="70">
        <f t="shared" ref="F38:F39" si="10">SUM(G38:K38)</f>
        <v>0</v>
      </c>
      <c r="G38" s="69">
        <v>0</v>
      </c>
      <c r="H38" s="357">
        <v>0</v>
      </c>
      <c r="I38" s="69">
        <v>0</v>
      </c>
      <c r="J38" s="69">
        <v>0</v>
      </c>
      <c r="K38" s="69">
        <v>0</v>
      </c>
      <c r="L38" s="467" t="s">
        <v>11</v>
      </c>
      <c r="M38" s="494" t="s">
        <v>156</v>
      </c>
      <c r="O38" s="121"/>
      <c r="P38" s="121"/>
      <c r="Q38" s="121"/>
    </row>
    <row r="39" spans="1:20" ht="97.5" customHeight="1" x14ac:dyDescent="0.25">
      <c r="A39" s="493"/>
      <c r="B39" s="568"/>
      <c r="C39" s="474"/>
      <c r="D39" s="68" t="s">
        <v>23</v>
      </c>
      <c r="E39" s="71">
        <v>0</v>
      </c>
      <c r="F39" s="70">
        <f t="shared" si="10"/>
        <v>0</v>
      </c>
      <c r="G39" s="71">
        <v>0</v>
      </c>
      <c r="H39" s="358">
        <v>0</v>
      </c>
      <c r="I39" s="71">
        <v>0</v>
      </c>
      <c r="J39" s="71">
        <v>0</v>
      </c>
      <c r="K39" s="71">
        <v>0</v>
      </c>
      <c r="L39" s="468"/>
      <c r="M39" s="495"/>
      <c r="N39" s="119"/>
    </row>
    <row r="40" spans="1:20" ht="91.5" customHeight="1" x14ac:dyDescent="0.25">
      <c r="A40" s="492" t="s">
        <v>106</v>
      </c>
      <c r="B40" s="567" t="s">
        <v>293</v>
      </c>
      <c r="C40" s="473" t="s">
        <v>149</v>
      </c>
      <c r="D40" s="68" t="s">
        <v>5</v>
      </c>
      <c r="E40" s="69">
        <v>1350</v>
      </c>
      <c r="F40" s="70">
        <f t="shared" ref="F40:F41" si="11">SUM(G40:K40)</f>
        <v>1680</v>
      </c>
      <c r="G40" s="69">
        <v>0</v>
      </c>
      <c r="H40" s="357">
        <v>1680</v>
      </c>
      <c r="I40" s="69">
        <v>0</v>
      </c>
      <c r="J40" s="69">
        <v>0</v>
      </c>
      <c r="K40" s="69">
        <v>0</v>
      </c>
      <c r="L40" s="467" t="s">
        <v>11</v>
      </c>
      <c r="M40" s="494" t="s">
        <v>298</v>
      </c>
      <c r="O40" s="121"/>
      <c r="P40" s="121"/>
      <c r="Q40" s="121"/>
    </row>
    <row r="41" spans="1:20" ht="84" customHeight="1" x14ac:dyDescent="0.25">
      <c r="A41" s="493"/>
      <c r="B41" s="568"/>
      <c r="C41" s="474"/>
      <c r="D41" s="68" t="s">
        <v>23</v>
      </c>
      <c r="E41" s="71">
        <v>2250</v>
      </c>
      <c r="F41" s="70">
        <f t="shared" si="11"/>
        <v>420</v>
      </c>
      <c r="G41" s="71">
        <f>2000-2000</f>
        <v>0</v>
      </c>
      <c r="H41" s="358">
        <v>420</v>
      </c>
      <c r="I41" s="71">
        <v>0</v>
      </c>
      <c r="J41" s="71">
        <v>0</v>
      </c>
      <c r="K41" s="71">
        <v>0</v>
      </c>
      <c r="L41" s="468"/>
      <c r="M41" s="495"/>
      <c r="N41" s="119"/>
    </row>
    <row r="42" spans="1:20" ht="51" customHeight="1" x14ac:dyDescent="0.25">
      <c r="A42" s="492" t="s">
        <v>107</v>
      </c>
      <c r="B42" s="465" t="s">
        <v>192</v>
      </c>
      <c r="C42" s="473" t="s">
        <v>149</v>
      </c>
      <c r="D42" s="68" t="s">
        <v>5</v>
      </c>
      <c r="E42" s="69">
        <v>965.8</v>
      </c>
      <c r="F42" s="70">
        <f t="shared" si="5"/>
        <v>0</v>
      </c>
      <c r="G42" s="69">
        <v>0</v>
      </c>
      <c r="H42" s="357">
        <v>0</v>
      </c>
      <c r="I42" s="69">
        <v>0</v>
      </c>
      <c r="J42" s="69">
        <v>0</v>
      </c>
      <c r="K42" s="69">
        <v>0</v>
      </c>
      <c r="L42" s="467" t="s">
        <v>11</v>
      </c>
      <c r="M42" s="494" t="s">
        <v>45</v>
      </c>
    </row>
    <row r="43" spans="1:20" ht="75" x14ac:dyDescent="0.3">
      <c r="A43" s="493"/>
      <c r="B43" s="466"/>
      <c r="C43" s="474"/>
      <c r="D43" s="68" t="s">
        <v>23</v>
      </c>
      <c r="E43" s="71">
        <v>6372.4089999999997</v>
      </c>
      <c r="F43" s="70">
        <f t="shared" si="5"/>
        <v>38752.716999999997</v>
      </c>
      <c r="G43" s="71">
        <f>7717.219-188.1+21.198</f>
        <v>7550.317</v>
      </c>
      <c r="H43" s="358">
        <v>7800.6</v>
      </c>
      <c r="I43" s="71">
        <v>7800.6</v>
      </c>
      <c r="J43" s="71">
        <v>7800.6</v>
      </c>
      <c r="K43" s="71">
        <v>7800.6</v>
      </c>
      <c r="L43" s="468"/>
      <c r="M43" s="495"/>
      <c r="N43" s="142"/>
    </row>
    <row r="44" spans="1:20" ht="299.25" customHeight="1" x14ac:dyDescent="0.25">
      <c r="A44" s="126" t="s">
        <v>108</v>
      </c>
      <c r="B44" s="143" t="s">
        <v>193</v>
      </c>
      <c r="C44" s="68" t="s">
        <v>149</v>
      </c>
      <c r="D44" s="68" t="s">
        <v>23</v>
      </c>
      <c r="E44" s="71">
        <v>33825.199999999997</v>
      </c>
      <c r="F44" s="70">
        <f t="shared" si="5"/>
        <v>9462.2000000000007</v>
      </c>
      <c r="G44" s="71">
        <v>6210.2</v>
      </c>
      <c r="H44" s="358">
        <v>3252</v>
      </c>
      <c r="I44" s="71">
        <v>0</v>
      </c>
      <c r="J44" s="71">
        <v>0</v>
      </c>
      <c r="K44" s="71">
        <v>0</v>
      </c>
      <c r="L44" s="79" t="s">
        <v>11</v>
      </c>
      <c r="M44" s="136" t="s">
        <v>129</v>
      </c>
    </row>
    <row r="45" spans="1:20" ht="67.5" customHeight="1" x14ac:dyDescent="0.25">
      <c r="A45" s="570" t="s">
        <v>109</v>
      </c>
      <c r="B45" s="477" t="s">
        <v>194</v>
      </c>
      <c r="C45" s="473" t="s">
        <v>149</v>
      </c>
      <c r="D45" s="68" t="s">
        <v>23</v>
      </c>
      <c r="E45" s="144">
        <f>2379.3+446.885+1263.765-1065</f>
        <v>3024.9500000000007</v>
      </c>
      <c r="F45" s="70">
        <f t="shared" si="5"/>
        <v>34626.519999999997</v>
      </c>
      <c r="G45" s="144">
        <v>0</v>
      </c>
      <c r="H45" s="369">
        <v>34626.519999999997</v>
      </c>
      <c r="I45" s="144">
        <v>0</v>
      </c>
      <c r="J45" s="144">
        <v>0</v>
      </c>
      <c r="K45" s="144">
        <v>0</v>
      </c>
      <c r="L45" s="574" t="s">
        <v>11</v>
      </c>
      <c r="M45" s="577" t="s">
        <v>73</v>
      </c>
      <c r="O45" s="119"/>
      <c r="P45" s="119"/>
      <c r="Q45" s="119"/>
      <c r="R45" s="119"/>
      <c r="S45" s="119"/>
    </row>
    <row r="46" spans="1:20" ht="93.75" x14ac:dyDescent="0.25">
      <c r="A46" s="571"/>
      <c r="B46" s="569"/>
      <c r="C46" s="573"/>
      <c r="D46" s="68" t="s">
        <v>317</v>
      </c>
      <c r="E46" s="144">
        <v>0</v>
      </c>
      <c r="F46" s="70">
        <f t="shared" si="5"/>
        <v>34626.519999999997</v>
      </c>
      <c r="G46" s="144">
        <v>0</v>
      </c>
      <c r="H46" s="369">
        <f>49.35+34558.47+18.7</f>
        <v>34626.519999999997</v>
      </c>
      <c r="I46" s="144">
        <v>0</v>
      </c>
      <c r="J46" s="144">
        <v>0</v>
      </c>
      <c r="K46" s="144">
        <v>0</v>
      </c>
      <c r="L46" s="575"/>
      <c r="M46" s="578"/>
      <c r="O46" s="119"/>
      <c r="P46" s="119"/>
      <c r="Q46" s="119"/>
      <c r="R46" s="119"/>
      <c r="S46" s="119"/>
    </row>
    <row r="47" spans="1:20" ht="122.25" customHeight="1" x14ac:dyDescent="0.25">
      <c r="A47" s="572"/>
      <c r="B47" s="478"/>
      <c r="C47" s="474"/>
      <c r="D47" s="68" t="s">
        <v>91</v>
      </c>
      <c r="E47" s="144">
        <v>0</v>
      </c>
      <c r="F47" s="70">
        <f t="shared" si="5"/>
        <v>1090</v>
      </c>
      <c r="G47" s="144">
        <v>0</v>
      </c>
      <c r="H47" s="369">
        <v>1090</v>
      </c>
      <c r="I47" s="144">
        <v>0</v>
      </c>
      <c r="J47" s="144">
        <v>0</v>
      </c>
      <c r="K47" s="144">
        <v>0</v>
      </c>
      <c r="L47" s="576"/>
      <c r="M47" s="579"/>
      <c r="O47" s="119"/>
      <c r="P47" s="119"/>
      <c r="Q47" s="119"/>
      <c r="R47" s="119"/>
      <c r="S47" s="119"/>
    </row>
    <row r="48" spans="1:20" ht="85.5" customHeight="1" x14ac:dyDescent="0.25">
      <c r="A48" s="570" t="s">
        <v>110</v>
      </c>
      <c r="B48" s="641" t="s">
        <v>195</v>
      </c>
      <c r="C48" s="473" t="s">
        <v>149</v>
      </c>
      <c r="D48" s="68" t="s">
        <v>23</v>
      </c>
      <c r="E48" s="145">
        <f>1049.824</f>
        <v>1049.8240000000001</v>
      </c>
      <c r="F48" s="70">
        <f t="shared" si="5"/>
        <v>2119.7779999999998</v>
      </c>
      <c r="G48" s="145">
        <v>2119.7779999999998</v>
      </c>
      <c r="H48" s="370">
        <v>0</v>
      </c>
      <c r="I48" s="145">
        <v>0</v>
      </c>
      <c r="J48" s="145">
        <v>0</v>
      </c>
      <c r="K48" s="145">
        <v>0</v>
      </c>
      <c r="L48" s="574" t="s">
        <v>143</v>
      </c>
      <c r="M48" s="654" t="s">
        <v>320</v>
      </c>
      <c r="N48" s="119"/>
      <c r="O48" s="146"/>
      <c r="P48" s="146"/>
      <c r="Q48" s="146"/>
      <c r="R48" s="146"/>
      <c r="S48" s="119"/>
      <c r="T48" s="119"/>
    </row>
    <row r="49" spans="1:21" ht="127.5" customHeight="1" x14ac:dyDescent="0.25">
      <c r="A49" s="572"/>
      <c r="B49" s="642"/>
      <c r="C49" s="474"/>
      <c r="D49" s="32" t="s">
        <v>91</v>
      </c>
      <c r="E49" s="37">
        <v>620.24599999999998</v>
      </c>
      <c r="F49" s="70">
        <f t="shared" si="5"/>
        <v>681.89699999999993</v>
      </c>
      <c r="G49" s="37">
        <f>984.391-302.494</f>
        <v>681.89699999999993</v>
      </c>
      <c r="H49" s="356">
        <v>0</v>
      </c>
      <c r="I49" s="37">
        <v>0</v>
      </c>
      <c r="J49" s="37">
        <v>0</v>
      </c>
      <c r="K49" s="37">
        <v>0</v>
      </c>
      <c r="L49" s="576"/>
      <c r="M49" s="655"/>
      <c r="N49" s="119"/>
    </row>
    <row r="50" spans="1:21" ht="37.5" customHeight="1" x14ac:dyDescent="0.25">
      <c r="A50" s="485" t="s">
        <v>117</v>
      </c>
      <c r="B50" s="462" t="s">
        <v>196</v>
      </c>
      <c r="C50" s="460" t="s">
        <v>149</v>
      </c>
      <c r="D50" s="32" t="s">
        <v>5</v>
      </c>
      <c r="E50" s="37">
        <v>0</v>
      </c>
      <c r="F50" s="70">
        <f>SUM(G50:K50)</f>
        <v>141987.4</v>
      </c>
      <c r="G50" s="37">
        <f>G54+G57</f>
        <v>16981.110509999999</v>
      </c>
      <c r="H50" s="356">
        <f t="shared" ref="H50:K50" si="12">H54+H57</f>
        <v>125006.28949</v>
      </c>
      <c r="I50" s="37">
        <f t="shared" si="12"/>
        <v>0</v>
      </c>
      <c r="J50" s="37">
        <f t="shared" si="12"/>
        <v>0</v>
      </c>
      <c r="K50" s="37">
        <f t="shared" si="12"/>
        <v>0</v>
      </c>
      <c r="L50" s="574" t="s">
        <v>143</v>
      </c>
      <c r="M50" s="482" t="s">
        <v>315</v>
      </c>
      <c r="N50" s="119"/>
    </row>
    <row r="51" spans="1:21" ht="54" customHeight="1" x14ac:dyDescent="0.25">
      <c r="A51" s="486"/>
      <c r="B51" s="463"/>
      <c r="C51" s="499"/>
      <c r="D51" s="32" t="s">
        <v>12</v>
      </c>
      <c r="E51" s="33">
        <v>0</v>
      </c>
      <c r="F51" s="70">
        <f t="shared" si="5"/>
        <v>51267.6</v>
      </c>
      <c r="G51" s="33">
        <f>G55+G58</f>
        <v>12363</v>
      </c>
      <c r="H51" s="355">
        <f t="shared" ref="H51:K52" si="13">H55+H58</f>
        <v>38904.6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575"/>
      <c r="M51" s="483"/>
      <c r="N51" s="119"/>
      <c r="O51" s="146"/>
      <c r="P51" s="146"/>
      <c r="Q51" s="146"/>
      <c r="R51" s="146"/>
      <c r="S51" s="146"/>
      <c r="T51" s="146"/>
    </row>
    <row r="52" spans="1:21" ht="93.75" x14ac:dyDescent="0.25">
      <c r="A52" s="486"/>
      <c r="B52" s="463"/>
      <c r="C52" s="499"/>
      <c r="D52" s="147" t="s">
        <v>317</v>
      </c>
      <c r="E52" s="33">
        <v>0</v>
      </c>
      <c r="F52" s="70">
        <f t="shared" si="5"/>
        <v>38904.6</v>
      </c>
      <c r="G52" s="33">
        <v>0</v>
      </c>
      <c r="H52" s="355">
        <f t="shared" si="13"/>
        <v>38904.6</v>
      </c>
      <c r="I52" s="33">
        <v>0</v>
      </c>
      <c r="J52" s="33">
        <v>0</v>
      </c>
      <c r="K52" s="33">
        <v>0</v>
      </c>
      <c r="L52" s="575"/>
      <c r="M52" s="483"/>
      <c r="N52" s="119"/>
      <c r="O52" s="146"/>
      <c r="P52" s="146"/>
      <c r="Q52" s="146"/>
      <c r="R52" s="146"/>
      <c r="S52" s="146"/>
      <c r="T52" s="146"/>
    </row>
    <row r="53" spans="1:21" ht="118.5" customHeight="1" x14ac:dyDescent="0.25">
      <c r="A53" s="486"/>
      <c r="B53" s="464"/>
      <c r="C53" s="461"/>
      <c r="D53" s="147" t="s">
        <v>91</v>
      </c>
      <c r="E53" s="33">
        <v>0</v>
      </c>
      <c r="F53" s="70">
        <f t="shared" si="5"/>
        <v>0</v>
      </c>
      <c r="G53" s="33">
        <v>0</v>
      </c>
      <c r="H53" s="355">
        <f>20000-20000</f>
        <v>0</v>
      </c>
      <c r="I53" s="33">
        <v>0</v>
      </c>
      <c r="J53" s="33">
        <f>20000-20000</f>
        <v>0</v>
      </c>
      <c r="K53" s="33">
        <v>0</v>
      </c>
      <c r="L53" s="575"/>
      <c r="M53" s="483"/>
      <c r="N53" s="119"/>
      <c r="O53" s="146"/>
      <c r="P53" s="146"/>
      <c r="Q53" s="146"/>
      <c r="R53" s="146"/>
      <c r="S53" s="146"/>
      <c r="T53" s="146"/>
      <c r="U53" s="146"/>
    </row>
    <row r="54" spans="1:21" ht="37.5" customHeight="1" x14ac:dyDescent="0.25">
      <c r="A54" s="486"/>
      <c r="B54" s="462" t="s">
        <v>308</v>
      </c>
      <c r="C54" s="460" t="s">
        <v>258</v>
      </c>
      <c r="D54" s="147" t="s">
        <v>5</v>
      </c>
      <c r="E54" s="33">
        <v>0</v>
      </c>
      <c r="F54" s="70">
        <f t="shared" si="5"/>
        <v>70000</v>
      </c>
      <c r="G54" s="434">
        <f>20000-3018.88949</f>
        <v>16981.110509999999</v>
      </c>
      <c r="H54" s="406">
        <f>50000+3018.88949</f>
        <v>53018.889490000001</v>
      </c>
      <c r="I54" s="33">
        <v>0</v>
      </c>
      <c r="J54" s="33">
        <v>0</v>
      </c>
      <c r="K54" s="33">
        <v>0</v>
      </c>
      <c r="L54" s="575"/>
      <c r="M54" s="483"/>
      <c r="N54" s="46"/>
      <c r="O54" s="146"/>
      <c r="P54" s="146"/>
      <c r="Q54" s="146"/>
      <c r="R54" s="146"/>
      <c r="S54" s="146"/>
      <c r="T54" s="146"/>
      <c r="U54" s="146"/>
    </row>
    <row r="55" spans="1:21" ht="57.75" customHeight="1" x14ac:dyDescent="0.25">
      <c r="A55" s="486"/>
      <c r="B55" s="463"/>
      <c r="C55" s="499"/>
      <c r="D55" s="147" t="s">
        <v>12</v>
      </c>
      <c r="E55" s="33">
        <v>0</v>
      </c>
      <c r="F55" s="70">
        <f t="shared" si="5"/>
        <v>43269</v>
      </c>
      <c r="G55" s="33">
        <v>12363</v>
      </c>
      <c r="H55" s="406">
        <f>30906</f>
        <v>30906</v>
      </c>
      <c r="I55" s="33">
        <v>0</v>
      </c>
      <c r="J55" s="33">
        <v>0</v>
      </c>
      <c r="K55" s="33">
        <v>0</v>
      </c>
      <c r="L55" s="575"/>
      <c r="M55" s="483"/>
      <c r="O55" s="146"/>
      <c r="P55" s="146"/>
      <c r="Q55" s="146"/>
      <c r="R55" s="146"/>
      <c r="S55" s="146"/>
      <c r="T55" s="146"/>
      <c r="U55" s="146"/>
    </row>
    <row r="56" spans="1:21" ht="96" customHeight="1" x14ac:dyDescent="0.25">
      <c r="A56" s="486"/>
      <c r="B56" s="464"/>
      <c r="C56" s="461"/>
      <c r="D56" s="147" t="s">
        <v>317</v>
      </c>
      <c r="E56" s="33">
        <v>0</v>
      </c>
      <c r="F56" s="70">
        <f t="shared" si="5"/>
        <v>30906</v>
      </c>
      <c r="G56" s="33">
        <v>0</v>
      </c>
      <c r="H56" s="355">
        <v>30906</v>
      </c>
      <c r="I56" s="33">
        <v>0</v>
      </c>
      <c r="J56" s="33">
        <v>0</v>
      </c>
      <c r="K56" s="33">
        <v>0</v>
      </c>
      <c r="L56" s="575"/>
      <c r="M56" s="483"/>
      <c r="N56" s="119"/>
      <c r="O56" s="146"/>
      <c r="P56" s="146"/>
      <c r="Q56" s="146"/>
      <c r="R56" s="146"/>
      <c r="S56" s="146"/>
      <c r="T56" s="146"/>
      <c r="U56" s="146"/>
    </row>
    <row r="57" spans="1:21" ht="37.5" x14ac:dyDescent="0.25">
      <c r="A57" s="486"/>
      <c r="B57" s="462" t="s">
        <v>309</v>
      </c>
      <c r="C57" s="460" t="s">
        <v>47</v>
      </c>
      <c r="D57" s="147" t="s">
        <v>5</v>
      </c>
      <c r="E57" s="33">
        <v>0</v>
      </c>
      <c r="F57" s="70">
        <f t="shared" si="5"/>
        <v>71987.399999999994</v>
      </c>
      <c r="G57" s="33">
        <v>0</v>
      </c>
      <c r="H57" s="355">
        <v>71987.399999999994</v>
      </c>
      <c r="I57" s="33">
        <v>0</v>
      </c>
      <c r="J57" s="33">
        <v>0</v>
      </c>
      <c r="K57" s="33">
        <v>0</v>
      </c>
      <c r="L57" s="575"/>
      <c r="M57" s="483"/>
      <c r="N57" s="119"/>
      <c r="O57" s="146"/>
      <c r="P57" s="146"/>
      <c r="Q57" s="146"/>
      <c r="R57" s="146"/>
      <c r="S57" s="146"/>
      <c r="T57" s="146"/>
      <c r="U57" s="146"/>
    </row>
    <row r="58" spans="1:21" ht="60" customHeight="1" x14ac:dyDescent="0.25">
      <c r="A58" s="486"/>
      <c r="B58" s="463"/>
      <c r="C58" s="499"/>
      <c r="D58" s="147" t="s">
        <v>12</v>
      </c>
      <c r="E58" s="33">
        <v>0</v>
      </c>
      <c r="F58" s="70">
        <f t="shared" si="5"/>
        <v>7998.6</v>
      </c>
      <c r="G58" s="33">
        <v>0</v>
      </c>
      <c r="H58" s="355">
        <v>7998.6</v>
      </c>
      <c r="I58" s="33">
        <v>0</v>
      </c>
      <c r="J58" s="33">
        <v>0</v>
      </c>
      <c r="K58" s="33">
        <v>0</v>
      </c>
      <c r="L58" s="575"/>
      <c r="M58" s="483"/>
      <c r="N58" s="119"/>
      <c r="O58" s="146"/>
      <c r="P58" s="146"/>
      <c r="Q58" s="146"/>
      <c r="R58" s="146"/>
      <c r="S58" s="146"/>
      <c r="T58" s="146"/>
      <c r="U58" s="146"/>
    </row>
    <row r="59" spans="1:21" ht="99.75" customHeight="1" x14ac:dyDescent="0.25">
      <c r="A59" s="487"/>
      <c r="B59" s="464"/>
      <c r="C59" s="461"/>
      <c r="D59" s="147" t="s">
        <v>317</v>
      </c>
      <c r="E59" s="33">
        <v>0</v>
      </c>
      <c r="F59" s="70">
        <f t="shared" si="5"/>
        <v>7998.6</v>
      </c>
      <c r="G59" s="33">
        <v>0</v>
      </c>
      <c r="H59" s="355">
        <v>7998.6</v>
      </c>
      <c r="I59" s="33">
        <v>0</v>
      </c>
      <c r="J59" s="33">
        <v>0</v>
      </c>
      <c r="K59" s="33">
        <v>0</v>
      </c>
      <c r="L59" s="576"/>
      <c r="M59" s="484"/>
      <c r="N59" s="119"/>
      <c r="O59" s="146"/>
      <c r="P59" s="146"/>
      <c r="Q59" s="146"/>
      <c r="R59" s="146"/>
      <c r="S59" s="146"/>
      <c r="T59" s="146"/>
      <c r="U59" s="146"/>
    </row>
    <row r="60" spans="1:21" ht="279" customHeight="1" x14ac:dyDescent="0.25">
      <c r="A60" s="43" t="s">
        <v>118</v>
      </c>
      <c r="B60" s="59" t="s">
        <v>197</v>
      </c>
      <c r="C60" s="36" t="s">
        <v>149</v>
      </c>
      <c r="D60" s="65" t="s">
        <v>5</v>
      </c>
      <c r="E60" s="37">
        <f>11505+70</f>
        <v>11575</v>
      </c>
      <c r="F60" s="70">
        <f t="shared" si="5"/>
        <v>17613</v>
      </c>
      <c r="G60" s="37">
        <f>500+500+450+1000+500+2100+1000+1500+1000+500+300+119+494+500+500</f>
        <v>10963</v>
      </c>
      <c r="H60" s="435">
        <f>500+250+500+500+350+2200+1000+500+299+385+166</f>
        <v>6650</v>
      </c>
      <c r="I60" s="37">
        <v>0</v>
      </c>
      <c r="J60" s="37">
        <v>0</v>
      </c>
      <c r="K60" s="37">
        <v>0</v>
      </c>
      <c r="L60" s="60" t="s">
        <v>8</v>
      </c>
      <c r="M60" s="45" t="s">
        <v>283</v>
      </c>
      <c r="N60" s="38"/>
      <c r="O60" s="119"/>
      <c r="P60" s="119"/>
      <c r="Q60" s="119"/>
      <c r="R60" s="119"/>
      <c r="S60" s="119"/>
      <c r="T60" s="119"/>
      <c r="U60" s="119"/>
    </row>
    <row r="61" spans="1:21" ht="107.25" customHeight="1" x14ac:dyDescent="0.25">
      <c r="A61" s="148" t="s">
        <v>119</v>
      </c>
      <c r="B61" s="149" t="s">
        <v>198</v>
      </c>
      <c r="C61" s="68" t="s">
        <v>149</v>
      </c>
      <c r="D61" s="150" t="s">
        <v>5</v>
      </c>
      <c r="E61" s="151">
        <v>11985</v>
      </c>
      <c r="F61" s="152">
        <f>SUM(G61:K61)</f>
        <v>51118</v>
      </c>
      <c r="G61" s="151">
        <v>14104</v>
      </c>
      <c r="H61" s="371">
        <v>12338</v>
      </c>
      <c r="I61" s="151">
        <v>12338</v>
      </c>
      <c r="J61" s="151">
        <v>12338</v>
      </c>
      <c r="K61" s="151">
        <v>0</v>
      </c>
      <c r="L61" s="75" t="s">
        <v>55</v>
      </c>
      <c r="M61" s="153" t="s">
        <v>54</v>
      </c>
    </row>
    <row r="62" spans="1:21" ht="42.75" customHeight="1" x14ac:dyDescent="0.25">
      <c r="A62" s="651" t="s">
        <v>120</v>
      </c>
      <c r="B62" s="656" t="s">
        <v>199</v>
      </c>
      <c r="C62" s="647" t="s">
        <v>149</v>
      </c>
      <c r="D62" s="150" t="s">
        <v>5</v>
      </c>
      <c r="E62" s="151">
        <v>0</v>
      </c>
      <c r="F62" s="152">
        <f t="shared" ref="F62:F63" si="14">SUM(G62:K62)</f>
        <v>0</v>
      </c>
      <c r="G62" s="151">
        <v>0</v>
      </c>
      <c r="H62" s="371">
        <v>0</v>
      </c>
      <c r="I62" s="151">
        <v>0</v>
      </c>
      <c r="J62" s="151">
        <v>0</v>
      </c>
      <c r="K62" s="151">
        <v>0</v>
      </c>
      <c r="L62" s="467" t="s">
        <v>11</v>
      </c>
      <c r="M62" s="547" t="s">
        <v>226</v>
      </c>
    </row>
    <row r="63" spans="1:21" ht="59.25" customHeight="1" x14ac:dyDescent="0.25">
      <c r="A63" s="652"/>
      <c r="B63" s="657"/>
      <c r="C63" s="648"/>
      <c r="D63" s="150" t="s">
        <v>12</v>
      </c>
      <c r="E63" s="151">
        <v>1200</v>
      </c>
      <c r="F63" s="152">
        <f t="shared" si="14"/>
        <v>0</v>
      </c>
      <c r="G63" s="151">
        <v>0</v>
      </c>
      <c r="H63" s="371">
        <v>0</v>
      </c>
      <c r="I63" s="151">
        <v>0</v>
      </c>
      <c r="J63" s="151">
        <v>0</v>
      </c>
      <c r="K63" s="151">
        <v>0</v>
      </c>
      <c r="L63" s="468"/>
      <c r="M63" s="549"/>
    </row>
    <row r="64" spans="1:21" ht="120.75" customHeight="1" x14ac:dyDescent="0.25">
      <c r="A64" s="148" t="s">
        <v>121</v>
      </c>
      <c r="B64" s="149" t="s">
        <v>200</v>
      </c>
      <c r="C64" s="154" t="s">
        <v>166</v>
      </c>
      <c r="D64" s="150" t="s">
        <v>12</v>
      </c>
      <c r="E64" s="151">
        <v>1600</v>
      </c>
      <c r="F64" s="152">
        <f t="shared" ref="F64" si="15">SUM(G64:K64)</f>
        <v>1312.5</v>
      </c>
      <c r="G64" s="151">
        <v>812.5</v>
      </c>
      <c r="H64" s="371">
        <v>500</v>
      </c>
      <c r="I64" s="151">
        <v>0</v>
      </c>
      <c r="J64" s="151">
        <v>0</v>
      </c>
      <c r="K64" s="151">
        <v>0</v>
      </c>
      <c r="L64" s="75" t="s">
        <v>11</v>
      </c>
      <c r="M64" s="153" t="s">
        <v>227</v>
      </c>
    </row>
    <row r="65" spans="1:14" ht="131.25" x14ac:dyDescent="0.25">
      <c r="A65" s="148" t="s">
        <v>122</v>
      </c>
      <c r="B65" s="155" t="s">
        <v>201</v>
      </c>
      <c r="C65" s="154" t="s">
        <v>149</v>
      </c>
      <c r="D65" s="150" t="s">
        <v>12</v>
      </c>
      <c r="E65" s="151">
        <v>39858.9</v>
      </c>
      <c r="F65" s="152">
        <f t="shared" ref="F65:F66" si="16">SUM(G65:K65)</f>
        <v>260796.47999999998</v>
      </c>
      <c r="G65" s="151">
        <v>48299.896000000001</v>
      </c>
      <c r="H65" s="436">
        <f>53310.742-746.384</f>
        <v>52564.358</v>
      </c>
      <c r="I65" s="151">
        <v>53310.741999999998</v>
      </c>
      <c r="J65" s="151">
        <v>53310.741999999998</v>
      </c>
      <c r="K65" s="151">
        <v>53310.741999999998</v>
      </c>
      <c r="L65" s="75" t="s">
        <v>11</v>
      </c>
      <c r="M65" s="153" t="s">
        <v>229</v>
      </c>
      <c r="N65" s="1"/>
    </row>
    <row r="66" spans="1:14" ht="37.5" x14ac:dyDescent="0.25">
      <c r="A66" s="651" t="s">
        <v>123</v>
      </c>
      <c r="B66" s="656" t="s">
        <v>294</v>
      </c>
      <c r="C66" s="647" t="s">
        <v>149</v>
      </c>
      <c r="D66" s="150" t="s">
        <v>5</v>
      </c>
      <c r="E66" s="151">
        <v>3596</v>
      </c>
      <c r="F66" s="152">
        <f t="shared" si="16"/>
        <v>55344</v>
      </c>
      <c r="G66" s="151">
        <f>33334+38</f>
        <v>33372</v>
      </c>
      <c r="H66" s="371">
        <v>21972</v>
      </c>
      <c r="I66" s="71">
        <v>0</v>
      </c>
      <c r="J66" s="71">
        <v>0</v>
      </c>
      <c r="K66" s="71">
        <v>0</v>
      </c>
      <c r="L66" s="467" t="s">
        <v>11</v>
      </c>
      <c r="M66" s="663" t="s">
        <v>324</v>
      </c>
    </row>
    <row r="67" spans="1:14" ht="83.25" customHeight="1" x14ac:dyDescent="0.25">
      <c r="A67" s="659"/>
      <c r="B67" s="660"/>
      <c r="C67" s="661"/>
      <c r="D67" s="150" t="s">
        <v>12</v>
      </c>
      <c r="E67" s="151">
        <v>0</v>
      </c>
      <c r="F67" s="152">
        <f t="shared" ref="F67:F71" si="17">SUM(G67:K67)</f>
        <v>39344</v>
      </c>
      <c r="G67" s="151">
        <f>1438+19166+24</f>
        <v>20628</v>
      </c>
      <c r="H67" s="371">
        <v>18716</v>
      </c>
      <c r="I67" s="71">
        <v>0</v>
      </c>
      <c r="J67" s="71">
        <v>0</v>
      </c>
      <c r="K67" s="71">
        <v>0</v>
      </c>
      <c r="L67" s="662"/>
      <c r="M67" s="664"/>
    </row>
    <row r="68" spans="1:14" ht="103.5" customHeight="1" x14ac:dyDescent="0.25">
      <c r="A68" s="652"/>
      <c r="B68" s="657"/>
      <c r="C68" s="648"/>
      <c r="D68" s="150" t="s">
        <v>317</v>
      </c>
      <c r="E68" s="151">
        <v>0</v>
      </c>
      <c r="F68" s="152">
        <f t="shared" si="17"/>
        <v>18716</v>
      </c>
      <c r="G68" s="151">
        <v>0</v>
      </c>
      <c r="H68" s="371">
        <v>18716</v>
      </c>
      <c r="I68" s="71">
        <v>0</v>
      </c>
      <c r="J68" s="71">
        <v>0</v>
      </c>
      <c r="K68" s="71">
        <v>0</v>
      </c>
      <c r="L68" s="468"/>
      <c r="M68" s="665"/>
    </row>
    <row r="69" spans="1:14" s="349" customFormat="1" ht="174.75" hidden="1" customHeight="1" x14ac:dyDescent="0.25">
      <c r="A69" s="407" t="s">
        <v>270</v>
      </c>
      <c r="B69" s="408" t="s">
        <v>272</v>
      </c>
      <c r="C69" s="409" t="s">
        <v>149</v>
      </c>
      <c r="D69" s="348" t="s">
        <v>12</v>
      </c>
      <c r="E69" s="410">
        <v>0</v>
      </c>
      <c r="F69" s="411">
        <f t="shared" si="17"/>
        <v>0</v>
      </c>
      <c r="G69" s="410">
        <f>24000-24000</f>
        <v>0</v>
      </c>
      <c r="H69" s="404">
        <f>72000-72000</f>
        <v>0</v>
      </c>
      <c r="I69" s="412">
        <f>72000-72000</f>
        <v>0</v>
      </c>
      <c r="J69" s="412">
        <v>0</v>
      </c>
      <c r="K69" s="412">
        <v>0</v>
      </c>
      <c r="L69" s="413" t="s">
        <v>271</v>
      </c>
      <c r="M69" s="414" t="s">
        <v>276</v>
      </c>
      <c r="N69" s="349" t="s">
        <v>319</v>
      </c>
    </row>
    <row r="70" spans="1:14" ht="128.25" customHeight="1" x14ac:dyDescent="0.25">
      <c r="A70" s="156" t="s">
        <v>273</v>
      </c>
      <c r="B70" s="157" t="s">
        <v>274</v>
      </c>
      <c r="C70" s="158" t="s">
        <v>149</v>
      </c>
      <c r="D70" s="147" t="s">
        <v>91</v>
      </c>
      <c r="E70" s="151">
        <v>0</v>
      </c>
      <c r="F70" s="152">
        <f t="shared" si="17"/>
        <v>918.2</v>
      </c>
      <c r="G70" s="151">
        <v>400</v>
      </c>
      <c r="H70" s="371">
        <v>518.20000000000005</v>
      </c>
      <c r="I70" s="71">
        <v>0</v>
      </c>
      <c r="J70" s="71">
        <v>0</v>
      </c>
      <c r="K70" s="71">
        <v>0</v>
      </c>
      <c r="L70" s="134" t="s">
        <v>11</v>
      </c>
      <c r="M70" s="159" t="s">
        <v>275</v>
      </c>
    </row>
    <row r="71" spans="1:14" ht="122.25" customHeight="1" x14ac:dyDescent="0.25">
      <c r="A71" s="156" t="s">
        <v>310</v>
      </c>
      <c r="B71" s="157" t="s">
        <v>311</v>
      </c>
      <c r="C71" s="158" t="s">
        <v>149</v>
      </c>
      <c r="D71" s="147" t="s">
        <v>12</v>
      </c>
      <c r="E71" s="151">
        <v>0</v>
      </c>
      <c r="F71" s="152">
        <f t="shared" si="17"/>
        <v>492480</v>
      </c>
      <c r="G71" s="151">
        <v>0</v>
      </c>
      <c r="H71" s="371">
        <v>123120</v>
      </c>
      <c r="I71" s="71">
        <v>123120</v>
      </c>
      <c r="J71" s="71">
        <v>123120</v>
      </c>
      <c r="K71" s="71">
        <v>123120</v>
      </c>
      <c r="L71" s="134" t="s">
        <v>11</v>
      </c>
      <c r="M71" s="159" t="s">
        <v>312</v>
      </c>
    </row>
    <row r="72" spans="1:14" ht="114.75" customHeight="1" x14ac:dyDescent="0.25">
      <c r="A72" s="160"/>
      <c r="B72" s="161" t="s">
        <v>202</v>
      </c>
      <c r="C72" s="162" t="s">
        <v>149</v>
      </c>
      <c r="D72" s="163" t="s">
        <v>9</v>
      </c>
      <c r="E72" s="164">
        <f>E73+E74</f>
        <v>47826.100000000006</v>
      </c>
      <c r="F72" s="165">
        <f>SUM(G72:K72)</f>
        <v>193212.25099999999</v>
      </c>
      <c r="G72" s="164">
        <f>G73+G74</f>
        <v>33265.050999999999</v>
      </c>
      <c r="H72" s="372">
        <f t="shared" ref="H72:K72" si="18">H73+H74</f>
        <v>39986.800000000003</v>
      </c>
      <c r="I72" s="164">
        <f t="shared" si="18"/>
        <v>39986.800000000003</v>
      </c>
      <c r="J72" s="164">
        <f>J73+J74</f>
        <v>39986.800000000003</v>
      </c>
      <c r="K72" s="164">
        <f t="shared" si="18"/>
        <v>39986.800000000003</v>
      </c>
      <c r="L72" s="164"/>
      <c r="M72" s="166"/>
    </row>
    <row r="73" spans="1:14" ht="110.25" customHeight="1" x14ac:dyDescent="0.25">
      <c r="A73" s="167" t="s">
        <v>111</v>
      </c>
      <c r="B73" s="168" t="s">
        <v>244</v>
      </c>
      <c r="C73" s="671" t="s">
        <v>149</v>
      </c>
      <c r="D73" s="154" t="s">
        <v>32</v>
      </c>
      <c r="E73" s="169">
        <v>22530.2</v>
      </c>
      <c r="F73" s="170">
        <f>SUM(G73:K73)</f>
        <v>97228.817999999999</v>
      </c>
      <c r="G73" s="169">
        <f>15209.551-101.533</f>
        <v>15108.018</v>
      </c>
      <c r="H73" s="373">
        <v>20530.2</v>
      </c>
      <c r="I73" s="169">
        <v>20530.2</v>
      </c>
      <c r="J73" s="169">
        <v>20530.2</v>
      </c>
      <c r="K73" s="169">
        <v>20530.2</v>
      </c>
      <c r="L73" s="666" t="s">
        <v>11</v>
      </c>
      <c r="M73" s="649" t="s">
        <v>88</v>
      </c>
    </row>
    <row r="74" spans="1:14" ht="105.75" customHeight="1" x14ac:dyDescent="0.25">
      <c r="A74" s="171" t="s">
        <v>112</v>
      </c>
      <c r="B74" s="172" t="s">
        <v>245</v>
      </c>
      <c r="C74" s="672"/>
      <c r="D74" s="158" t="s">
        <v>32</v>
      </c>
      <c r="E74" s="173">
        <v>25295.9</v>
      </c>
      <c r="F74" s="174">
        <f>SUM(G74:K74)</f>
        <v>95983.43299999999</v>
      </c>
      <c r="G74" s="173">
        <f>18055.5+101.533</f>
        <v>18157.032999999999</v>
      </c>
      <c r="H74" s="374">
        <v>19456.599999999999</v>
      </c>
      <c r="I74" s="173">
        <v>19456.599999999999</v>
      </c>
      <c r="J74" s="173">
        <v>19456.599999999999</v>
      </c>
      <c r="K74" s="173">
        <v>19456.599999999999</v>
      </c>
      <c r="L74" s="667"/>
      <c r="M74" s="650"/>
    </row>
    <row r="75" spans="1:14" ht="21" customHeight="1" x14ac:dyDescent="0.25">
      <c r="A75" s="589"/>
      <c r="B75" s="583" t="s">
        <v>284</v>
      </c>
      <c r="C75" s="504" t="s">
        <v>149</v>
      </c>
      <c r="D75" s="175" t="s">
        <v>10</v>
      </c>
      <c r="E75" s="176">
        <f>SUM(E77:E79)</f>
        <v>586169.13899999997</v>
      </c>
      <c r="F75" s="85">
        <f>SUM(F76:F79)</f>
        <v>1541060.4939999999</v>
      </c>
      <c r="G75" s="177">
        <f>SUM(G76:G79)</f>
        <v>1441128.4639999999</v>
      </c>
      <c r="H75" s="375">
        <f t="shared" ref="H75:K75" si="19">SUM(H76:H79)</f>
        <v>99932.03</v>
      </c>
      <c r="I75" s="177">
        <f t="shared" si="19"/>
        <v>0</v>
      </c>
      <c r="J75" s="177">
        <f t="shared" si="19"/>
        <v>0</v>
      </c>
      <c r="K75" s="177">
        <f t="shared" si="19"/>
        <v>0</v>
      </c>
      <c r="L75" s="583"/>
      <c r="M75" s="668"/>
    </row>
    <row r="76" spans="1:14" ht="37.5" x14ac:dyDescent="0.25">
      <c r="A76" s="590"/>
      <c r="B76" s="584"/>
      <c r="C76" s="505"/>
      <c r="D76" s="175" t="s">
        <v>5</v>
      </c>
      <c r="E76" s="176">
        <f>E97</f>
        <v>0</v>
      </c>
      <c r="F76" s="85">
        <f>SUM(G76:K76)</f>
        <v>61808.92</v>
      </c>
      <c r="G76" s="178">
        <f>G97+G88</f>
        <v>0</v>
      </c>
      <c r="H76" s="360">
        <f>H97+H88</f>
        <v>61808.92</v>
      </c>
      <c r="I76" s="177" t="str">
        <f t="shared" ref="I76:K76" si="20">I97</f>
        <v xml:space="preserve"> -</v>
      </c>
      <c r="J76" s="177" t="str">
        <f t="shared" si="20"/>
        <v xml:space="preserve"> -</v>
      </c>
      <c r="K76" s="177" t="str">
        <f t="shared" si="20"/>
        <v xml:space="preserve"> -</v>
      </c>
      <c r="L76" s="584"/>
      <c r="M76" s="669"/>
    </row>
    <row r="77" spans="1:14" ht="58.5" customHeight="1" x14ac:dyDescent="0.25">
      <c r="A77" s="591"/>
      <c r="B77" s="584"/>
      <c r="C77" s="505"/>
      <c r="D77" s="175" t="s">
        <v>12</v>
      </c>
      <c r="E77" s="179">
        <f>E80+E82+E84+E86+E89</f>
        <v>234260.20600000001</v>
      </c>
      <c r="F77" s="85">
        <f>SUM(G77:K77)</f>
        <v>1451161.361</v>
      </c>
      <c r="G77" s="179">
        <f>G80+G82+G84+G86+G89+G98</f>
        <v>1422940.2509999999</v>
      </c>
      <c r="H77" s="360">
        <f>H80+H89+H98</f>
        <v>28221.11</v>
      </c>
      <c r="I77" s="179">
        <f>I80+I89</f>
        <v>0</v>
      </c>
      <c r="J77" s="179">
        <f>J80+J89</f>
        <v>0</v>
      </c>
      <c r="K77" s="179">
        <f>K80</f>
        <v>0</v>
      </c>
      <c r="L77" s="584"/>
      <c r="M77" s="669"/>
    </row>
    <row r="78" spans="1:14" ht="117" customHeight="1" x14ac:dyDescent="0.25">
      <c r="A78" s="591"/>
      <c r="B78" s="584"/>
      <c r="C78" s="505"/>
      <c r="D78" s="175" t="s">
        <v>91</v>
      </c>
      <c r="E78" s="179">
        <f>E81+E83+E85+E87+E91</f>
        <v>351908.93300000002</v>
      </c>
      <c r="F78" s="85">
        <f>SUM(G78:K78)</f>
        <v>28090.213</v>
      </c>
      <c r="G78" s="179">
        <f>G81+G83+G85+G87+G91</f>
        <v>18188.213</v>
      </c>
      <c r="H78" s="360">
        <f>H81+H85+H91</f>
        <v>9902</v>
      </c>
      <c r="I78" s="179">
        <f>I81+I85</f>
        <v>0</v>
      </c>
      <c r="J78" s="179">
        <f t="shared" ref="J78:K78" si="21">J81</f>
        <v>0</v>
      </c>
      <c r="K78" s="179">
        <f t="shared" si="21"/>
        <v>0</v>
      </c>
      <c r="L78" s="584"/>
      <c r="M78" s="669"/>
    </row>
    <row r="79" spans="1:14" ht="18.75" x14ac:dyDescent="0.25">
      <c r="A79" s="592"/>
      <c r="B79" s="585"/>
      <c r="C79" s="506"/>
      <c r="D79" s="175" t="s">
        <v>4</v>
      </c>
      <c r="E79" s="179">
        <f>E93+E94+E95+E96</f>
        <v>0</v>
      </c>
      <c r="F79" s="85">
        <f t="shared" ref="F79" si="22">SUM(G79:K79)</f>
        <v>0</v>
      </c>
      <c r="G79" s="179">
        <f>G92+G93+G94</f>
        <v>0</v>
      </c>
      <c r="H79" s="360">
        <v>0</v>
      </c>
      <c r="I79" s="179">
        <v>0</v>
      </c>
      <c r="J79" s="179">
        <v>0</v>
      </c>
      <c r="K79" s="179">
        <v>0</v>
      </c>
      <c r="L79" s="585"/>
      <c r="M79" s="670"/>
    </row>
    <row r="80" spans="1:14" ht="123" customHeight="1" x14ac:dyDescent="0.25">
      <c r="A80" s="596" t="s">
        <v>126</v>
      </c>
      <c r="B80" s="567" t="s">
        <v>246</v>
      </c>
      <c r="C80" s="647" t="s">
        <v>149</v>
      </c>
      <c r="D80" s="180" t="s">
        <v>9</v>
      </c>
      <c r="E80" s="84">
        <v>0</v>
      </c>
      <c r="F80" s="91">
        <f>SUM(G80:H80)</f>
        <v>0</v>
      </c>
      <c r="G80" s="84">
        <v>0</v>
      </c>
      <c r="H80" s="360">
        <v>0</v>
      </c>
      <c r="I80" s="84">
        <v>0</v>
      </c>
      <c r="J80" s="84">
        <v>0</v>
      </c>
      <c r="K80" s="84">
        <v>0</v>
      </c>
      <c r="L80" s="580" t="s">
        <v>230</v>
      </c>
      <c r="M80" s="581" t="s">
        <v>268</v>
      </c>
    </row>
    <row r="81" spans="1:14" ht="148.5" customHeight="1" x14ac:dyDescent="0.25">
      <c r="A81" s="597"/>
      <c r="B81" s="568"/>
      <c r="C81" s="648"/>
      <c r="D81" s="83" t="s">
        <v>91</v>
      </c>
      <c r="E81" s="92">
        <v>51753.025000000001</v>
      </c>
      <c r="F81" s="85">
        <f t="shared" ref="F81:F85" si="23">SUM(G81:K81)</f>
        <v>18090.213</v>
      </c>
      <c r="G81" s="437">
        <v>18090.213</v>
      </c>
      <c r="H81" s="360">
        <v>0</v>
      </c>
      <c r="I81" s="84">
        <v>0</v>
      </c>
      <c r="J81" s="84">
        <v>0</v>
      </c>
      <c r="K81" s="84">
        <v>0</v>
      </c>
      <c r="L81" s="580"/>
      <c r="M81" s="582"/>
    </row>
    <row r="82" spans="1:14" ht="69" customHeight="1" x14ac:dyDescent="0.3">
      <c r="A82" s="596" t="s">
        <v>127</v>
      </c>
      <c r="B82" s="561" t="s">
        <v>259</v>
      </c>
      <c r="C82" s="565" t="s">
        <v>46</v>
      </c>
      <c r="D82" s="181" t="s">
        <v>9</v>
      </c>
      <c r="E82" s="182">
        <f>219337.206+14923</f>
        <v>234260.20600000001</v>
      </c>
      <c r="F82" s="183">
        <f t="shared" si="23"/>
        <v>1422940.2509999999</v>
      </c>
      <c r="G82" s="438">
        <v>1422940.2509999999</v>
      </c>
      <c r="H82" s="376" t="s">
        <v>42</v>
      </c>
      <c r="I82" s="182" t="s">
        <v>42</v>
      </c>
      <c r="J82" s="182" t="s">
        <v>42</v>
      </c>
      <c r="K82" s="182" t="s">
        <v>42</v>
      </c>
      <c r="L82" s="560" t="s">
        <v>230</v>
      </c>
      <c r="M82" s="560" t="s">
        <v>313</v>
      </c>
      <c r="N82" s="184"/>
    </row>
    <row r="83" spans="1:14" ht="124.5" customHeight="1" x14ac:dyDescent="0.25">
      <c r="A83" s="597"/>
      <c r="B83" s="563"/>
      <c r="C83" s="566"/>
      <c r="D83" s="181" t="s">
        <v>91</v>
      </c>
      <c r="E83" s="182">
        <v>300155.908</v>
      </c>
      <c r="F83" s="183">
        <f t="shared" si="23"/>
        <v>0</v>
      </c>
      <c r="G83" s="182">
        <v>0</v>
      </c>
      <c r="H83" s="376" t="s">
        <v>42</v>
      </c>
      <c r="I83" s="182" t="s">
        <v>42</v>
      </c>
      <c r="J83" s="182" t="s">
        <v>42</v>
      </c>
      <c r="K83" s="182" t="s">
        <v>42</v>
      </c>
      <c r="L83" s="560"/>
      <c r="M83" s="560"/>
    </row>
    <row r="84" spans="1:14" ht="65.25" customHeight="1" x14ac:dyDescent="0.25">
      <c r="A84" s="596" t="s">
        <v>203</v>
      </c>
      <c r="B84" s="561" t="s">
        <v>265</v>
      </c>
      <c r="C84" s="564" t="s">
        <v>166</v>
      </c>
      <c r="D84" s="181" t="s">
        <v>9</v>
      </c>
      <c r="E84" s="182">
        <v>0</v>
      </c>
      <c r="F84" s="183">
        <f t="shared" si="23"/>
        <v>0</v>
      </c>
      <c r="G84" s="182">
        <f>689300-689300</f>
        <v>0</v>
      </c>
      <c r="H84" s="377" t="s">
        <v>42</v>
      </c>
      <c r="I84" s="182" t="s">
        <v>42</v>
      </c>
      <c r="J84" s="182" t="s">
        <v>42</v>
      </c>
      <c r="K84" s="185" t="s">
        <v>42</v>
      </c>
      <c r="L84" s="560"/>
      <c r="M84" s="560"/>
    </row>
    <row r="85" spans="1:14" ht="123.75" customHeight="1" x14ac:dyDescent="0.25">
      <c r="A85" s="597"/>
      <c r="B85" s="563"/>
      <c r="C85" s="566"/>
      <c r="D85" s="181" t="s">
        <v>91</v>
      </c>
      <c r="E85" s="182">
        <f>100000-17000+2000-45000-40000</f>
        <v>0</v>
      </c>
      <c r="F85" s="183">
        <f t="shared" si="23"/>
        <v>0</v>
      </c>
      <c r="G85" s="182">
        <f>100000+3000-3000+45000-145000</f>
        <v>0</v>
      </c>
      <c r="H85" s="377">
        <f>120000-120000</f>
        <v>0</v>
      </c>
      <c r="I85" s="182">
        <f>40000-40000</f>
        <v>0</v>
      </c>
      <c r="J85" s="182" t="s">
        <v>42</v>
      </c>
      <c r="K85" s="185" t="s">
        <v>42</v>
      </c>
      <c r="L85" s="560"/>
      <c r="M85" s="560"/>
    </row>
    <row r="86" spans="1:14" ht="60" customHeight="1" x14ac:dyDescent="0.25">
      <c r="A86" s="596" t="s">
        <v>204</v>
      </c>
      <c r="B86" s="561" t="s">
        <v>278</v>
      </c>
      <c r="C86" s="564" t="s">
        <v>279</v>
      </c>
      <c r="D86" s="181" t="s">
        <v>9</v>
      </c>
      <c r="E86" s="186">
        <v>0</v>
      </c>
      <c r="F86" s="183">
        <f>SUM(G86:J86)</f>
        <v>0</v>
      </c>
      <c r="G86" s="186">
        <v>0</v>
      </c>
      <c r="H86" s="378" t="s">
        <v>42</v>
      </c>
      <c r="I86" s="186" t="s">
        <v>42</v>
      </c>
      <c r="J86" s="186" t="s">
        <v>42</v>
      </c>
      <c r="K86" s="186" t="s">
        <v>42</v>
      </c>
      <c r="L86" s="560"/>
      <c r="M86" s="560"/>
    </row>
    <row r="87" spans="1:14" ht="124.5" customHeight="1" x14ac:dyDescent="0.25">
      <c r="A87" s="597"/>
      <c r="B87" s="563"/>
      <c r="C87" s="566"/>
      <c r="D87" s="181" t="s">
        <v>91</v>
      </c>
      <c r="E87" s="186">
        <v>0</v>
      </c>
      <c r="F87" s="183">
        <f>SUM(G87:J87)</f>
        <v>0</v>
      </c>
      <c r="G87" s="186">
        <f>10000-10000</f>
        <v>0</v>
      </c>
      <c r="H87" s="378">
        <v>0</v>
      </c>
      <c r="I87" s="186">
        <v>0</v>
      </c>
      <c r="J87" s="186">
        <v>0</v>
      </c>
      <c r="K87" s="186" t="s">
        <v>42</v>
      </c>
      <c r="L87" s="560"/>
      <c r="M87" s="560"/>
    </row>
    <row r="88" spans="1:14" ht="37.5" x14ac:dyDescent="0.25">
      <c r="A88" s="596" t="s">
        <v>205</v>
      </c>
      <c r="B88" s="561" t="s">
        <v>295</v>
      </c>
      <c r="C88" s="564" t="s">
        <v>279</v>
      </c>
      <c r="D88" s="181" t="s">
        <v>5</v>
      </c>
      <c r="E88" s="187">
        <v>0</v>
      </c>
      <c r="F88" s="188">
        <f t="shared" ref="F88:F90" si="24">SUM(G88:K88)</f>
        <v>27122.42</v>
      </c>
      <c r="G88" s="439">
        <v>0</v>
      </c>
      <c r="H88" s="379">
        <v>27122.42</v>
      </c>
      <c r="I88" s="189">
        <v>0</v>
      </c>
      <c r="J88" s="189">
        <v>0</v>
      </c>
      <c r="K88" s="190" t="s">
        <v>249</v>
      </c>
      <c r="L88" s="560"/>
      <c r="M88" s="560"/>
    </row>
    <row r="89" spans="1:14" ht="56.25" customHeight="1" x14ac:dyDescent="0.25">
      <c r="A89" s="658"/>
      <c r="B89" s="562"/>
      <c r="C89" s="565"/>
      <c r="D89" s="181" t="s">
        <v>9</v>
      </c>
      <c r="E89" s="187">
        <v>0</v>
      </c>
      <c r="F89" s="188">
        <f t="shared" si="24"/>
        <v>6780.61</v>
      </c>
      <c r="G89" s="187">
        <v>0</v>
      </c>
      <c r="H89" s="380">
        <v>6780.61</v>
      </c>
      <c r="I89" s="187">
        <v>0</v>
      </c>
      <c r="J89" s="187">
        <v>0</v>
      </c>
      <c r="K89" s="191" t="s">
        <v>42</v>
      </c>
      <c r="L89" s="560"/>
      <c r="M89" s="560"/>
    </row>
    <row r="90" spans="1:14" ht="95.25" customHeight="1" x14ac:dyDescent="0.25">
      <c r="A90" s="658"/>
      <c r="B90" s="562"/>
      <c r="C90" s="565"/>
      <c r="D90" s="181" t="s">
        <v>317</v>
      </c>
      <c r="E90" s="187">
        <v>0</v>
      </c>
      <c r="F90" s="188">
        <f t="shared" si="24"/>
        <v>6780.61</v>
      </c>
      <c r="G90" s="187">
        <v>0</v>
      </c>
      <c r="H90" s="380">
        <v>6780.61</v>
      </c>
      <c r="I90" s="187">
        <v>0</v>
      </c>
      <c r="J90" s="187">
        <v>0</v>
      </c>
      <c r="K90" s="191"/>
      <c r="L90" s="560"/>
      <c r="M90" s="560"/>
    </row>
    <row r="91" spans="1:14" ht="115.5" customHeight="1" x14ac:dyDescent="0.25">
      <c r="A91" s="597"/>
      <c r="B91" s="563"/>
      <c r="C91" s="566"/>
      <c r="D91" s="181" t="s">
        <v>91</v>
      </c>
      <c r="E91" s="186">
        <v>0</v>
      </c>
      <c r="F91" s="183">
        <f>SUM(G91:J91)</f>
        <v>10000</v>
      </c>
      <c r="G91" s="440">
        <v>98</v>
      </c>
      <c r="H91" s="441">
        <v>9902</v>
      </c>
      <c r="I91" s="186">
        <v>0</v>
      </c>
      <c r="J91" s="186">
        <v>0</v>
      </c>
      <c r="K91" s="186" t="s">
        <v>42</v>
      </c>
      <c r="L91" s="560"/>
      <c r="M91" s="560"/>
      <c r="N91" s="1"/>
    </row>
    <row r="92" spans="1:14" ht="37.5" x14ac:dyDescent="0.25">
      <c r="A92" s="192" t="s">
        <v>206</v>
      </c>
      <c r="B92" s="193" t="s">
        <v>247</v>
      </c>
      <c r="C92" s="180" t="s">
        <v>46</v>
      </c>
      <c r="D92" s="194" t="s">
        <v>4</v>
      </c>
      <c r="E92" s="195" t="s">
        <v>42</v>
      </c>
      <c r="F92" s="196">
        <f>SUM(G92:K92)</f>
        <v>0</v>
      </c>
      <c r="G92" s="195">
        <v>0</v>
      </c>
      <c r="H92" s="381" t="s">
        <v>42</v>
      </c>
      <c r="I92" s="195" t="s">
        <v>42</v>
      </c>
      <c r="J92" s="195" t="s">
        <v>42</v>
      </c>
      <c r="K92" s="197" t="s">
        <v>42</v>
      </c>
      <c r="L92" s="560"/>
      <c r="M92" s="560"/>
    </row>
    <row r="93" spans="1:14" ht="100.5" customHeight="1" x14ac:dyDescent="0.25">
      <c r="A93" s="192" t="s">
        <v>207</v>
      </c>
      <c r="B93" s="198" t="s">
        <v>296</v>
      </c>
      <c r="C93" s="199" t="s">
        <v>258</v>
      </c>
      <c r="D93" s="181" t="s">
        <v>4</v>
      </c>
      <c r="E93" s="195">
        <v>0</v>
      </c>
      <c r="F93" s="196">
        <f t="shared" ref="F93:F96" si="25">SUM(G93:K93)</f>
        <v>0</v>
      </c>
      <c r="G93" s="186">
        <v>0</v>
      </c>
      <c r="H93" s="415" t="s">
        <v>321</v>
      </c>
      <c r="I93" s="200" t="s">
        <v>42</v>
      </c>
      <c r="J93" s="200" t="s">
        <v>42</v>
      </c>
      <c r="K93" s="201" t="s">
        <v>42</v>
      </c>
      <c r="L93" s="560"/>
      <c r="M93" s="560"/>
    </row>
    <row r="94" spans="1:14" s="119" customFormat="1" ht="47.25" x14ac:dyDescent="0.25">
      <c r="A94" s="192" t="s">
        <v>250</v>
      </c>
      <c r="B94" s="198" t="s">
        <v>253</v>
      </c>
      <c r="C94" s="199" t="s">
        <v>258</v>
      </c>
      <c r="D94" s="181" t="s">
        <v>4</v>
      </c>
      <c r="E94" s="195">
        <v>0</v>
      </c>
      <c r="F94" s="196">
        <f t="shared" si="25"/>
        <v>0</v>
      </c>
      <c r="G94" s="186">
        <v>0</v>
      </c>
      <c r="H94" s="416" t="s">
        <v>321</v>
      </c>
      <c r="I94" s="195" t="s">
        <v>42</v>
      </c>
      <c r="J94" s="195" t="s">
        <v>42</v>
      </c>
      <c r="K94" s="197" t="s">
        <v>42</v>
      </c>
      <c r="L94" s="560"/>
      <c r="M94" s="560"/>
    </row>
    <row r="95" spans="1:14" s="119" customFormat="1" ht="47.25" x14ac:dyDescent="0.25">
      <c r="A95" s="192" t="s">
        <v>297</v>
      </c>
      <c r="B95" s="198" t="s">
        <v>252</v>
      </c>
      <c r="C95" s="199" t="s">
        <v>257</v>
      </c>
      <c r="D95" s="181" t="s">
        <v>4</v>
      </c>
      <c r="E95" s="195">
        <v>0</v>
      </c>
      <c r="F95" s="196">
        <f t="shared" si="25"/>
        <v>0</v>
      </c>
      <c r="G95" s="195" t="s">
        <v>249</v>
      </c>
      <c r="H95" s="416" t="s">
        <v>321</v>
      </c>
      <c r="I95" s="417" t="s">
        <v>321</v>
      </c>
      <c r="J95" s="195" t="s">
        <v>249</v>
      </c>
      <c r="K95" s="197" t="s">
        <v>249</v>
      </c>
      <c r="L95" s="560"/>
      <c r="M95" s="560"/>
    </row>
    <row r="96" spans="1:14" ht="56.25" x14ac:dyDescent="0.25">
      <c r="A96" s="192" t="s">
        <v>254</v>
      </c>
      <c r="B96" s="198" t="s">
        <v>251</v>
      </c>
      <c r="C96" s="199" t="s">
        <v>256</v>
      </c>
      <c r="D96" s="181" t="s">
        <v>4</v>
      </c>
      <c r="E96" s="195">
        <v>0</v>
      </c>
      <c r="F96" s="196">
        <f t="shared" si="25"/>
        <v>0</v>
      </c>
      <c r="G96" s="195" t="s">
        <v>249</v>
      </c>
      <c r="H96" s="381" t="s">
        <v>249</v>
      </c>
      <c r="I96" s="417" t="s">
        <v>321</v>
      </c>
      <c r="J96" s="417" t="s">
        <v>321</v>
      </c>
      <c r="K96" s="197" t="s">
        <v>249</v>
      </c>
      <c r="L96" s="560"/>
      <c r="M96" s="560"/>
    </row>
    <row r="97" spans="1:13" ht="37.5" customHeight="1" x14ac:dyDescent="0.25">
      <c r="A97" s="596" t="s">
        <v>255</v>
      </c>
      <c r="B97" s="561" t="s">
        <v>285</v>
      </c>
      <c r="C97" s="564" t="s">
        <v>258</v>
      </c>
      <c r="D97" s="150" t="s">
        <v>5</v>
      </c>
      <c r="E97" s="195">
        <v>0</v>
      </c>
      <c r="F97" s="196">
        <f>SUM(G97:K97)</f>
        <v>34686.5</v>
      </c>
      <c r="G97" s="442">
        <v>0</v>
      </c>
      <c r="H97" s="381">
        <v>34686.5</v>
      </c>
      <c r="I97" s="195" t="s">
        <v>249</v>
      </c>
      <c r="J97" s="195" t="s">
        <v>249</v>
      </c>
      <c r="K97" s="197" t="s">
        <v>249</v>
      </c>
      <c r="L97" s="560"/>
      <c r="M97" s="560" t="s">
        <v>286</v>
      </c>
    </row>
    <row r="98" spans="1:13" ht="65.25" customHeight="1" x14ac:dyDescent="0.25">
      <c r="A98" s="658"/>
      <c r="B98" s="562"/>
      <c r="C98" s="565"/>
      <c r="D98" s="150" t="s">
        <v>12</v>
      </c>
      <c r="E98" s="195">
        <v>0</v>
      </c>
      <c r="F98" s="196">
        <f>SUM(G98:K98)</f>
        <v>21440.5</v>
      </c>
      <c r="G98" s="442">
        <v>0</v>
      </c>
      <c r="H98" s="381">
        <v>21440.5</v>
      </c>
      <c r="I98" s="195" t="s">
        <v>249</v>
      </c>
      <c r="J98" s="195" t="s">
        <v>249</v>
      </c>
      <c r="K98" s="197" t="s">
        <v>249</v>
      </c>
      <c r="L98" s="560"/>
      <c r="M98" s="560"/>
    </row>
    <row r="99" spans="1:13" ht="98.25" customHeight="1" x14ac:dyDescent="0.25">
      <c r="A99" s="597"/>
      <c r="B99" s="563"/>
      <c r="C99" s="566"/>
      <c r="D99" s="181" t="s">
        <v>317</v>
      </c>
      <c r="E99" s="195">
        <v>0</v>
      </c>
      <c r="F99" s="196">
        <f>SUM(G99:K99)</f>
        <v>21440.5</v>
      </c>
      <c r="G99" s="195">
        <v>0</v>
      </c>
      <c r="H99" s="381">
        <v>21440.5</v>
      </c>
      <c r="I99" s="195" t="s">
        <v>249</v>
      </c>
      <c r="J99" s="195" t="s">
        <v>249</v>
      </c>
      <c r="K99" s="197" t="s">
        <v>249</v>
      </c>
      <c r="L99" s="560"/>
      <c r="M99" s="560"/>
    </row>
    <row r="100" spans="1:13" ht="18.75" x14ac:dyDescent="0.25">
      <c r="A100" s="594" t="s">
        <v>57</v>
      </c>
      <c r="B100" s="595"/>
      <c r="C100" s="595"/>
      <c r="D100" s="595"/>
      <c r="E100" s="202">
        <f>SUM(E101:E107)-E103</f>
        <v>4233004.8689999999</v>
      </c>
      <c r="F100" s="202">
        <f t="shared" ref="F100:K100" si="26">SUM(F101:F107)-F103</f>
        <v>19364322.720000003</v>
      </c>
      <c r="G100" s="202">
        <f t="shared" si="26"/>
        <v>5618253.5105099995</v>
      </c>
      <c r="H100" s="382">
        <f t="shared" si="26"/>
        <v>4526186.525489999</v>
      </c>
      <c r="I100" s="202">
        <f t="shared" si="26"/>
        <v>4098577.4079999998</v>
      </c>
      <c r="J100" s="202">
        <f t="shared" si="26"/>
        <v>4098577.4079999998</v>
      </c>
      <c r="K100" s="202">
        <f t="shared" si="26"/>
        <v>1022727.868</v>
      </c>
      <c r="L100" s="203"/>
      <c r="M100" s="204"/>
    </row>
    <row r="101" spans="1:13" ht="18.75" x14ac:dyDescent="0.25">
      <c r="A101" s="593" t="s">
        <v>5</v>
      </c>
      <c r="B101" s="593"/>
      <c r="C101" s="593"/>
      <c r="D101" s="593"/>
      <c r="E101" s="205">
        <f>E11</f>
        <v>2579269.7999999998</v>
      </c>
      <c r="F101" s="202">
        <f t="shared" ref="F101:F107" si="27">SUM(G101:K101)</f>
        <v>12517707.32</v>
      </c>
      <c r="G101" s="205">
        <f>G11+G76</f>
        <v>3098243.11051</v>
      </c>
      <c r="H101" s="383">
        <f>H11+H76</f>
        <v>3284566.2094899998</v>
      </c>
      <c r="I101" s="205">
        <f>I11</f>
        <v>3067449</v>
      </c>
      <c r="J101" s="205">
        <f>J11</f>
        <v>3067449</v>
      </c>
      <c r="K101" s="205">
        <f>K11</f>
        <v>0</v>
      </c>
      <c r="L101" s="206"/>
      <c r="M101" s="207"/>
    </row>
    <row r="102" spans="1:13" ht="18.75" x14ac:dyDescent="0.25">
      <c r="A102" s="593" t="s">
        <v>9</v>
      </c>
      <c r="B102" s="593"/>
      <c r="C102" s="593"/>
      <c r="D102" s="593"/>
      <c r="E102" s="205">
        <f>E12+E72+E77</f>
        <v>1116847.523</v>
      </c>
      <c r="F102" s="202">
        <f t="shared" si="27"/>
        <v>5653839.1699999999</v>
      </c>
      <c r="G102" s="205">
        <f>G12+G72+G77</f>
        <v>2278128.4</v>
      </c>
      <c r="H102" s="383">
        <f>H12+H72+H77</f>
        <v>948363.37</v>
      </c>
      <c r="I102" s="205">
        <f>I12+I72+I77</f>
        <v>811915.98</v>
      </c>
      <c r="J102" s="205">
        <f>J12+J72+J77</f>
        <v>811915.98</v>
      </c>
      <c r="K102" s="205">
        <f>K12+K72+K77</f>
        <v>803515.44</v>
      </c>
      <c r="L102" s="208"/>
      <c r="M102" s="207"/>
    </row>
    <row r="103" spans="1:13" ht="18.75" x14ac:dyDescent="0.25">
      <c r="A103" s="593" t="s">
        <v>317</v>
      </c>
      <c r="B103" s="593"/>
      <c r="C103" s="593"/>
      <c r="D103" s="593"/>
      <c r="E103" s="205">
        <v>0</v>
      </c>
      <c r="F103" s="202">
        <f t="shared" si="27"/>
        <v>120468.23</v>
      </c>
      <c r="G103" s="205">
        <v>0</v>
      </c>
      <c r="H103" s="383">
        <f>H46+H52+H68+H90+H99</f>
        <v>120468.23</v>
      </c>
      <c r="I103" s="205">
        <v>0</v>
      </c>
      <c r="J103" s="205">
        <v>0</v>
      </c>
      <c r="K103" s="205">
        <v>0</v>
      </c>
      <c r="L103" s="208"/>
      <c r="M103" s="207"/>
    </row>
    <row r="104" spans="1:13" ht="38.25" customHeight="1" x14ac:dyDescent="0.3">
      <c r="A104" s="513" t="s">
        <v>91</v>
      </c>
      <c r="B104" s="513"/>
      <c r="C104" s="513"/>
      <c r="D104" s="513"/>
      <c r="E104" s="99">
        <f>E13+E78</f>
        <v>363743.42600000004</v>
      </c>
      <c r="F104" s="202">
        <f t="shared" si="27"/>
        <v>54585.816999999995</v>
      </c>
      <c r="G104" s="99">
        <f>G13+G78</f>
        <v>38194.165000000001</v>
      </c>
      <c r="H104" s="363">
        <f>H13+H78</f>
        <v>16391.651999999998</v>
      </c>
      <c r="I104" s="99">
        <f>I13+I78</f>
        <v>0</v>
      </c>
      <c r="J104" s="99">
        <f>J13+J78</f>
        <v>0</v>
      </c>
      <c r="K104" s="99">
        <f>K13+K78</f>
        <v>0</v>
      </c>
      <c r="L104" s="97"/>
      <c r="M104" s="98"/>
    </row>
    <row r="105" spans="1:13" ht="18.75" x14ac:dyDescent="0.3">
      <c r="A105" s="511" t="s">
        <v>51</v>
      </c>
      <c r="B105" s="511"/>
      <c r="C105" s="511"/>
      <c r="D105" s="511"/>
      <c r="E105" s="99">
        <f>E14</f>
        <v>168767.12400000001</v>
      </c>
      <c r="F105" s="202">
        <f t="shared" si="27"/>
        <v>1110707.7880000002</v>
      </c>
      <c r="G105" s="99">
        <f t="shared" ref="G105:K106" si="28">G14</f>
        <v>198466.71000000002</v>
      </c>
      <c r="H105" s="363">
        <f t="shared" si="28"/>
        <v>271299.91899999999</v>
      </c>
      <c r="I105" s="99">
        <f t="shared" si="28"/>
        <v>213647.05300000001</v>
      </c>
      <c r="J105" s="99">
        <f t="shared" si="28"/>
        <v>213647.05300000001</v>
      </c>
      <c r="K105" s="99">
        <f t="shared" si="28"/>
        <v>213647.05300000001</v>
      </c>
      <c r="L105" s="97"/>
      <c r="M105" s="98"/>
    </row>
    <row r="106" spans="1:13" ht="18.75" x14ac:dyDescent="0.3">
      <c r="A106" s="511" t="s">
        <v>64</v>
      </c>
      <c r="B106" s="511"/>
      <c r="C106" s="511"/>
      <c r="D106" s="511"/>
      <c r="E106" s="99">
        <f>E15</f>
        <v>4376.9960000000001</v>
      </c>
      <c r="F106" s="202">
        <f t="shared" si="27"/>
        <v>27482.625</v>
      </c>
      <c r="G106" s="99">
        <f t="shared" si="28"/>
        <v>5221.125</v>
      </c>
      <c r="H106" s="363">
        <f t="shared" si="28"/>
        <v>5565.375</v>
      </c>
      <c r="I106" s="99">
        <f t="shared" si="28"/>
        <v>5565.375</v>
      </c>
      <c r="J106" s="99">
        <f t="shared" si="28"/>
        <v>5565.375</v>
      </c>
      <c r="K106" s="99">
        <f t="shared" si="28"/>
        <v>5565.375</v>
      </c>
      <c r="L106" s="97"/>
      <c r="M106" s="98"/>
    </row>
    <row r="107" spans="1:13" ht="18.75" x14ac:dyDescent="0.3">
      <c r="A107" s="511" t="s">
        <v>4</v>
      </c>
      <c r="B107" s="511"/>
      <c r="C107" s="511"/>
      <c r="D107" s="511"/>
      <c r="E107" s="96">
        <f>E79</f>
        <v>0</v>
      </c>
      <c r="F107" s="202">
        <f t="shared" si="27"/>
        <v>0</v>
      </c>
      <c r="G107" s="99">
        <f>G79</f>
        <v>0</v>
      </c>
      <c r="H107" s="363">
        <f>H79</f>
        <v>0</v>
      </c>
      <c r="I107" s="99">
        <f>I79</f>
        <v>0</v>
      </c>
      <c r="J107" s="99">
        <f>J79</f>
        <v>0</v>
      </c>
      <c r="K107" s="96">
        <f>K79</f>
        <v>0</v>
      </c>
      <c r="L107" s="97"/>
      <c r="M107" s="98"/>
    </row>
    <row r="108" spans="1:13" ht="15.75" x14ac:dyDescent="0.25">
      <c r="A108" s="209"/>
      <c r="B108" s="209"/>
      <c r="C108" s="209"/>
      <c r="D108" s="209"/>
      <c r="E108" s="210"/>
      <c r="F108" s="211"/>
      <c r="G108" s="210"/>
      <c r="H108" s="210"/>
      <c r="I108" s="210"/>
      <c r="J108" s="210"/>
      <c r="K108" s="210"/>
      <c r="L108" s="212"/>
      <c r="M108" s="213"/>
    </row>
    <row r="109" spans="1:13" x14ac:dyDescent="0.25">
      <c r="F109" s="214"/>
    </row>
    <row r="110" spans="1:13" ht="15.75" x14ac:dyDescent="0.25">
      <c r="F110" s="214"/>
      <c r="G110" s="118"/>
      <c r="H110" s="103"/>
    </row>
    <row r="111" spans="1:13" ht="15.75" x14ac:dyDescent="0.25">
      <c r="F111" s="214"/>
      <c r="G111" s="118"/>
      <c r="H111" s="103"/>
      <c r="I111" s="216"/>
      <c r="J111" s="118"/>
      <c r="K111" s="118"/>
    </row>
    <row r="112" spans="1:13" ht="15.75" x14ac:dyDescent="0.25">
      <c r="H112" s="103"/>
      <c r="I112" s="216"/>
      <c r="J112" s="118"/>
      <c r="K112" s="118"/>
    </row>
    <row r="113" spans="8:11" ht="15.75" x14ac:dyDescent="0.25">
      <c r="H113" s="103"/>
      <c r="I113" s="216"/>
      <c r="J113" s="118"/>
      <c r="K113" s="118"/>
    </row>
    <row r="114" spans="8:11" ht="15.75" x14ac:dyDescent="0.25">
      <c r="H114" s="103"/>
    </row>
    <row r="115" spans="8:11" ht="15.75" x14ac:dyDescent="0.25">
      <c r="H115" s="103"/>
    </row>
    <row r="116" spans="8:11" x14ac:dyDescent="0.25">
      <c r="H116" s="216"/>
    </row>
    <row r="117" spans="8:11" x14ac:dyDescent="0.25">
      <c r="H117" s="216"/>
    </row>
    <row r="119" spans="8:11" x14ac:dyDescent="0.25">
      <c r="H119" s="218"/>
    </row>
    <row r="120" spans="8:11" x14ac:dyDescent="0.25">
      <c r="H120" s="218"/>
    </row>
    <row r="121" spans="8:11" x14ac:dyDescent="0.25">
      <c r="H121" s="218"/>
    </row>
  </sheetData>
  <mergeCells count="135">
    <mergeCell ref="L82:L99"/>
    <mergeCell ref="M97:M99"/>
    <mergeCell ref="A66:A68"/>
    <mergeCell ref="B66:B68"/>
    <mergeCell ref="C66:C68"/>
    <mergeCell ref="L66:L68"/>
    <mergeCell ref="M66:M68"/>
    <mergeCell ref="A88:A91"/>
    <mergeCell ref="L73:L74"/>
    <mergeCell ref="B86:B87"/>
    <mergeCell ref="C84:C85"/>
    <mergeCell ref="C80:C81"/>
    <mergeCell ref="A80:A81"/>
    <mergeCell ref="A82:A83"/>
    <mergeCell ref="M75:M79"/>
    <mergeCell ref="C82:C83"/>
    <mergeCell ref="C73:C74"/>
    <mergeCell ref="C86:C87"/>
    <mergeCell ref="C62:C63"/>
    <mergeCell ref="C75:C79"/>
    <mergeCell ref="B80:B81"/>
    <mergeCell ref="B82:B83"/>
    <mergeCell ref="M73:M74"/>
    <mergeCell ref="A62:A63"/>
    <mergeCell ref="A40:A41"/>
    <mergeCell ref="M36:M37"/>
    <mergeCell ref="A30:A33"/>
    <mergeCell ref="C54:C56"/>
    <mergeCell ref="B54:B56"/>
    <mergeCell ref="A50:A59"/>
    <mergeCell ref="B57:B59"/>
    <mergeCell ref="C57:C59"/>
    <mergeCell ref="L50:L59"/>
    <mergeCell ref="M50:M59"/>
    <mergeCell ref="M48:M49"/>
    <mergeCell ref="B50:B53"/>
    <mergeCell ref="C50:C53"/>
    <mergeCell ref="B62:B63"/>
    <mergeCell ref="B42:B43"/>
    <mergeCell ref="L38:L39"/>
    <mergeCell ref="C38:C39"/>
    <mergeCell ref="M40:M41"/>
    <mergeCell ref="M38:M39"/>
    <mergeCell ref="L40:L41"/>
    <mergeCell ref="B48:B49"/>
    <mergeCell ref="C48:C49"/>
    <mergeCell ref="L48:L49"/>
    <mergeCell ref="M16:M18"/>
    <mergeCell ref="B28:B29"/>
    <mergeCell ref="M30:M33"/>
    <mergeCell ref="M34:M35"/>
    <mergeCell ref="B40:B41"/>
    <mergeCell ref="C40:C41"/>
    <mergeCell ref="C19:C20"/>
    <mergeCell ref="M19:M20"/>
    <mergeCell ref="A16:A18"/>
    <mergeCell ref="B16:B18"/>
    <mergeCell ref="L34:L35"/>
    <mergeCell ref="B36:B37"/>
    <mergeCell ref="B30:B33"/>
    <mergeCell ref="C34:C35"/>
    <mergeCell ref="C36:C37"/>
    <mergeCell ref="C30:C33"/>
    <mergeCell ref="L36:L37"/>
    <mergeCell ref="C16:C18"/>
    <mergeCell ref="A34:A35"/>
    <mergeCell ref="B34:B35"/>
    <mergeCell ref="A36:A37"/>
    <mergeCell ref="L19:L20"/>
    <mergeCell ref="A19:A20"/>
    <mergeCell ref="B19:B20"/>
    <mergeCell ref="A38:A39"/>
    <mergeCell ref="B38:B39"/>
    <mergeCell ref="L2:M2"/>
    <mergeCell ref="C28:C29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5"/>
    <mergeCell ref="B10:B15"/>
    <mergeCell ref="C10:C15"/>
    <mergeCell ref="A28:A29"/>
    <mergeCell ref="A9:M9"/>
    <mergeCell ref="M28:M29"/>
    <mergeCell ref="L28:L29"/>
    <mergeCell ref="L16:L18"/>
    <mergeCell ref="L10:L15"/>
    <mergeCell ref="M10:M15"/>
    <mergeCell ref="A75:A79"/>
    <mergeCell ref="B75:B79"/>
    <mergeCell ref="A107:D107"/>
    <mergeCell ref="A102:D102"/>
    <mergeCell ref="A101:D101"/>
    <mergeCell ref="A106:D106"/>
    <mergeCell ref="A104:D104"/>
    <mergeCell ref="A105:D105"/>
    <mergeCell ref="A100:D100"/>
    <mergeCell ref="A84:A85"/>
    <mergeCell ref="B84:B85"/>
    <mergeCell ref="A86:A87"/>
    <mergeCell ref="A103:D103"/>
    <mergeCell ref="A97:A99"/>
    <mergeCell ref="B97:B99"/>
    <mergeCell ref="C97:C99"/>
    <mergeCell ref="M62:M63"/>
    <mergeCell ref="M82:M96"/>
    <mergeCell ref="B88:B91"/>
    <mergeCell ref="C88:C91"/>
    <mergeCell ref="A25:A26"/>
    <mergeCell ref="B25:B26"/>
    <mergeCell ref="C25:C26"/>
    <mergeCell ref="L25:L26"/>
    <mergeCell ref="M25:M26"/>
    <mergeCell ref="B45:B47"/>
    <mergeCell ref="A45:A47"/>
    <mergeCell ref="C45:C47"/>
    <mergeCell ref="L45:L47"/>
    <mergeCell ref="M45:M47"/>
    <mergeCell ref="L80:L81"/>
    <mergeCell ref="M80:M81"/>
    <mergeCell ref="L75:L79"/>
    <mergeCell ref="L30:L33"/>
    <mergeCell ref="M42:M43"/>
    <mergeCell ref="L42:L43"/>
    <mergeCell ref="C42:C43"/>
    <mergeCell ref="L62:L63"/>
    <mergeCell ref="A48:A49"/>
    <mergeCell ref="A42:A43"/>
  </mergeCells>
  <pageMargins left="0.19685039370078741" right="0.19685039370078741" top="0.19685039370078741" bottom="0.19685039370078741" header="0" footer="0"/>
  <pageSetup paperSize="9" scale="48" fitToHeight="0" orientation="landscape" r:id="rId1"/>
  <headerFooter scaleWithDoc="0"/>
  <rowBreaks count="7" manualBreakCount="7">
    <brk id="22" max="12" man="1"/>
    <brk id="29" max="12" man="1"/>
    <brk id="41" max="12" man="1"/>
    <brk id="52" max="12" man="1"/>
    <brk id="64" max="12" man="1"/>
    <brk id="74" max="12" man="1"/>
    <brk id="8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3"/>
  <sheetViews>
    <sheetView view="pageBreakPreview" zoomScale="70" zoomScaleNormal="70" zoomScaleSheetLayoutView="70" workbookViewId="0">
      <pane ySplit="7" topLeftCell="A29" activePane="bottomLeft" state="frozen"/>
      <selection pane="bottomLeft" activeCell="B44" sqref="B44:M51"/>
    </sheetView>
  </sheetViews>
  <sheetFormatPr defaultRowHeight="15" x14ac:dyDescent="0.25"/>
  <cols>
    <col min="1" max="1" width="8.28515625" style="106" customWidth="1"/>
    <col min="2" max="2" width="66.28515625" style="106" customWidth="1"/>
    <col min="3" max="3" width="18.5703125" style="262" customWidth="1"/>
    <col min="4" max="4" width="31.140625" style="106" customWidth="1"/>
    <col min="5" max="5" width="20.7109375" style="106" customWidth="1"/>
    <col min="6" max="6" width="21.7109375" style="217" customWidth="1"/>
    <col min="7" max="7" width="16.5703125" style="106" customWidth="1"/>
    <col min="8" max="9" width="16.5703125" style="215" customWidth="1"/>
    <col min="10" max="11" width="16.5703125" style="106" customWidth="1"/>
    <col min="12" max="12" width="23.42578125" style="106" customWidth="1"/>
    <col min="13" max="13" width="32.42578125" style="106" customWidth="1"/>
    <col min="14" max="14" width="9.140625" style="106" customWidth="1"/>
    <col min="15" max="16384" width="9.140625" style="106"/>
  </cols>
  <sheetData>
    <row r="1" spans="1:17" ht="15.75" x14ac:dyDescent="0.25">
      <c r="A1" s="4"/>
      <c r="B1" s="5"/>
      <c r="C1" s="6"/>
      <c r="D1" s="5"/>
      <c r="E1" s="5"/>
      <c r="F1" s="105"/>
      <c r="G1" s="5"/>
      <c r="H1" s="7"/>
      <c r="I1" s="7"/>
      <c r="J1" s="8"/>
      <c r="K1" s="8"/>
      <c r="L1" s="8"/>
      <c r="M1" s="8"/>
    </row>
    <row r="2" spans="1:17" ht="15.75" customHeight="1" x14ac:dyDescent="0.25">
      <c r="A2" s="4"/>
      <c r="B2" s="9"/>
      <c r="C2" s="10"/>
      <c r="D2" s="11"/>
      <c r="E2" s="11"/>
      <c r="F2" s="107"/>
      <c r="G2" s="12"/>
      <c r="H2" s="13"/>
      <c r="I2" s="13"/>
      <c r="J2" s="12"/>
      <c r="K2" s="12"/>
      <c r="L2" s="598"/>
      <c r="M2" s="598"/>
    </row>
    <row r="3" spans="1:17" ht="15.75" customHeight="1" thickBot="1" x14ac:dyDescent="0.3">
      <c r="A3" s="4"/>
      <c r="B3" s="9"/>
      <c r="C3" s="10"/>
      <c r="D3" s="11"/>
      <c r="E3" s="11"/>
      <c r="F3" s="107"/>
      <c r="G3" s="12"/>
      <c r="H3" s="13"/>
      <c r="I3" s="13"/>
      <c r="J3" s="12"/>
      <c r="K3" s="12"/>
      <c r="L3" s="108"/>
      <c r="M3" s="108"/>
    </row>
    <row r="4" spans="1:17" ht="15.75" customHeight="1" x14ac:dyDescent="0.25">
      <c r="A4" s="738" t="s">
        <v>1</v>
      </c>
      <c r="B4" s="693" t="s">
        <v>14</v>
      </c>
      <c r="C4" s="693" t="s">
        <v>0</v>
      </c>
      <c r="D4" s="704" t="s">
        <v>15</v>
      </c>
      <c r="E4" s="704" t="s">
        <v>148</v>
      </c>
      <c r="F4" s="707" t="s">
        <v>16</v>
      </c>
      <c r="G4" s="732" t="s">
        <v>48</v>
      </c>
      <c r="H4" s="733"/>
      <c r="I4" s="733"/>
      <c r="J4" s="733"/>
      <c r="K4" s="734"/>
      <c r="L4" s="731" t="s">
        <v>17</v>
      </c>
      <c r="M4" s="727" t="s">
        <v>7</v>
      </c>
    </row>
    <row r="5" spans="1:17" ht="15.75" customHeight="1" x14ac:dyDescent="0.25">
      <c r="A5" s="739"/>
      <c r="B5" s="694"/>
      <c r="C5" s="694"/>
      <c r="D5" s="705"/>
      <c r="E5" s="687"/>
      <c r="F5" s="708"/>
      <c r="G5" s="735"/>
      <c r="H5" s="736"/>
      <c r="I5" s="736"/>
      <c r="J5" s="736"/>
      <c r="K5" s="737"/>
      <c r="L5" s="683"/>
      <c r="M5" s="725"/>
    </row>
    <row r="6" spans="1:17" ht="46.5" customHeight="1" x14ac:dyDescent="0.25">
      <c r="A6" s="739"/>
      <c r="B6" s="694"/>
      <c r="C6" s="695"/>
      <c r="D6" s="706"/>
      <c r="E6" s="688"/>
      <c r="F6" s="709"/>
      <c r="G6" s="163" t="s">
        <v>46</v>
      </c>
      <c r="H6" s="384" t="s">
        <v>47</v>
      </c>
      <c r="I6" s="163" t="s">
        <v>150</v>
      </c>
      <c r="J6" s="163" t="s">
        <v>151</v>
      </c>
      <c r="K6" s="163" t="s">
        <v>152</v>
      </c>
      <c r="L6" s="723"/>
      <c r="M6" s="726"/>
    </row>
    <row r="7" spans="1:17" ht="21" customHeight="1" x14ac:dyDescent="0.25">
      <c r="A7" s="18">
        <v>1</v>
      </c>
      <c r="B7" s="19">
        <v>2</v>
      </c>
      <c r="C7" s="19" t="s">
        <v>18</v>
      </c>
      <c r="D7" s="19" t="s">
        <v>137</v>
      </c>
      <c r="E7" s="19" t="s">
        <v>19</v>
      </c>
      <c r="F7" s="20" t="s">
        <v>134</v>
      </c>
      <c r="G7" s="19" t="s">
        <v>20</v>
      </c>
      <c r="H7" s="351" t="s">
        <v>135</v>
      </c>
      <c r="I7" s="19" t="s">
        <v>21</v>
      </c>
      <c r="J7" s="19" t="s">
        <v>22</v>
      </c>
      <c r="K7" s="19" t="s">
        <v>30</v>
      </c>
      <c r="L7" s="19" t="s">
        <v>31</v>
      </c>
      <c r="M7" s="21" t="s">
        <v>50</v>
      </c>
    </row>
    <row r="8" spans="1:17" ht="18.75" x14ac:dyDescent="0.25">
      <c r="A8" s="728" t="s">
        <v>63</v>
      </c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30"/>
    </row>
    <row r="9" spans="1:17" ht="25.5" customHeight="1" x14ac:dyDescent="0.25">
      <c r="A9" s="740"/>
      <c r="B9" s="682" t="s">
        <v>140</v>
      </c>
      <c r="C9" s="626" t="s">
        <v>149</v>
      </c>
      <c r="D9" s="112" t="s">
        <v>10</v>
      </c>
      <c r="E9" s="113">
        <f t="shared" ref="E9:K9" si="0">SUM(E10:E12)</f>
        <v>89607.173999999999</v>
      </c>
      <c r="F9" s="70">
        <f t="shared" si="0"/>
        <v>513546.67600000004</v>
      </c>
      <c r="G9" s="113">
        <f>SUM(G10:G12)</f>
        <v>98456.650000000009</v>
      </c>
      <c r="H9" s="357">
        <f t="shared" si="0"/>
        <v>108038.16900000001</v>
      </c>
      <c r="I9" s="113">
        <f t="shared" si="0"/>
        <v>102350.61900000001</v>
      </c>
      <c r="J9" s="113">
        <f t="shared" si="0"/>
        <v>102350.61900000001</v>
      </c>
      <c r="K9" s="113">
        <f t="shared" si="0"/>
        <v>102350.61900000001</v>
      </c>
      <c r="L9" s="682"/>
      <c r="M9" s="724"/>
    </row>
    <row r="10" spans="1:17" ht="41.25" customHeight="1" x14ac:dyDescent="0.25">
      <c r="A10" s="741"/>
      <c r="B10" s="683"/>
      <c r="C10" s="627"/>
      <c r="D10" s="163" t="s">
        <v>5</v>
      </c>
      <c r="E10" s="219">
        <f>E24</f>
        <v>0</v>
      </c>
      <c r="F10" s="220">
        <f t="shared" ref="F10:F12" si="1">SUM(G10:K10)</f>
        <v>906</v>
      </c>
      <c r="G10" s="219">
        <f>G24+G13</f>
        <v>906</v>
      </c>
      <c r="H10" s="385">
        <f t="shared" ref="H10:K10" si="2">H24+H13</f>
        <v>0</v>
      </c>
      <c r="I10" s="219">
        <f t="shared" si="2"/>
        <v>0</v>
      </c>
      <c r="J10" s="219">
        <f t="shared" si="2"/>
        <v>0</v>
      </c>
      <c r="K10" s="219">
        <f t="shared" si="2"/>
        <v>0</v>
      </c>
      <c r="L10" s="683"/>
      <c r="M10" s="725"/>
    </row>
    <row r="11" spans="1:17" ht="60" customHeight="1" x14ac:dyDescent="0.25">
      <c r="A11" s="741"/>
      <c r="B11" s="683"/>
      <c r="C11" s="627"/>
      <c r="D11" s="163" t="s">
        <v>9</v>
      </c>
      <c r="E11" s="219">
        <f>E14+E17+E18+E20+E21+E22+E23+E25</f>
        <v>80773.72</v>
      </c>
      <c r="F11" s="220">
        <f t="shared" si="1"/>
        <v>465540.12600000005</v>
      </c>
      <c r="G11" s="219">
        <f>G14+G17+G18+G20+G21+G22+G23+G25+G26</f>
        <v>88363.6</v>
      </c>
      <c r="H11" s="385">
        <f t="shared" ref="H11:K11" si="3">H14+H17+H18+H20+H21+H22+H23+H25+H26</f>
        <v>94315.169000000009</v>
      </c>
      <c r="I11" s="219">
        <f t="shared" si="3"/>
        <v>94287.119000000006</v>
      </c>
      <c r="J11" s="219">
        <f t="shared" si="3"/>
        <v>94287.119000000006</v>
      </c>
      <c r="K11" s="219">
        <f t="shared" si="3"/>
        <v>94287.119000000006</v>
      </c>
      <c r="L11" s="683"/>
      <c r="M11" s="725"/>
    </row>
    <row r="12" spans="1:17" ht="75.75" customHeight="1" x14ac:dyDescent="0.25">
      <c r="A12" s="742"/>
      <c r="B12" s="723"/>
      <c r="C12" s="628"/>
      <c r="D12" s="17" t="s">
        <v>51</v>
      </c>
      <c r="E12" s="81">
        <f>E16+E19</f>
        <v>8833.4539999999997</v>
      </c>
      <c r="F12" s="220">
        <f t="shared" si="1"/>
        <v>47100.55</v>
      </c>
      <c r="G12" s="81">
        <f>G16+G19</f>
        <v>9187.0500000000011</v>
      </c>
      <c r="H12" s="359">
        <f>H16+H19</f>
        <v>13723</v>
      </c>
      <c r="I12" s="81">
        <f>I16+I19</f>
        <v>8063.5</v>
      </c>
      <c r="J12" s="81">
        <f>J16+J19</f>
        <v>8063.5</v>
      </c>
      <c r="K12" s="81">
        <f>K16+K19</f>
        <v>8063.5</v>
      </c>
      <c r="L12" s="723"/>
      <c r="M12" s="726"/>
    </row>
    <row r="13" spans="1:17" ht="37.5" x14ac:dyDescent="0.25">
      <c r="A13" s="673" t="s">
        <v>93</v>
      </c>
      <c r="B13" s="701" t="s">
        <v>167</v>
      </c>
      <c r="C13" s="647" t="s">
        <v>149</v>
      </c>
      <c r="D13" s="150" t="s">
        <v>5</v>
      </c>
      <c r="E13" s="221">
        <v>0</v>
      </c>
      <c r="F13" s="222">
        <f t="shared" ref="F13:F21" si="4">SUM(G13:K13)</f>
        <v>906</v>
      </c>
      <c r="G13" s="221">
        <v>906</v>
      </c>
      <c r="H13" s="386">
        <v>0</v>
      </c>
      <c r="I13" s="221">
        <v>0</v>
      </c>
      <c r="J13" s="221">
        <v>0</v>
      </c>
      <c r="K13" s="221">
        <v>0</v>
      </c>
      <c r="L13" s="713" t="s">
        <v>8</v>
      </c>
      <c r="M13" s="716" t="s">
        <v>74</v>
      </c>
    </row>
    <row r="14" spans="1:17" ht="55.5" customHeight="1" x14ac:dyDescent="0.25">
      <c r="A14" s="674"/>
      <c r="B14" s="702"/>
      <c r="C14" s="661"/>
      <c r="D14" s="150" t="s">
        <v>9</v>
      </c>
      <c r="E14" s="221">
        <f>58820.82+1881.6-727.6+178.682+89.341</f>
        <v>60242.843000000001</v>
      </c>
      <c r="F14" s="222">
        <f t="shared" si="4"/>
        <v>341945.41099999996</v>
      </c>
      <c r="G14" s="221">
        <v>66790.319000000003</v>
      </c>
      <c r="H14" s="386">
        <v>68788.773000000001</v>
      </c>
      <c r="I14" s="221">
        <v>68788.773000000001</v>
      </c>
      <c r="J14" s="221">
        <v>68788.773000000001</v>
      </c>
      <c r="K14" s="221">
        <v>68788.773000000001</v>
      </c>
      <c r="L14" s="714"/>
      <c r="M14" s="717"/>
    </row>
    <row r="15" spans="1:17" ht="168.75" x14ac:dyDescent="0.25">
      <c r="A15" s="674"/>
      <c r="B15" s="702"/>
      <c r="C15" s="661"/>
      <c r="D15" s="150" t="s">
        <v>299</v>
      </c>
      <c r="E15" s="221">
        <v>0</v>
      </c>
      <c r="F15" s="222">
        <f t="shared" si="4"/>
        <v>204</v>
      </c>
      <c r="G15" s="221">
        <v>204</v>
      </c>
      <c r="H15" s="386">
        <v>0</v>
      </c>
      <c r="I15" s="221">
        <v>0</v>
      </c>
      <c r="J15" s="221">
        <v>0</v>
      </c>
      <c r="K15" s="221">
        <v>0</v>
      </c>
      <c r="L15" s="714"/>
      <c r="M15" s="717"/>
    </row>
    <row r="16" spans="1:17" ht="75" customHeight="1" x14ac:dyDescent="0.25">
      <c r="A16" s="675"/>
      <c r="B16" s="703"/>
      <c r="C16" s="648"/>
      <c r="D16" s="150" t="s">
        <v>51</v>
      </c>
      <c r="E16" s="144">
        <v>7683.29</v>
      </c>
      <c r="F16" s="223">
        <f>SUM(G16:K16)</f>
        <v>43398.296000000002</v>
      </c>
      <c r="G16" s="224">
        <v>8878.7790000000005</v>
      </c>
      <c r="H16" s="443">
        <f>7305.879+5296.001</f>
        <v>12601.880000000001</v>
      </c>
      <c r="I16" s="224">
        <v>7305.8789999999999</v>
      </c>
      <c r="J16" s="224">
        <v>7305.8789999999999</v>
      </c>
      <c r="K16" s="224">
        <v>7305.8789999999999</v>
      </c>
      <c r="L16" s="715"/>
      <c r="M16" s="718"/>
      <c r="O16" s="121"/>
      <c r="P16" s="121"/>
      <c r="Q16" s="121"/>
    </row>
    <row r="17" spans="1:21" ht="155.25" customHeight="1" x14ac:dyDescent="0.25">
      <c r="A17" s="225" t="s">
        <v>94</v>
      </c>
      <c r="B17" s="157" t="s">
        <v>168</v>
      </c>
      <c r="C17" s="158" t="s">
        <v>149</v>
      </c>
      <c r="D17" s="150" t="s">
        <v>9</v>
      </c>
      <c r="E17" s="224">
        <v>1050.4360000000001</v>
      </c>
      <c r="F17" s="223">
        <f t="shared" si="4"/>
        <v>3826.7580000000003</v>
      </c>
      <c r="G17" s="224">
        <v>1094.1219999999998</v>
      </c>
      <c r="H17" s="387">
        <v>683.15899999999999</v>
      </c>
      <c r="I17" s="224">
        <v>683.15899999999999</v>
      </c>
      <c r="J17" s="224">
        <v>683.15899999999999</v>
      </c>
      <c r="K17" s="224">
        <v>683.15899999999999</v>
      </c>
      <c r="L17" s="226" t="s">
        <v>8</v>
      </c>
      <c r="M17" s="227" t="s">
        <v>74</v>
      </c>
      <c r="O17" s="121"/>
      <c r="P17" s="121"/>
      <c r="Q17" s="121"/>
    </row>
    <row r="18" spans="1:21" ht="69" customHeight="1" x14ac:dyDescent="0.25">
      <c r="A18" s="673" t="s">
        <v>95</v>
      </c>
      <c r="B18" s="561" t="s">
        <v>169</v>
      </c>
      <c r="C18" s="647" t="s">
        <v>149</v>
      </c>
      <c r="D18" s="150" t="s">
        <v>9</v>
      </c>
      <c r="E18" s="151">
        <v>0</v>
      </c>
      <c r="F18" s="223">
        <f t="shared" si="4"/>
        <v>100</v>
      </c>
      <c r="G18" s="151">
        <v>100</v>
      </c>
      <c r="H18" s="371">
        <v>0</v>
      </c>
      <c r="I18" s="151">
        <v>0</v>
      </c>
      <c r="J18" s="151">
        <v>0</v>
      </c>
      <c r="K18" s="151">
        <v>0</v>
      </c>
      <c r="L18" s="721" t="s">
        <v>8</v>
      </c>
      <c r="M18" s="547" t="s">
        <v>231</v>
      </c>
    </row>
    <row r="19" spans="1:21" ht="75.75" customHeight="1" x14ac:dyDescent="0.25">
      <c r="A19" s="675"/>
      <c r="B19" s="563"/>
      <c r="C19" s="648"/>
      <c r="D19" s="150" t="s">
        <v>51</v>
      </c>
      <c r="E19" s="224">
        <v>1150.164</v>
      </c>
      <c r="F19" s="222">
        <f t="shared" si="4"/>
        <v>3702.2539999999999</v>
      </c>
      <c r="G19" s="224">
        <v>308.27100000000002</v>
      </c>
      <c r="H19" s="443">
        <f>757.621+363.499</f>
        <v>1121.1199999999999</v>
      </c>
      <c r="I19" s="224">
        <v>757.62099999999998</v>
      </c>
      <c r="J19" s="224">
        <v>757.62099999999998</v>
      </c>
      <c r="K19" s="224">
        <v>757.62099999999998</v>
      </c>
      <c r="L19" s="722"/>
      <c r="M19" s="549"/>
      <c r="O19" s="121"/>
      <c r="P19" s="121"/>
      <c r="Q19" s="121"/>
    </row>
    <row r="20" spans="1:21" ht="113.25" customHeight="1" x14ac:dyDescent="0.25">
      <c r="A20" s="228" t="s">
        <v>96</v>
      </c>
      <c r="B20" s="229" t="s">
        <v>170</v>
      </c>
      <c r="C20" s="158" t="s">
        <v>149</v>
      </c>
      <c r="D20" s="150" t="s">
        <v>9</v>
      </c>
      <c r="E20" s="151">
        <v>0</v>
      </c>
      <c r="F20" s="222">
        <f t="shared" si="4"/>
        <v>0</v>
      </c>
      <c r="G20" s="151">
        <v>0</v>
      </c>
      <c r="H20" s="371">
        <v>0</v>
      </c>
      <c r="I20" s="151">
        <v>0</v>
      </c>
      <c r="J20" s="151">
        <v>0</v>
      </c>
      <c r="K20" s="151">
        <v>0</v>
      </c>
      <c r="L20" s="226" t="s">
        <v>8</v>
      </c>
      <c r="M20" s="153" t="s">
        <v>171</v>
      </c>
    </row>
    <row r="21" spans="1:21" ht="118.5" customHeight="1" x14ac:dyDescent="0.25">
      <c r="A21" s="228" t="s">
        <v>97</v>
      </c>
      <c r="B21" s="230" t="s">
        <v>172</v>
      </c>
      <c r="C21" s="158" t="s">
        <v>149</v>
      </c>
      <c r="D21" s="150" t="s">
        <v>9</v>
      </c>
      <c r="E21" s="151">
        <v>30</v>
      </c>
      <c r="F21" s="222">
        <f t="shared" si="4"/>
        <v>28.05</v>
      </c>
      <c r="G21" s="151">
        <v>0</v>
      </c>
      <c r="H21" s="371">
        <v>28.05</v>
      </c>
      <c r="I21" s="151">
        <v>0</v>
      </c>
      <c r="J21" s="151">
        <v>0</v>
      </c>
      <c r="K21" s="151">
        <v>0</v>
      </c>
      <c r="L21" s="75" t="s">
        <v>11</v>
      </c>
      <c r="M21" s="231" t="s">
        <v>75</v>
      </c>
    </row>
    <row r="22" spans="1:21" ht="93.75" customHeight="1" x14ac:dyDescent="0.25">
      <c r="A22" s="232" t="s">
        <v>98</v>
      </c>
      <c r="B22" s="233" t="s">
        <v>183</v>
      </c>
      <c r="C22" s="154" t="s">
        <v>149</v>
      </c>
      <c r="D22" s="150" t="s">
        <v>9</v>
      </c>
      <c r="E22" s="234">
        <v>18550.440999999999</v>
      </c>
      <c r="F22" s="220">
        <f>SUM(G22:K22)</f>
        <v>101337.09200000002</v>
      </c>
      <c r="G22" s="234">
        <v>19356.344000000001</v>
      </c>
      <c r="H22" s="388">
        <v>20495.187000000002</v>
      </c>
      <c r="I22" s="234">
        <v>20495.187000000002</v>
      </c>
      <c r="J22" s="234">
        <v>20495.187000000002</v>
      </c>
      <c r="K22" s="234">
        <v>20495.187000000002</v>
      </c>
      <c r="L22" s="235" t="s">
        <v>8</v>
      </c>
      <c r="M22" s="236" t="s">
        <v>130</v>
      </c>
    </row>
    <row r="23" spans="1:21" ht="118.5" customHeight="1" x14ac:dyDescent="0.25">
      <c r="A23" s="225" t="s">
        <v>99</v>
      </c>
      <c r="B23" s="237" t="s">
        <v>184</v>
      </c>
      <c r="C23" s="158" t="s">
        <v>149</v>
      </c>
      <c r="D23" s="150" t="s">
        <v>9</v>
      </c>
      <c r="E23" s="71">
        <v>0</v>
      </c>
      <c r="F23" s="238">
        <f t="shared" ref="F23" si="5">SUM(G23:K23)</f>
        <v>122.815</v>
      </c>
      <c r="G23" s="71">
        <v>122.815</v>
      </c>
      <c r="H23" s="358">
        <v>0</v>
      </c>
      <c r="I23" s="71">
        <f>200-200</f>
        <v>0</v>
      </c>
      <c r="J23" s="71">
        <f>200-200</f>
        <v>0</v>
      </c>
      <c r="K23" s="71">
        <f>200-200</f>
        <v>0</v>
      </c>
      <c r="L23" s="75" t="s">
        <v>8</v>
      </c>
      <c r="M23" s="239" t="s">
        <v>232</v>
      </c>
    </row>
    <row r="24" spans="1:21" ht="157.5" customHeight="1" x14ac:dyDescent="0.25">
      <c r="A24" s="43" t="s">
        <v>100</v>
      </c>
      <c r="B24" s="59" t="s">
        <v>185</v>
      </c>
      <c r="C24" s="158" t="s">
        <v>149</v>
      </c>
      <c r="D24" s="65" t="s">
        <v>5</v>
      </c>
      <c r="E24" s="37">
        <v>0</v>
      </c>
      <c r="F24" s="70">
        <f t="shared" ref="F24" si="6">SUM(G24:K24)</f>
        <v>0</v>
      </c>
      <c r="G24" s="37">
        <v>0</v>
      </c>
      <c r="H24" s="356">
        <v>0</v>
      </c>
      <c r="I24" s="37">
        <v>0</v>
      </c>
      <c r="J24" s="37">
        <v>0</v>
      </c>
      <c r="K24" s="37">
        <v>0</v>
      </c>
      <c r="L24" s="60" t="s">
        <v>8</v>
      </c>
      <c r="M24" s="45" t="s">
        <v>86</v>
      </c>
      <c r="N24" s="121"/>
      <c r="O24" s="119"/>
      <c r="P24" s="119"/>
      <c r="Q24" s="119"/>
      <c r="R24" s="119"/>
      <c r="S24" s="119"/>
      <c r="T24" s="119"/>
      <c r="U24" s="119"/>
    </row>
    <row r="25" spans="1:21" ht="192" customHeight="1" x14ac:dyDescent="0.25">
      <c r="A25" s="232" t="s">
        <v>101</v>
      </c>
      <c r="B25" s="240" t="s">
        <v>186</v>
      </c>
      <c r="C25" s="158" t="s">
        <v>46</v>
      </c>
      <c r="D25" s="150" t="s">
        <v>9</v>
      </c>
      <c r="E25" s="71">
        <f>200+700</f>
        <v>900</v>
      </c>
      <c r="F25" s="238">
        <f t="shared" ref="F25:F26" si="7">SUM(G25:K25)</f>
        <v>900</v>
      </c>
      <c r="G25" s="71">
        <v>900</v>
      </c>
      <c r="H25" s="358">
        <v>0</v>
      </c>
      <c r="I25" s="71">
        <v>0</v>
      </c>
      <c r="J25" s="71">
        <v>0</v>
      </c>
      <c r="K25" s="71">
        <v>0</v>
      </c>
      <c r="L25" s="124" t="s">
        <v>233</v>
      </c>
      <c r="M25" s="236" t="s">
        <v>132</v>
      </c>
    </row>
    <row r="26" spans="1:21" ht="150" x14ac:dyDescent="0.25">
      <c r="A26" s="232" t="s">
        <v>102</v>
      </c>
      <c r="B26" s="240" t="s">
        <v>314</v>
      </c>
      <c r="C26" s="241" t="s">
        <v>149</v>
      </c>
      <c r="D26" s="242" t="s">
        <v>12</v>
      </c>
      <c r="E26" s="243">
        <v>0</v>
      </c>
      <c r="F26" s="238">
        <f t="shared" si="7"/>
        <v>17280</v>
      </c>
      <c r="G26" s="243">
        <v>0</v>
      </c>
      <c r="H26" s="389">
        <v>4320</v>
      </c>
      <c r="I26" s="243">
        <v>4320</v>
      </c>
      <c r="J26" s="243">
        <v>4320</v>
      </c>
      <c r="K26" s="243">
        <v>4320</v>
      </c>
      <c r="L26" s="124" t="s">
        <v>11</v>
      </c>
      <c r="M26" s="236" t="s">
        <v>312</v>
      </c>
    </row>
    <row r="27" spans="1:21" ht="36" customHeight="1" x14ac:dyDescent="0.25">
      <c r="A27" s="676"/>
      <c r="B27" s="682" t="s">
        <v>147</v>
      </c>
      <c r="C27" s="686" t="s">
        <v>149</v>
      </c>
      <c r="D27" s="244" t="s">
        <v>10</v>
      </c>
      <c r="E27" s="245">
        <f>SUM(E28:E28)</f>
        <v>1188</v>
      </c>
      <c r="F27" s="238">
        <f t="shared" ref="F27:F28" si="8">SUM(G27:K27)</f>
        <v>6185</v>
      </c>
      <c r="G27" s="245">
        <f>SUM(G28:G28)</f>
        <v>1455</v>
      </c>
      <c r="H27" s="386">
        <f>SUM(H28:H28)</f>
        <v>1457</v>
      </c>
      <c r="I27" s="245">
        <f>SUM(I28:I28)</f>
        <v>1614</v>
      </c>
      <c r="J27" s="245">
        <f>SUM(J28:J28)</f>
        <v>1659</v>
      </c>
      <c r="K27" s="245">
        <f>SUM(K28:K28)</f>
        <v>0</v>
      </c>
      <c r="L27" s="699"/>
      <c r="M27" s="719"/>
    </row>
    <row r="28" spans="1:21" ht="37.5" x14ac:dyDescent="0.25">
      <c r="A28" s="677"/>
      <c r="B28" s="683"/>
      <c r="C28" s="687"/>
      <c r="D28" s="163" t="s">
        <v>5</v>
      </c>
      <c r="E28" s="246">
        <f>E29</f>
        <v>1188</v>
      </c>
      <c r="F28" s="238">
        <f t="shared" si="8"/>
        <v>6185</v>
      </c>
      <c r="G28" s="246">
        <f>G29</f>
        <v>1455</v>
      </c>
      <c r="H28" s="390">
        <f t="shared" ref="H28:K28" si="9">H29</f>
        <v>1457</v>
      </c>
      <c r="I28" s="246">
        <f t="shared" si="9"/>
        <v>1614</v>
      </c>
      <c r="J28" s="246">
        <f t="shared" si="9"/>
        <v>1659</v>
      </c>
      <c r="K28" s="246">
        <f t="shared" si="9"/>
        <v>0</v>
      </c>
      <c r="L28" s="700"/>
      <c r="M28" s="720"/>
    </row>
    <row r="29" spans="1:21" ht="113.25" customHeight="1" x14ac:dyDescent="0.25">
      <c r="A29" s="232" t="s">
        <v>111</v>
      </c>
      <c r="B29" s="247" t="s">
        <v>260</v>
      </c>
      <c r="C29" s="248" t="s">
        <v>149</v>
      </c>
      <c r="D29" s="150" t="s">
        <v>5</v>
      </c>
      <c r="E29" s="221">
        <v>1188</v>
      </c>
      <c r="F29" s="238">
        <f t="shared" ref="F29:F31" si="10">SUM(G29:K29)</f>
        <v>6185</v>
      </c>
      <c r="G29" s="221">
        <v>1455</v>
      </c>
      <c r="H29" s="386">
        <v>1457</v>
      </c>
      <c r="I29" s="221">
        <v>1614</v>
      </c>
      <c r="J29" s="221">
        <v>1659</v>
      </c>
      <c r="K29" s="221">
        <v>0</v>
      </c>
      <c r="L29" s="235" t="s">
        <v>11</v>
      </c>
      <c r="M29" s="236" t="s">
        <v>26</v>
      </c>
    </row>
    <row r="30" spans="1:21" ht="26.25" customHeight="1" x14ac:dyDescent="0.25">
      <c r="A30" s="676"/>
      <c r="B30" s="689" t="s">
        <v>141</v>
      </c>
      <c r="C30" s="686" t="s">
        <v>149</v>
      </c>
      <c r="D30" s="163" t="s">
        <v>10</v>
      </c>
      <c r="E30" s="249">
        <f t="shared" ref="E30:K30" si="11">E31+E32</f>
        <v>31887</v>
      </c>
      <c r="F30" s="238">
        <f t="shared" si="10"/>
        <v>100396</v>
      </c>
      <c r="G30" s="249">
        <f t="shared" si="11"/>
        <v>28499</v>
      </c>
      <c r="H30" s="388">
        <f t="shared" si="11"/>
        <v>30377</v>
      </c>
      <c r="I30" s="249">
        <f t="shared" si="11"/>
        <v>13840</v>
      </c>
      <c r="J30" s="249">
        <f t="shared" si="11"/>
        <v>13840</v>
      </c>
      <c r="K30" s="249">
        <f t="shared" si="11"/>
        <v>13840</v>
      </c>
      <c r="L30" s="696"/>
      <c r="M30" s="710"/>
    </row>
    <row r="31" spans="1:21" ht="36" customHeight="1" x14ac:dyDescent="0.25">
      <c r="A31" s="677"/>
      <c r="B31" s="690"/>
      <c r="C31" s="687"/>
      <c r="D31" s="163" t="s">
        <v>5</v>
      </c>
      <c r="E31" s="246">
        <f>E36</f>
        <v>15154</v>
      </c>
      <c r="F31" s="238">
        <f t="shared" si="10"/>
        <v>29226</v>
      </c>
      <c r="G31" s="246">
        <f t="shared" ref="G31:K31" si="12">G36</f>
        <v>14689</v>
      </c>
      <c r="H31" s="390">
        <f t="shared" si="12"/>
        <v>14537</v>
      </c>
      <c r="I31" s="246">
        <f t="shared" si="12"/>
        <v>0</v>
      </c>
      <c r="J31" s="246">
        <f t="shared" si="12"/>
        <v>0</v>
      </c>
      <c r="K31" s="246">
        <f t="shared" si="12"/>
        <v>0</v>
      </c>
      <c r="L31" s="697"/>
      <c r="M31" s="711"/>
    </row>
    <row r="32" spans="1:21" ht="56.25" customHeight="1" x14ac:dyDescent="0.25">
      <c r="A32" s="692"/>
      <c r="B32" s="691"/>
      <c r="C32" s="688"/>
      <c r="D32" s="163" t="s">
        <v>9</v>
      </c>
      <c r="E32" s="250">
        <f>E33+E34</f>
        <v>16733</v>
      </c>
      <c r="F32" s="238">
        <f>SUM(G32:K32)</f>
        <v>71170</v>
      </c>
      <c r="G32" s="250">
        <f>G33+G34</f>
        <v>13810</v>
      </c>
      <c r="H32" s="391">
        <f>H33+H34</f>
        <v>15840</v>
      </c>
      <c r="I32" s="250">
        <f>I33+I34</f>
        <v>13840</v>
      </c>
      <c r="J32" s="250">
        <f>J33+J34</f>
        <v>13840</v>
      </c>
      <c r="K32" s="250">
        <f>K33+K34</f>
        <v>13840</v>
      </c>
      <c r="L32" s="698"/>
      <c r="M32" s="712"/>
    </row>
    <row r="33" spans="1:14" ht="99" customHeight="1" x14ac:dyDescent="0.25">
      <c r="A33" s="148" t="s">
        <v>126</v>
      </c>
      <c r="B33" s="149" t="s">
        <v>124</v>
      </c>
      <c r="C33" s="158" t="s">
        <v>149</v>
      </c>
      <c r="D33" s="150" t="s">
        <v>9</v>
      </c>
      <c r="E33" s="151">
        <v>1733</v>
      </c>
      <c r="F33" s="152">
        <f>SUM(G33:K33)</f>
        <v>11170</v>
      </c>
      <c r="G33" s="151">
        <f>2000-100-90</f>
        <v>1810</v>
      </c>
      <c r="H33" s="371">
        <f>1840+2000</f>
        <v>3840</v>
      </c>
      <c r="I33" s="151">
        <v>1840</v>
      </c>
      <c r="J33" s="151">
        <v>1840</v>
      </c>
      <c r="K33" s="151">
        <v>1840</v>
      </c>
      <c r="L33" s="75" t="s">
        <v>11</v>
      </c>
      <c r="M33" s="153" t="s">
        <v>27</v>
      </c>
    </row>
    <row r="34" spans="1:14" ht="58.5" customHeight="1" x14ac:dyDescent="0.25">
      <c r="A34" s="651" t="s">
        <v>127</v>
      </c>
      <c r="B34" s="567" t="s">
        <v>125</v>
      </c>
      <c r="C34" s="647" t="s">
        <v>149</v>
      </c>
      <c r="D34" s="150" t="s">
        <v>9</v>
      </c>
      <c r="E34" s="151">
        <v>15000</v>
      </c>
      <c r="F34" s="152">
        <f t="shared" ref="F34:F36" si="13">SUM(G34:K34)</f>
        <v>60000</v>
      </c>
      <c r="G34" s="151">
        <f>7000+5000</f>
        <v>12000</v>
      </c>
      <c r="H34" s="371">
        <f>7000+5000</f>
        <v>12000</v>
      </c>
      <c r="I34" s="151">
        <f t="shared" ref="I34:K34" si="14">7000+5000</f>
        <v>12000</v>
      </c>
      <c r="J34" s="151">
        <f t="shared" si="14"/>
        <v>12000</v>
      </c>
      <c r="K34" s="151">
        <f t="shared" si="14"/>
        <v>12000</v>
      </c>
      <c r="L34" s="467" t="s">
        <v>261</v>
      </c>
      <c r="M34" s="577" t="s">
        <v>28</v>
      </c>
    </row>
    <row r="35" spans="1:14" ht="93.75" x14ac:dyDescent="0.25">
      <c r="A35" s="659"/>
      <c r="B35" s="640"/>
      <c r="C35" s="661"/>
      <c r="D35" s="150" t="s">
        <v>317</v>
      </c>
      <c r="E35" s="151">
        <v>0</v>
      </c>
      <c r="F35" s="152">
        <f t="shared" si="13"/>
        <v>12000</v>
      </c>
      <c r="G35" s="151">
        <v>0</v>
      </c>
      <c r="H35" s="371">
        <v>12000</v>
      </c>
      <c r="I35" s="151">
        <v>0</v>
      </c>
      <c r="J35" s="151">
        <v>0</v>
      </c>
      <c r="K35" s="151">
        <v>0</v>
      </c>
      <c r="L35" s="662"/>
      <c r="M35" s="578"/>
    </row>
    <row r="36" spans="1:14" ht="56.25" customHeight="1" x14ac:dyDescent="0.25">
      <c r="A36" s="652"/>
      <c r="B36" s="568"/>
      <c r="C36" s="648"/>
      <c r="D36" s="150" t="s">
        <v>5</v>
      </c>
      <c r="E36" s="251">
        <v>15154</v>
      </c>
      <c r="F36" s="252">
        <f t="shared" si="13"/>
        <v>29226</v>
      </c>
      <c r="G36" s="251">
        <v>14689</v>
      </c>
      <c r="H36" s="392">
        <v>14537</v>
      </c>
      <c r="I36" s="251">
        <v>0</v>
      </c>
      <c r="J36" s="251">
        <v>0</v>
      </c>
      <c r="K36" s="251">
        <v>0</v>
      </c>
      <c r="L36" s="468"/>
      <c r="M36" s="579"/>
      <c r="N36" s="100"/>
    </row>
    <row r="37" spans="1:14" ht="18.75" x14ac:dyDescent="0.25">
      <c r="A37" s="680" t="s">
        <v>58</v>
      </c>
      <c r="B37" s="681"/>
      <c r="C37" s="681"/>
      <c r="D37" s="681"/>
      <c r="E37" s="253">
        <f>SUM(E38:E41)-E40</f>
        <v>122682.174</v>
      </c>
      <c r="F37" s="253">
        <f t="shared" ref="F37:K37" si="15">SUM(F38:F41)-F40</f>
        <v>620127.67600000009</v>
      </c>
      <c r="G37" s="253">
        <f t="shared" si="15"/>
        <v>128410.65000000001</v>
      </c>
      <c r="H37" s="383">
        <f t="shared" si="15"/>
        <v>139872.16899999999</v>
      </c>
      <c r="I37" s="253">
        <f t="shared" si="15"/>
        <v>117804.61900000001</v>
      </c>
      <c r="J37" s="253">
        <f t="shared" si="15"/>
        <v>117849.61900000001</v>
      </c>
      <c r="K37" s="253">
        <f t="shared" si="15"/>
        <v>116190.61900000001</v>
      </c>
      <c r="L37" s="254"/>
      <c r="M37" s="255"/>
    </row>
    <row r="38" spans="1:14" ht="18.75" x14ac:dyDescent="0.25">
      <c r="A38" s="678" t="s">
        <v>5</v>
      </c>
      <c r="B38" s="679"/>
      <c r="C38" s="679"/>
      <c r="D38" s="679"/>
      <c r="E38" s="205">
        <f>E10+E28+E31</f>
        <v>16342</v>
      </c>
      <c r="F38" s="253">
        <f>SUM(G38:K38)</f>
        <v>36317</v>
      </c>
      <c r="G38" s="205">
        <f>G10+G28+G31</f>
        <v>17050</v>
      </c>
      <c r="H38" s="383">
        <f>H10+H28+H31</f>
        <v>15994</v>
      </c>
      <c r="I38" s="205">
        <f>I10+I28+I31</f>
        <v>1614</v>
      </c>
      <c r="J38" s="205">
        <f>J10+J28+J31</f>
        <v>1659</v>
      </c>
      <c r="K38" s="205">
        <f>K10+K28+K31</f>
        <v>0</v>
      </c>
      <c r="L38" s="256"/>
      <c r="M38" s="257"/>
    </row>
    <row r="39" spans="1:14" ht="18.75" x14ac:dyDescent="0.25">
      <c r="A39" s="678" t="s">
        <v>9</v>
      </c>
      <c r="B39" s="679"/>
      <c r="C39" s="679"/>
      <c r="D39" s="679"/>
      <c r="E39" s="205">
        <f>E11+E32</f>
        <v>97506.72</v>
      </c>
      <c r="F39" s="253">
        <f t="shared" ref="F39:F41" si="16">SUM(G39:K39)</f>
        <v>536710.12600000005</v>
      </c>
      <c r="G39" s="205">
        <f>G11+G32</f>
        <v>102173.6</v>
      </c>
      <c r="H39" s="383">
        <f>H11+H32</f>
        <v>110155.16900000001</v>
      </c>
      <c r="I39" s="205">
        <f>I11+I32</f>
        <v>108127.11900000001</v>
      </c>
      <c r="J39" s="205">
        <f>J11+J32</f>
        <v>108127.11900000001</v>
      </c>
      <c r="K39" s="205">
        <f>K11+K32</f>
        <v>108127.11900000001</v>
      </c>
      <c r="L39" s="256"/>
      <c r="M39" s="257"/>
    </row>
    <row r="40" spans="1:14" ht="18.75" x14ac:dyDescent="0.25">
      <c r="A40" s="678" t="s">
        <v>317</v>
      </c>
      <c r="B40" s="679"/>
      <c r="C40" s="679"/>
      <c r="D40" s="679"/>
      <c r="E40" s="205">
        <v>0</v>
      </c>
      <c r="F40" s="253">
        <f t="shared" si="16"/>
        <v>12000</v>
      </c>
      <c r="G40" s="205">
        <v>0</v>
      </c>
      <c r="H40" s="383">
        <f>H35</f>
        <v>12000</v>
      </c>
      <c r="I40" s="205">
        <v>0</v>
      </c>
      <c r="J40" s="205">
        <v>0</v>
      </c>
      <c r="K40" s="205">
        <v>0</v>
      </c>
      <c r="L40" s="256"/>
      <c r="M40" s="257"/>
    </row>
    <row r="41" spans="1:14" ht="19.5" thickBot="1" x14ac:dyDescent="0.35">
      <c r="A41" s="684" t="s">
        <v>51</v>
      </c>
      <c r="B41" s="685"/>
      <c r="C41" s="685"/>
      <c r="D41" s="685"/>
      <c r="E41" s="258">
        <f>E12</f>
        <v>8833.4539999999997</v>
      </c>
      <c r="F41" s="259">
        <f t="shared" si="16"/>
        <v>47100.55</v>
      </c>
      <c r="G41" s="258">
        <f>G12</f>
        <v>9187.0500000000011</v>
      </c>
      <c r="H41" s="393">
        <f>H12</f>
        <v>13723</v>
      </c>
      <c r="I41" s="258">
        <f>I12</f>
        <v>8063.5</v>
      </c>
      <c r="J41" s="258">
        <f>J12</f>
        <v>8063.5</v>
      </c>
      <c r="K41" s="258">
        <f>K12</f>
        <v>8063.5</v>
      </c>
      <c r="L41" s="260"/>
      <c r="M41" s="261"/>
    </row>
    <row r="42" spans="1:14" x14ac:dyDescent="0.25">
      <c r="F42" s="214"/>
    </row>
    <row r="43" spans="1:14" x14ac:dyDescent="0.25">
      <c r="H43" s="216"/>
    </row>
  </sheetData>
  <mergeCells count="46"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B9:B12"/>
    <mergeCell ref="C9:C12"/>
    <mergeCell ref="M34:M36"/>
    <mergeCell ref="M30:M32"/>
    <mergeCell ref="L34:L36"/>
    <mergeCell ref="C13:C16"/>
    <mergeCell ref="L13:L16"/>
    <mergeCell ref="M13:M16"/>
    <mergeCell ref="M27:M28"/>
    <mergeCell ref="L18:L19"/>
    <mergeCell ref="C27:C28"/>
    <mergeCell ref="B4:B6"/>
    <mergeCell ref="C4:C6"/>
    <mergeCell ref="L30:L32"/>
    <mergeCell ref="L27:L28"/>
    <mergeCell ref="B13:B16"/>
    <mergeCell ref="D4:D6"/>
    <mergeCell ref="F4:F6"/>
    <mergeCell ref="A41:D41"/>
    <mergeCell ref="C30:C32"/>
    <mergeCell ref="B30:B32"/>
    <mergeCell ref="A30:A32"/>
    <mergeCell ref="B34:B36"/>
    <mergeCell ref="A40:D40"/>
    <mergeCell ref="A13:A16"/>
    <mergeCell ref="A27:A28"/>
    <mergeCell ref="A39:D39"/>
    <mergeCell ref="A38:D38"/>
    <mergeCell ref="C34:C36"/>
    <mergeCell ref="A37:D37"/>
    <mergeCell ref="A34:A36"/>
    <mergeCell ref="B27:B28"/>
  </mergeCells>
  <pageMargins left="0.19685039370078741" right="0.19685039370078741" top="0.19685039370078741" bottom="0.19685039370078741" header="0" footer="0"/>
  <pageSetup paperSize="9" scale="47" fitToHeight="0" orientation="landscape" r:id="rId1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7"/>
  <sheetViews>
    <sheetView view="pageBreakPreview" zoomScale="70" zoomScaleNormal="70" zoomScaleSheetLayoutView="70" workbookViewId="0">
      <pane xSplit="2" ySplit="7" topLeftCell="C29" activePane="bottomRight" state="frozen"/>
      <selection activeCell="H33" sqref="H33"/>
      <selection pane="topRight" activeCell="H33" sqref="H33"/>
      <selection pane="bottomLeft" activeCell="H33" sqref="H33"/>
      <selection pane="bottomRight" activeCell="B4" sqref="B4:B5"/>
    </sheetView>
  </sheetViews>
  <sheetFormatPr defaultRowHeight="15" x14ac:dyDescent="0.25"/>
  <cols>
    <col min="1" max="1" width="6.7109375" style="106" customWidth="1"/>
    <col min="2" max="2" width="67.42578125" style="106" customWidth="1"/>
    <col min="3" max="3" width="18.5703125" style="106" customWidth="1"/>
    <col min="4" max="4" width="32.85546875" style="106" customWidth="1"/>
    <col min="5" max="5" width="21.28515625" style="106" customWidth="1"/>
    <col min="6" max="6" width="16.7109375" style="217" customWidth="1"/>
    <col min="7" max="7" width="15.85546875" style="106" customWidth="1"/>
    <col min="8" max="9" width="15.85546875" style="215" customWidth="1"/>
    <col min="10" max="11" width="15.85546875" style="106" customWidth="1"/>
    <col min="12" max="12" width="26.5703125" style="106" customWidth="1"/>
    <col min="13" max="13" width="42" style="106" customWidth="1"/>
    <col min="14" max="14" width="17.140625" style="106" customWidth="1"/>
    <col min="15" max="16384" width="9.140625" style="106"/>
  </cols>
  <sheetData>
    <row r="1" spans="1:15" ht="15.75" x14ac:dyDescent="0.25">
      <c r="A1" s="4"/>
      <c r="B1" s="5"/>
      <c r="C1" s="6"/>
      <c r="D1" s="5"/>
      <c r="E1" s="5"/>
      <c r="F1" s="105"/>
      <c r="G1" s="5"/>
      <c r="H1" s="7"/>
      <c r="I1" s="7"/>
      <c r="J1" s="8"/>
      <c r="K1" s="8"/>
      <c r="L1" s="8"/>
      <c r="M1" s="8"/>
    </row>
    <row r="2" spans="1:15" ht="15.75" customHeight="1" x14ac:dyDescent="0.25">
      <c r="A2" s="4"/>
      <c r="B2" s="9"/>
      <c r="C2" s="10"/>
      <c r="D2" s="11"/>
      <c r="E2" s="11"/>
      <c r="F2" s="107"/>
      <c r="G2" s="12"/>
      <c r="H2" s="13"/>
      <c r="I2" s="13"/>
      <c r="J2" s="12"/>
      <c r="K2" s="12"/>
      <c r="L2" s="598"/>
      <c r="M2" s="598"/>
    </row>
    <row r="3" spans="1:15" ht="15.75" customHeight="1" thickBot="1" x14ac:dyDescent="0.3">
      <c r="A3" s="4"/>
      <c r="B3" s="9"/>
      <c r="C3" s="10"/>
      <c r="D3" s="11"/>
      <c r="E3" s="11"/>
      <c r="F3" s="107"/>
      <c r="G3" s="12"/>
      <c r="H3" s="13"/>
      <c r="I3" s="13"/>
      <c r="J3" s="12"/>
      <c r="K3" s="12"/>
      <c r="L3" s="108"/>
      <c r="M3" s="108"/>
    </row>
    <row r="4" spans="1:15" ht="29.25" customHeight="1" x14ac:dyDescent="0.25">
      <c r="A4" s="761" t="s">
        <v>1</v>
      </c>
      <c r="B4" s="753" t="s">
        <v>14</v>
      </c>
      <c r="C4" s="753" t="s">
        <v>0</v>
      </c>
      <c r="D4" s="753" t="s">
        <v>15</v>
      </c>
      <c r="E4" s="753" t="s">
        <v>157</v>
      </c>
      <c r="F4" s="751" t="s">
        <v>16</v>
      </c>
      <c r="G4" s="755" t="s">
        <v>49</v>
      </c>
      <c r="H4" s="756"/>
      <c r="I4" s="756"/>
      <c r="J4" s="756"/>
      <c r="K4" s="757"/>
      <c r="L4" s="753" t="s">
        <v>17</v>
      </c>
      <c r="M4" s="746" t="s">
        <v>7</v>
      </c>
    </row>
    <row r="5" spans="1:15" ht="57" customHeight="1" x14ac:dyDescent="0.25">
      <c r="A5" s="762"/>
      <c r="B5" s="754"/>
      <c r="C5" s="754"/>
      <c r="D5" s="754"/>
      <c r="E5" s="754"/>
      <c r="F5" s="752"/>
      <c r="G5" s="263" t="s">
        <v>158</v>
      </c>
      <c r="H5" s="394" t="s">
        <v>47</v>
      </c>
      <c r="I5" s="175" t="s">
        <v>150</v>
      </c>
      <c r="J5" s="263" t="s">
        <v>151</v>
      </c>
      <c r="K5" s="263" t="s">
        <v>152</v>
      </c>
      <c r="L5" s="754"/>
      <c r="M5" s="747"/>
    </row>
    <row r="6" spans="1:15" ht="18.75" x14ac:dyDescent="0.25">
      <c r="A6" s="18" t="s">
        <v>29</v>
      </c>
      <c r="B6" s="19">
        <v>2</v>
      </c>
      <c r="C6" s="19" t="s">
        <v>18</v>
      </c>
      <c r="D6" s="19" t="s">
        <v>137</v>
      </c>
      <c r="E6" s="19" t="s">
        <v>19</v>
      </c>
      <c r="F6" s="20" t="s">
        <v>134</v>
      </c>
      <c r="G6" s="19" t="s">
        <v>20</v>
      </c>
      <c r="H6" s="351" t="s">
        <v>135</v>
      </c>
      <c r="I6" s="19" t="s">
        <v>21</v>
      </c>
      <c r="J6" s="19" t="s">
        <v>22</v>
      </c>
      <c r="K6" s="19" t="s">
        <v>30</v>
      </c>
      <c r="L6" s="19" t="s">
        <v>31</v>
      </c>
      <c r="M6" s="21" t="s">
        <v>50</v>
      </c>
    </row>
    <row r="7" spans="1:15" ht="34.5" customHeight="1" x14ac:dyDescent="0.25">
      <c r="A7" s="264"/>
      <c r="B7" s="758" t="s">
        <v>53</v>
      </c>
      <c r="C7" s="758"/>
      <c r="D7" s="759"/>
      <c r="E7" s="759"/>
      <c r="F7" s="759"/>
      <c r="G7" s="759"/>
      <c r="H7" s="759"/>
      <c r="I7" s="759"/>
      <c r="J7" s="759"/>
      <c r="K7" s="759"/>
      <c r="L7" s="759"/>
      <c r="M7" s="760"/>
    </row>
    <row r="8" spans="1:15" ht="84.75" customHeight="1" x14ac:dyDescent="0.25">
      <c r="A8" s="160"/>
      <c r="B8" s="161" t="s">
        <v>146</v>
      </c>
      <c r="C8" s="162" t="s">
        <v>149</v>
      </c>
      <c r="D8" s="163" t="s">
        <v>9</v>
      </c>
      <c r="E8" s="164">
        <f>E9+E10+E11+E12+E13+E14</f>
        <v>24031.141000000003</v>
      </c>
      <c r="F8" s="165">
        <f t="shared" ref="F8:F15" si="0">SUM(G8:K8)</f>
        <v>126900.01100000001</v>
      </c>
      <c r="G8" s="164">
        <f>G9+G10+G11+G12+G13+G14+G15</f>
        <v>27498.839</v>
      </c>
      <c r="H8" s="372">
        <f t="shared" ref="H8:K8" si="1">H9+H10+H11+H12+H13+H14</f>
        <v>24850.293000000001</v>
      </c>
      <c r="I8" s="164">
        <f>I9+I10+I11+I12+I13+I14</f>
        <v>24850.293000000001</v>
      </c>
      <c r="J8" s="164">
        <f t="shared" si="1"/>
        <v>24850.293000000001</v>
      </c>
      <c r="K8" s="164">
        <f t="shared" si="1"/>
        <v>24850.293000000001</v>
      </c>
      <c r="L8" s="265"/>
      <c r="M8" s="166"/>
    </row>
    <row r="9" spans="1:15" ht="105" customHeight="1" x14ac:dyDescent="0.25">
      <c r="A9" s="167" t="s">
        <v>93</v>
      </c>
      <c r="B9" s="168" t="s">
        <v>76</v>
      </c>
      <c r="C9" s="266" t="s">
        <v>149</v>
      </c>
      <c r="D9" s="154" t="s">
        <v>32</v>
      </c>
      <c r="E9" s="169">
        <f>15799.6+68.618+20.723</f>
        <v>15888.941000000001</v>
      </c>
      <c r="F9" s="170">
        <f t="shared" si="0"/>
        <v>83884.759000000005</v>
      </c>
      <c r="G9" s="169">
        <v>17440.667000000001</v>
      </c>
      <c r="H9" s="373">
        <v>16611.023000000001</v>
      </c>
      <c r="I9" s="169">
        <v>16611.023000000001</v>
      </c>
      <c r="J9" s="169">
        <v>16611.023000000001</v>
      </c>
      <c r="K9" s="169">
        <v>16611.023000000001</v>
      </c>
      <c r="L9" s="267" t="s">
        <v>11</v>
      </c>
      <c r="M9" s="268" t="s">
        <v>80</v>
      </c>
    </row>
    <row r="10" spans="1:15" ht="93.75" customHeight="1" x14ac:dyDescent="0.25">
      <c r="A10" s="171" t="s">
        <v>94</v>
      </c>
      <c r="B10" s="172" t="s">
        <v>77</v>
      </c>
      <c r="C10" s="266" t="s">
        <v>149</v>
      </c>
      <c r="D10" s="158" t="s">
        <v>32</v>
      </c>
      <c r="E10" s="173">
        <v>1.2</v>
      </c>
      <c r="F10" s="174">
        <f t="shared" si="0"/>
        <v>1.7520000000000002</v>
      </c>
      <c r="G10" s="173">
        <v>0.67200000000000004</v>
      </c>
      <c r="H10" s="374">
        <v>0.27</v>
      </c>
      <c r="I10" s="173">
        <v>0.27</v>
      </c>
      <c r="J10" s="173">
        <v>0.27</v>
      </c>
      <c r="K10" s="173">
        <v>0.27</v>
      </c>
      <c r="L10" s="269" t="s">
        <v>11</v>
      </c>
      <c r="M10" s="270" t="s">
        <v>80</v>
      </c>
    </row>
    <row r="11" spans="1:15" ht="227.25" customHeight="1" x14ac:dyDescent="0.25">
      <c r="A11" s="271" t="s">
        <v>95</v>
      </c>
      <c r="B11" s="272" t="s">
        <v>78</v>
      </c>
      <c r="C11" s="266" t="s">
        <v>149</v>
      </c>
      <c r="D11" s="158" t="s">
        <v>32</v>
      </c>
      <c r="E11" s="173">
        <f>200-118</f>
        <v>82</v>
      </c>
      <c r="F11" s="174">
        <f t="shared" si="0"/>
        <v>0</v>
      </c>
      <c r="G11" s="173">
        <v>0</v>
      </c>
      <c r="H11" s="374">
        <v>0</v>
      </c>
      <c r="I11" s="173">
        <v>0</v>
      </c>
      <c r="J11" s="173">
        <v>0</v>
      </c>
      <c r="K11" s="173">
        <v>0</v>
      </c>
      <c r="L11" s="269" t="s">
        <v>234</v>
      </c>
      <c r="M11" s="270" t="s">
        <v>33</v>
      </c>
      <c r="N11" s="146"/>
      <c r="O11" s="146"/>
    </row>
    <row r="12" spans="1:15" ht="117.75" customHeight="1" x14ac:dyDescent="0.25">
      <c r="A12" s="273" t="s">
        <v>96</v>
      </c>
      <c r="B12" s="274" t="s">
        <v>90</v>
      </c>
      <c r="C12" s="266" t="s">
        <v>149</v>
      </c>
      <c r="D12" s="248" t="s">
        <v>32</v>
      </c>
      <c r="E12" s="275">
        <v>400</v>
      </c>
      <c r="F12" s="170">
        <f t="shared" si="0"/>
        <v>2000</v>
      </c>
      <c r="G12" s="275">
        <v>400</v>
      </c>
      <c r="H12" s="395">
        <v>400</v>
      </c>
      <c r="I12" s="275">
        <v>400</v>
      </c>
      <c r="J12" s="275">
        <v>400</v>
      </c>
      <c r="K12" s="275">
        <v>400</v>
      </c>
      <c r="L12" s="269" t="s">
        <v>234</v>
      </c>
      <c r="M12" s="268" t="s">
        <v>89</v>
      </c>
      <c r="N12" s="119"/>
      <c r="O12" s="119"/>
    </row>
    <row r="13" spans="1:15" ht="117" customHeight="1" x14ac:dyDescent="0.25">
      <c r="A13" s="273" t="s">
        <v>97</v>
      </c>
      <c r="B13" s="149" t="s">
        <v>79</v>
      </c>
      <c r="C13" s="266" t="s">
        <v>149</v>
      </c>
      <c r="D13" s="154" t="s">
        <v>32</v>
      </c>
      <c r="E13" s="275">
        <v>2753</v>
      </c>
      <c r="F13" s="170">
        <f t="shared" si="0"/>
        <v>14505</v>
      </c>
      <c r="G13" s="275">
        <v>2773</v>
      </c>
      <c r="H13" s="395">
        <v>2933</v>
      </c>
      <c r="I13" s="275">
        <v>2933</v>
      </c>
      <c r="J13" s="275">
        <v>2933</v>
      </c>
      <c r="K13" s="275">
        <v>2933</v>
      </c>
      <c r="L13" s="269" t="s">
        <v>234</v>
      </c>
      <c r="M13" s="268" t="s">
        <v>235</v>
      </c>
    </row>
    <row r="14" spans="1:15" ht="151.5" customHeight="1" x14ac:dyDescent="0.25">
      <c r="A14" s="273" t="s">
        <v>98</v>
      </c>
      <c r="B14" s="276" t="s">
        <v>87</v>
      </c>
      <c r="C14" s="266" t="s">
        <v>149</v>
      </c>
      <c r="D14" s="154" t="s">
        <v>32</v>
      </c>
      <c r="E14" s="275">
        <f>4626+118+162</f>
        <v>4906</v>
      </c>
      <c r="F14" s="170">
        <f t="shared" si="0"/>
        <v>24530</v>
      </c>
      <c r="G14" s="151">
        <v>4906</v>
      </c>
      <c r="H14" s="371">
        <v>4906</v>
      </c>
      <c r="I14" s="151">
        <v>4906</v>
      </c>
      <c r="J14" s="151">
        <v>4906</v>
      </c>
      <c r="K14" s="151">
        <v>4906</v>
      </c>
      <c r="L14" s="269" t="s">
        <v>234</v>
      </c>
      <c r="M14" s="268" t="s">
        <v>173</v>
      </c>
    </row>
    <row r="15" spans="1:15" ht="123" customHeight="1" x14ac:dyDescent="0.25">
      <c r="A15" s="225" t="s">
        <v>99</v>
      </c>
      <c r="B15" s="78" t="s">
        <v>187</v>
      </c>
      <c r="C15" s="266" t="s">
        <v>149</v>
      </c>
      <c r="D15" s="154" t="s">
        <v>32</v>
      </c>
      <c r="E15" s="151">
        <v>0</v>
      </c>
      <c r="F15" s="170">
        <f t="shared" si="0"/>
        <v>1978.5</v>
      </c>
      <c r="G15" s="151">
        <v>1978.5</v>
      </c>
      <c r="H15" s="371">
        <v>0</v>
      </c>
      <c r="I15" s="151">
        <v>0</v>
      </c>
      <c r="J15" s="151">
        <v>0</v>
      </c>
      <c r="K15" s="151">
        <v>0</v>
      </c>
      <c r="L15" s="269" t="s">
        <v>234</v>
      </c>
      <c r="M15" s="277" t="s">
        <v>236</v>
      </c>
    </row>
    <row r="16" spans="1:15" ht="36.75" customHeight="1" x14ac:dyDescent="0.25">
      <c r="A16" s="770"/>
      <c r="B16" s="773" t="s">
        <v>178</v>
      </c>
      <c r="C16" s="773" t="s">
        <v>149</v>
      </c>
      <c r="D16" s="163" t="s">
        <v>10</v>
      </c>
      <c r="E16" s="278">
        <f t="shared" ref="E16:J16" si="2">SUM(E17:E18)</f>
        <v>279825.12</v>
      </c>
      <c r="F16" s="279">
        <f t="shared" ref="F16:F27" si="3">SUM(G16:K16)</f>
        <v>832006.09499999997</v>
      </c>
      <c r="G16" s="278">
        <f t="shared" si="2"/>
        <v>244345.209</v>
      </c>
      <c r="H16" s="396">
        <f t="shared" si="2"/>
        <v>273416.049</v>
      </c>
      <c r="I16" s="278">
        <f t="shared" si="2"/>
        <v>104748.27899999999</v>
      </c>
      <c r="J16" s="278">
        <f t="shared" si="2"/>
        <v>104748.27899999999</v>
      </c>
      <c r="K16" s="278">
        <f>SUM(K17:K18)</f>
        <v>104748.27899999999</v>
      </c>
      <c r="L16" s="748"/>
      <c r="M16" s="743"/>
    </row>
    <row r="17" spans="1:18" ht="64.5" customHeight="1" x14ac:dyDescent="0.25">
      <c r="A17" s="771"/>
      <c r="B17" s="774"/>
      <c r="C17" s="774"/>
      <c r="D17" s="163" t="s">
        <v>9</v>
      </c>
      <c r="E17" s="280">
        <f>E19+E20+E21+E23+E24+E27</f>
        <v>93145.973999999987</v>
      </c>
      <c r="F17" s="279">
        <f t="shared" si="3"/>
        <v>790978.02499999991</v>
      </c>
      <c r="G17" s="280">
        <f t="shared" ref="G17:K17" si="4">G19+G20+G21+G23+G24+G27</f>
        <v>206317.139</v>
      </c>
      <c r="H17" s="397">
        <f>H19+H20+H21+H23+H24+H27</f>
        <v>270416.049</v>
      </c>
      <c r="I17" s="280">
        <f>I19+I20+I21+I23+I24+I27</f>
        <v>104748.27899999999</v>
      </c>
      <c r="J17" s="280">
        <f t="shared" si="4"/>
        <v>104748.27899999999</v>
      </c>
      <c r="K17" s="280">
        <f t="shared" si="4"/>
        <v>104748.27899999999</v>
      </c>
      <c r="L17" s="749"/>
      <c r="M17" s="744"/>
    </row>
    <row r="18" spans="1:18" ht="123" customHeight="1" x14ac:dyDescent="0.25">
      <c r="A18" s="772"/>
      <c r="B18" s="775"/>
      <c r="C18" s="775"/>
      <c r="D18" s="17" t="s">
        <v>91</v>
      </c>
      <c r="E18" s="280">
        <f t="shared" ref="E18:H18" si="5">E26</f>
        <v>186679.14600000001</v>
      </c>
      <c r="F18" s="279">
        <f t="shared" si="3"/>
        <v>41028.07</v>
      </c>
      <c r="G18" s="280">
        <f t="shared" si="5"/>
        <v>38028.07</v>
      </c>
      <c r="H18" s="397">
        <f t="shared" si="5"/>
        <v>3000</v>
      </c>
      <c r="I18" s="280">
        <f>I26+I22</f>
        <v>0</v>
      </c>
      <c r="J18" s="280">
        <f t="shared" ref="J18:K18" si="6">J26</f>
        <v>0</v>
      </c>
      <c r="K18" s="280">
        <f t="shared" si="6"/>
        <v>0</v>
      </c>
      <c r="L18" s="750"/>
      <c r="M18" s="745"/>
    </row>
    <row r="19" spans="1:18" ht="80.25" customHeight="1" x14ac:dyDescent="0.25">
      <c r="A19" s="281" t="s">
        <v>111</v>
      </c>
      <c r="B19" s="282" t="s">
        <v>128</v>
      </c>
      <c r="C19" s="266" t="s">
        <v>149</v>
      </c>
      <c r="D19" s="283" t="s">
        <v>35</v>
      </c>
      <c r="E19" s="284">
        <v>59593.555999999997</v>
      </c>
      <c r="F19" s="285">
        <f t="shared" si="3"/>
        <v>311156.61699999997</v>
      </c>
      <c r="G19" s="284">
        <v>62202.173000000003</v>
      </c>
      <c r="H19" s="398">
        <v>62238.610999999997</v>
      </c>
      <c r="I19" s="284">
        <v>62238.610999999997</v>
      </c>
      <c r="J19" s="284">
        <v>62238.610999999997</v>
      </c>
      <c r="K19" s="284">
        <v>62238.610999999997</v>
      </c>
      <c r="L19" s="286" t="s">
        <v>11</v>
      </c>
      <c r="M19" s="287" t="s">
        <v>36</v>
      </c>
      <c r="O19" s="119"/>
      <c r="P19" s="119"/>
      <c r="Q19" s="119"/>
      <c r="R19" s="119"/>
    </row>
    <row r="20" spans="1:18" ht="98.25" customHeight="1" x14ac:dyDescent="0.25">
      <c r="A20" s="281" t="s">
        <v>112</v>
      </c>
      <c r="B20" s="288" t="s">
        <v>174</v>
      </c>
      <c r="C20" s="266" t="s">
        <v>149</v>
      </c>
      <c r="D20" s="283" t="s">
        <v>35</v>
      </c>
      <c r="E20" s="284">
        <v>27783.599999999999</v>
      </c>
      <c r="F20" s="285">
        <f t="shared" si="3"/>
        <v>207678.34400000001</v>
      </c>
      <c r="G20" s="284">
        <v>37639.671999999999</v>
      </c>
      <c r="H20" s="398">
        <v>42509.667999999998</v>
      </c>
      <c r="I20" s="284">
        <v>42509.667999999998</v>
      </c>
      <c r="J20" s="284">
        <v>42509.667999999998</v>
      </c>
      <c r="K20" s="284">
        <v>42509.667999999998</v>
      </c>
      <c r="L20" s="289" t="s">
        <v>237</v>
      </c>
      <c r="M20" s="290" t="s">
        <v>130</v>
      </c>
      <c r="O20" s="119"/>
      <c r="P20" s="119"/>
      <c r="Q20" s="119"/>
    </row>
    <row r="21" spans="1:18" ht="68.25" customHeight="1" x14ac:dyDescent="0.25">
      <c r="A21" s="763" t="s">
        <v>113</v>
      </c>
      <c r="B21" s="766" t="s">
        <v>208</v>
      </c>
      <c r="C21" s="671" t="s">
        <v>149</v>
      </c>
      <c r="D21" s="283" t="s">
        <v>35</v>
      </c>
      <c r="E21" s="284">
        <v>4185.8180000000002</v>
      </c>
      <c r="F21" s="285">
        <f t="shared" si="3"/>
        <v>441</v>
      </c>
      <c r="G21" s="284">
        <v>0</v>
      </c>
      <c r="H21" s="398">
        <v>441</v>
      </c>
      <c r="I21" s="284">
        <v>0</v>
      </c>
      <c r="J21" s="284">
        <v>0</v>
      </c>
      <c r="K21" s="284">
        <v>0</v>
      </c>
      <c r="L21" s="776" t="s">
        <v>238</v>
      </c>
      <c r="M21" s="778" t="s">
        <v>37</v>
      </c>
    </row>
    <row r="22" spans="1:18" ht="129.75" customHeight="1" x14ac:dyDescent="0.25">
      <c r="A22" s="765"/>
      <c r="B22" s="768"/>
      <c r="C22" s="672"/>
      <c r="D22" s="283" t="s">
        <v>91</v>
      </c>
      <c r="E22" s="284">
        <v>0</v>
      </c>
      <c r="F22" s="285">
        <f t="shared" si="3"/>
        <v>0</v>
      </c>
      <c r="G22" s="284">
        <v>0</v>
      </c>
      <c r="H22" s="398">
        <v>0</v>
      </c>
      <c r="I22" s="284">
        <f>12980-12980</f>
        <v>0</v>
      </c>
      <c r="J22" s="284">
        <v>0</v>
      </c>
      <c r="K22" s="284">
        <v>0</v>
      </c>
      <c r="L22" s="777"/>
      <c r="M22" s="779"/>
    </row>
    <row r="23" spans="1:18" ht="93" customHeight="1" x14ac:dyDescent="0.25">
      <c r="A23" s="291" t="s">
        <v>114</v>
      </c>
      <c r="B23" s="292" t="s">
        <v>175</v>
      </c>
      <c r="C23" s="266" t="s">
        <v>149</v>
      </c>
      <c r="D23" s="283" t="s">
        <v>35</v>
      </c>
      <c r="E23" s="284">
        <v>368</v>
      </c>
      <c r="F23" s="285">
        <f t="shared" si="3"/>
        <v>370.30500000000001</v>
      </c>
      <c r="G23" s="284">
        <v>370.30500000000001</v>
      </c>
      <c r="H23" s="398">
        <v>0</v>
      </c>
      <c r="I23" s="284">
        <v>0</v>
      </c>
      <c r="J23" s="284">
        <v>0</v>
      </c>
      <c r="K23" s="284">
        <v>0</v>
      </c>
      <c r="L23" s="286" t="s">
        <v>239</v>
      </c>
      <c r="M23" s="293" t="s">
        <v>38</v>
      </c>
    </row>
    <row r="24" spans="1:18" ht="60.75" customHeight="1" x14ac:dyDescent="0.25">
      <c r="A24" s="763" t="s">
        <v>115</v>
      </c>
      <c r="B24" s="766" t="s">
        <v>176</v>
      </c>
      <c r="C24" s="671" t="s">
        <v>149</v>
      </c>
      <c r="D24" s="283" t="s">
        <v>35</v>
      </c>
      <c r="E24" s="284">
        <v>1065</v>
      </c>
      <c r="F24" s="285">
        <f t="shared" si="3"/>
        <v>271331.75899999996</v>
      </c>
      <c r="G24" s="284">
        <f>765.545+105339.444</f>
        <v>106104.989</v>
      </c>
      <c r="H24" s="398">
        <v>165226.76999999999</v>
      </c>
      <c r="I24" s="284">
        <v>0</v>
      </c>
      <c r="J24" s="284">
        <v>0</v>
      </c>
      <c r="K24" s="284">
        <v>0</v>
      </c>
      <c r="L24" s="776" t="s">
        <v>240</v>
      </c>
      <c r="M24" s="784" t="s">
        <v>241</v>
      </c>
    </row>
    <row r="25" spans="1:18" ht="93.75" x14ac:dyDescent="0.25">
      <c r="A25" s="764"/>
      <c r="B25" s="767"/>
      <c r="C25" s="769"/>
      <c r="D25" s="283" t="s">
        <v>317</v>
      </c>
      <c r="E25" s="284">
        <v>0</v>
      </c>
      <c r="F25" s="285">
        <f t="shared" si="3"/>
        <v>165226.76999999999</v>
      </c>
      <c r="G25" s="284">
        <v>0</v>
      </c>
      <c r="H25" s="398">
        <v>165226.76999999999</v>
      </c>
      <c r="I25" s="284">
        <v>0</v>
      </c>
      <c r="J25" s="284">
        <v>0</v>
      </c>
      <c r="K25" s="284">
        <v>0</v>
      </c>
      <c r="L25" s="783"/>
      <c r="M25" s="785"/>
    </row>
    <row r="26" spans="1:18" ht="119.25" customHeight="1" x14ac:dyDescent="0.25">
      <c r="A26" s="765"/>
      <c r="B26" s="768"/>
      <c r="C26" s="672"/>
      <c r="D26" s="32" t="s">
        <v>91</v>
      </c>
      <c r="E26" s="284">
        <v>186679.14600000001</v>
      </c>
      <c r="F26" s="285">
        <f t="shared" si="3"/>
        <v>41028.07</v>
      </c>
      <c r="G26" s="284">
        <v>38028.07</v>
      </c>
      <c r="H26" s="398">
        <v>3000</v>
      </c>
      <c r="I26" s="284">
        <v>0</v>
      </c>
      <c r="J26" s="284">
        <v>0</v>
      </c>
      <c r="K26" s="284">
        <v>0</v>
      </c>
      <c r="L26" s="777"/>
      <c r="M26" s="786"/>
    </row>
    <row r="27" spans="1:18" ht="93.75" x14ac:dyDescent="0.25">
      <c r="A27" s="291" t="s">
        <v>116</v>
      </c>
      <c r="B27" s="292" t="s">
        <v>177</v>
      </c>
      <c r="C27" s="283" t="s">
        <v>149</v>
      </c>
      <c r="D27" s="283" t="s">
        <v>35</v>
      </c>
      <c r="E27" s="284">
        <v>150</v>
      </c>
      <c r="F27" s="285">
        <f t="shared" si="3"/>
        <v>0</v>
      </c>
      <c r="G27" s="284">
        <v>0</v>
      </c>
      <c r="H27" s="398">
        <v>0</v>
      </c>
      <c r="I27" s="284">
        <v>0</v>
      </c>
      <c r="J27" s="284">
        <v>0</v>
      </c>
      <c r="K27" s="284">
        <v>0</v>
      </c>
      <c r="L27" s="286" t="s">
        <v>239</v>
      </c>
      <c r="M27" s="287" t="s">
        <v>131</v>
      </c>
      <c r="O27" s="146"/>
      <c r="P27" s="146"/>
      <c r="Q27" s="146"/>
      <c r="R27" s="146"/>
    </row>
    <row r="28" spans="1:18" ht="18.75" x14ac:dyDescent="0.25">
      <c r="A28" s="787" t="s">
        <v>59</v>
      </c>
      <c r="B28" s="595"/>
      <c r="C28" s="595"/>
      <c r="D28" s="595"/>
      <c r="E28" s="202">
        <f>SUM(E29:E31)-E30</f>
        <v>303856.261</v>
      </c>
      <c r="F28" s="202">
        <f t="shared" ref="F28:K28" si="7">SUM(F29:F31)-F30</f>
        <v>958906.10600000015</v>
      </c>
      <c r="G28" s="202">
        <f t="shared" si="7"/>
        <v>271844.04800000001</v>
      </c>
      <c r="H28" s="382">
        <f t="shared" si="7"/>
        <v>298266.34199999995</v>
      </c>
      <c r="I28" s="202">
        <f t="shared" si="7"/>
        <v>129598.572</v>
      </c>
      <c r="J28" s="202">
        <f t="shared" si="7"/>
        <v>129598.572</v>
      </c>
      <c r="K28" s="202">
        <f t="shared" si="7"/>
        <v>129598.572</v>
      </c>
      <c r="L28" s="203"/>
      <c r="M28" s="294"/>
    </row>
    <row r="29" spans="1:18" ht="18.75" x14ac:dyDescent="0.25">
      <c r="A29" s="782" t="s">
        <v>9</v>
      </c>
      <c r="B29" s="593"/>
      <c r="C29" s="593"/>
      <c r="D29" s="593"/>
      <c r="E29" s="205">
        <f>E8+E17</f>
        <v>117177.11499999999</v>
      </c>
      <c r="F29" s="253">
        <f t="shared" ref="F29:F31" si="8">SUM(G29:K29)</f>
        <v>917878.0360000002</v>
      </c>
      <c r="G29" s="205">
        <f>G8+G17</f>
        <v>233815.978</v>
      </c>
      <c r="H29" s="383">
        <f>H8+H17</f>
        <v>295266.342</v>
      </c>
      <c r="I29" s="205">
        <f>I8+I17</f>
        <v>129598.572</v>
      </c>
      <c r="J29" s="205">
        <f>J8+J17</f>
        <v>129598.572</v>
      </c>
      <c r="K29" s="205">
        <f>K8+K17</f>
        <v>129598.572</v>
      </c>
      <c r="L29" s="206"/>
      <c r="M29" s="295"/>
    </row>
    <row r="30" spans="1:18" ht="18.75" x14ac:dyDescent="0.25">
      <c r="A30" s="782" t="s">
        <v>317</v>
      </c>
      <c r="B30" s="593"/>
      <c r="C30" s="593"/>
      <c r="D30" s="593"/>
      <c r="E30" s="205">
        <v>0</v>
      </c>
      <c r="F30" s="253">
        <f t="shared" si="8"/>
        <v>165226.76999999999</v>
      </c>
      <c r="G30" s="205">
        <v>0</v>
      </c>
      <c r="H30" s="383">
        <f>H25</f>
        <v>165226.76999999999</v>
      </c>
      <c r="I30" s="205">
        <v>0</v>
      </c>
      <c r="J30" s="205">
        <v>0</v>
      </c>
      <c r="K30" s="205">
        <v>0</v>
      </c>
      <c r="L30" s="206"/>
      <c r="M30" s="295"/>
    </row>
    <row r="31" spans="1:18" ht="41.25" customHeight="1" thickBot="1" x14ac:dyDescent="0.35">
      <c r="A31" s="780" t="s">
        <v>91</v>
      </c>
      <c r="B31" s="781"/>
      <c r="C31" s="781"/>
      <c r="D31" s="781"/>
      <c r="E31" s="296">
        <f>E18</f>
        <v>186679.14600000001</v>
      </c>
      <c r="F31" s="259">
        <f t="shared" si="8"/>
        <v>41028.07</v>
      </c>
      <c r="G31" s="296">
        <f>G18</f>
        <v>38028.07</v>
      </c>
      <c r="H31" s="399">
        <f>H18</f>
        <v>3000</v>
      </c>
      <c r="I31" s="296">
        <f>I18</f>
        <v>0</v>
      </c>
      <c r="J31" s="296">
        <f>J18</f>
        <v>0</v>
      </c>
      <c r="K31" s="296">
        <f>K18</f>
        <v>0</v>
      </c>
      <c r="L31" s="260"/>
      <c r="M31" s="261"/>
      <c r="P31" s="118"/>
      <c r="Q31" s="118"/>
    </row>
    <row r="32" spans="1:18" ht="15.75" x14ac:dyDescent="0.25">
      <c r="A32" s="297"/>
      <c r="B32" s="297"/>
      <c r="C32" s="298"/>
      <c r="D32" s="298"/>
      <c r="E32" s="298"/>
      <c r="F32" s="299"/>
      <c r="G32" s="300"/>
      <c r="H32" s="301"/>
      <c r="I32" s="302"/>
      <c r="J32" s="302"/>
      <c r="K32" s="302"/>
      <c r="L32" s="297"/>
      <c r="M32" s="297"/>
    </row>
    <row r="33" spans="3:11" ht="15.75" x14ac:dyDescent="0.25">
      <c r="E33" s="118"/>
      <c r="F33" s="214"/>
      <c r="G33" s="118"/>
      <c r="H33" s="303"/>
    </row>
    <row r="34" spans="3:11" ht="15.75" x14ac:dyDescent="0.25">
      <c r="C34" s="100"/>
      <c r="D34" s="100"/>
      <c r="E34" s="100"/>
      <c r="F34" s="304"/>
      <c r="G34" s="100"/>
      <c r="H34" s="305"/>
      <c r="I34" s="305"/>
      <c r="J34" s="100"/>
      <c r="K34" s="100"/>
    </row>
    <row r="35" spans="3:11" x14ac:dyDescent="0.25">
      <c r="E35" s="118"/>
    </row>
    <row r="36" spans="3:11" x14ac:dyDescent="0.25">
      <c r="E36" s="118"/>
      <c r="F36" s="306"/>
      <c r="G36" s="307"/>
      <c r="H36" s="218"/>
      <c r="I36" s="218"/>
      <c r="J36" s="307"/>
      <c r="K36" s="307"/>
    </row>
    <row r="37" spans="3:11" x14ac:dyDescent="0.25">
      <c r="E37" s="118"/>
      <c r="F37" s="306"/>
      <c r="G37" s="307"/>
      <c r="H37" s="218"/>
      <c r="I37" s="216"/>
      <c r="J37" s="118"/>
      <c r="K37" s="118"/>
    </row>
    <row r="38" spans="3:11" x14ac:dyDescent="0.25">
      <c r="E38" s="118"/>
      <c r="F38" s="306"/>
      <c r="G38" s="307"/>
      <c r="H38" s="218"/>
      <c r="I38" s="218"/>
      <c r="J38" s="307"/>
      <c r="K38" s="307"/>
    </row>
    <row r="39" spans="3:11" x14ac:dyDescent="0.25">
      <c r="E39" s="307"/>
      <c r="F39" s="306"/>
      <c r="G39" s="307"/>
      <c r="H39" s="218"/>
      <c r="I39" s="218"/>
      <c r="J39" s="307"/>
      <c r="K39" s="307"/>
    </row>
    <row r="40" spans="3:11" x14ac:dyDescent="0.25">
      <c r="F40" s="306"/>
      <c r="G40" s="307"/>
    </row>
    <row r="41" spans="3:11" x14ac:dyDescent="0.25">
      <c r="E41" s="307"/>
      <c r="F41" s="306"/>
      <c r="G41" s="307"/>
      <c r="H41" s="218"/>
      <c r="I41" s="218"/>
      <c r="J41" s="307"/>
      <c r="K41" s="307"/>
    </row>
    <row r="42" spans="3:11" x14ac:dyDescent="0.25">
      <c r="E42" s="307"/>
      <c r="F42" s="306"/>
      <c r="G42" s="307"/>
      <c r="H42" s="218"/>
      <c r="I42" s="218"/>
      <c r="J42" s="307"/>
      <c r="K42" s="307"/>
    </row>
    <row r="43" spans="3:11" x14ac:dyDescent="0.25">
      <c r="F43" s="306"/>
      <c r="G43" s="307"/>
      <c r="H43" s="218"/>
    </row>
    <row r="45" spans="3:11" x14ac:dyDescent="0.25">
      <c r="F45" s="306"/>
      <c r="G45" s="307"/>
      <c r="H45" s="218"/>
      <c r="I45" s="218"/>
      <c r="J45" s="307"/>
      <c r="K45" s="307"/>
    </row>
    <row r="46" spans="3:11" x14ac:dyDescent="0.25">
      <c r="F46" s="306"/>
      <c r="G46" s="307"/>
      <c r="H46" s="218"/>
      <c r="I46" s="218"/>
      <c r="J46" s="307"/>
      <c r="K46" s="307"/>
    </row>
    <row r="47" spans="3:11" x14ac:dyDescent="0.25">
      <c r="F47" s="214"/>
      <c r="G47" s="118"/>
      <c r="H47" s="216"/>
      <c r="I47" s="216"/>
      <c r="J47" s="118"/>
      <c r="K47" s="118"/>
    </row>
  </sheetData>
  <mergeCells count="30">
    <mergeCell ref="L21:L22"/>
    <mergeCell ref="M21:M22"/>
    <mergeCell ref="A31:D31"/>
    <mergeCell ref="A29:D29"/>
    <mergeCell ref="L24:L26"/>
    <mergeCell ref="M24:M26"/>
    <mergeCell ref="A28:D28"/>
    <mergeCell ref="A30:D30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3"/>
  <sheetViews>
    <sheetView view="pageBreakPreview" zoomScale="70" zoomScaleNormal="70" zoomScaleSheetLayoutView="70" workbookViewId="0">
      <pane xSplit="2" ySplit="7" topLeftCell="D17" activePane="bottomRight" state="frozen"/>
      <selection activeCell="H33" sqref="H33"/>
      <selection pane="topRight" activeCell="H33" sqref="H33"/>
      <selection pane="bottomLeft" activeCell="H33" sqref="H33"/>
      <selection pane="bottomRight" activeCell="M13" sqref="M13:M14"/>
    </sheetView>
  </sheetViews>
  <sheetFormatPr defaultRowHeight="15" x14ac:dyDescent="0.25"/>
  <cols>
    <col min="1" max="1" width="6.7109375" style="106" customWidth="1"/>
    <col min="2" max="2" width="62.5703125" style="106" customWidth="1"/>
    <col min="3" max="3" width="18.5703125" style="106" customWidth="1"/>
    <col min="4" max="4" width="34.7109375" style="106" customWidth="1"/>
    <col min="5" max="5" width="20.5703125" style="106" customWidth="1"/>
    <col min="6" max="6" width="18.85546875" style="217" customWidth="1"/>
    <col min="7" max="7" width="18.5703125" style="106" customWidth="1"/>
    <col min="8" max="9" width="18" style="215" customWidth="1"/>
    <col min="10" max="11" width="18" style="106" customWidth="1"/>
    <col min="12" max="12" width="28" style="106" customWidth="1"/>
    <col min="13" max="13" width="39.7109375" style="106" customWidth="1"/>
    <col min="14" max="14" width="17.140625" style="106" customWidth="1"/>
    <col min="15" max="16384" width="9.140625" style="106"/>
  </cols>
  <sheetData>
    <row r="1" spans="1:14" ht="15.75" x14ac:dyDescent="0.25">
      <c r="A1" s="4"/>
      <c r="B1" s="5"/>
      <c r="C1" s="6"/>
      <c r="D1" s="5"/>
      <c r="E1" s="5"/>
      <c r="F1" s="105"/>
      <c r="G1" s="5"/>
      <c r="H1" s="7"/>
      <c r="I1" s="7"/>
      <c r="J1" s="8"/>
      <c r="K1" s="8"/>
      <c r="L1" s="8"/>
      <c r="M1" s="8"/>
    </row>
    <row r="2" spans="1:14" ht="15.75" customHeight="1" x14ac:dyDescent="0.25">
      <c r="A2" s="4"/>
      <c r="B2" s="9"/>
      <c r="C2" s="10"/>
      <c r="D2" s="11"/>
      <c r="E2" s="11"/>
      <c r="F2" s="107"/>
      <c r="G2" s="12"/>
      <c r="H2" s="13"/>
      <c r="I2" s="13"/>
      <c r="J2" s="12"/>
      <c r="K2" s="12"/>
      <c r="L2" s="598"/>
      <c r="M2" s="598"/>
    </row>
    <row r="3" spans="1:14" ht="15.75" customHeight="1" thickBot="1" x14ac:dyDescent="0.3">
      <c r="A3" s="4"/>
      <c r="B3" s="9"/>
      <c r="C3" s="10"/>
      <c r="D3" s="11"/>
      <c r="E3" s="11"/>
      <c r="F3" s="107"/>
      <c r="G3" s="12"/>
      <c r="H3" s="13"/>
      <c r="I3" s="13"/>
      <c r="J3" s="12"/>
      <c r="K3" s="12"/>
      <c r="L3" s="108"/>
      <c r="M3" s="108"/>
    </row>
    <row r="4" spans="1:14" ht="29.25" customHeight="1" x14ac:dyDescent="0.25">
      <c r="A4" s="761" t="s">
        <v>1</v>
      </c>
      <c r="B4" s="753" t="s">
        <v>14</v>
      </c>
      <c r="C4" s="753" t="s">
        <v>0</v>
      </c>
      <c r="D4" s="753" t="s">
        <v>15</v>
      </c>
      <c r="E4" s="753" t="s">
        <v>157</v>
      </c>
      <c r="F4" s="751" t="s">
        <v>16</v>
      </c>
      <c r="G4" s="755" t="s">
        <v>49</v>
      </c>
      <c r="H4" s="756"/>
      <c r="I4" s="756"/>
      <c r="J4" s="756"/>
      <c r="K4" s="757"/>
      <c r="L4" s="753" t="s">
        <v>17</v>
      </c>
      <c r="M4" s="746" t="s">
        <v>7</v>
      </c>
    </row>
    <row r="5" spans="1:14" ht="57" customHeight="1" x14ac:dyDescent="0.25">
      <c r="A5" s="762"/>
      <c r="B5" s="754"/>
      <c r="C5" s="812"/>
      <c r="D5" s="754"/>
      <c r="E5" s="754"/>
      <c r="F5" s="752"/>
      <c r="G5" s="263" t="s">
        <v>158</v>
      </c>
      <c r="H5" s="394" t="s">
        <v>47</v>
      </c>
      <c r="I5" s="175" t="s">
        <v>150</v>
      </c>
      <c r="J5" s="263" t="s">
        <v>151</v>
      </c>
      <c r="K5" s="263" t="s">
        <v>152</v>
      </c>
      <c r="L5" s="754"/>
      <c r="M5" s="747"/>
    </row>
    <row r="6" spans="1:14" ht="18.75" x14ac:dyDescent="0.25">
      <c r="A6" s="18" t="s">
        <v>29</v>
      </c>
      <c r="B6" s="19">
        <v>2</v>
      </c>
      <c r="C6" s="19" t="s">
        <v>18</v>
      </c>
      <c r="D6" s="19" t="s">
        <v>137</v>
      </c>
      <c r="E6" s="19" t="s">
        <v>19</v>
      </c>
      <c r="F6" s="20" t="s">
        <v>134</v>
      </c>
      <c r="G6" s="19" t="s">
        <v>20</v>
      </c>
      <c r="H6" s="351" t="s">
        <v>135</v>
      </c>
      <c r="I6" s="19" t="s">
        <v>21</v>
      </c>
      <c r="J6" s="19" t="s">
        <v>22</v>
      </c>
      <c r="K6" s="19" t="s">
        <v>30</v>
      </c>
      <c r="L6" s="19" t="s">
        <v>31</v>
      </c>
      <c r="M6" s="21" t="s">
        <v>50</v>
      </c>
    </row>
    <row r="7" spans="1:14" ht="29.25" customHeight="1" x14ac:dyDescent="0.25">
      <c r="A7" s="264"/>
      <c r="B7" s="758" t="s">
        <v>209</v>
      </c>
      <c r="C7" s="758"/>
      <c r="D7" s="759"/>
      <c r="E7" s="759"/>
      <c r="F7" s="759"/>
      <c r="G7" s="759"/>
      <c r="H7" s="759"/>
      <c r="I7" s="759"/>
      <c r="J7" s="759"/>
      <c r="K7" s="759"/>
      <c r="L7" s="759"/>
      <c r="M7" s="760"/>
    </row>
    <row r="8" spans="1:14" ht="36.75" customHeight="1" x14ac:dyDescent="0.25">
      <c r="A8" s="770"/>
      <c r="B8" s="773" t="s">
        <v>142</v>
      </c>
      <c r="C8" s="773" t="s">
        <v>149</v>
      </c>
      <c r="D8" s="163" t="s">
        <v>10</v>
      </c>
      <c r="E8" s="278">
        <f t="shared" ref="E8:K8" si="0">SUM(E9:E11)</f>
        <v>3430.058</v>
      </c>
      <c r="F8" s="279">
        <f t="shared" si="0"/>
        <v>4022.665</v>
      </c>
      <c r="G8" s="278">
        <f t="shared" si="0"/>
        <v>4022.665</v>
      </c>
      <c r="H8" s="396">
        <f t="shared" si="0"/>
        <v>0</v>
      </c>
      <c r="I8" s="278">
        <f t="shared" si="0"/>
        <v>0</v>
      </c>
      <c r="J8" s="278">
        <f t="shared" si="0"/>
        <v>0</v>
      </c>
      <c r="K8" s="278">
        <f t="shared" si="0"/>
        <v>0</v>
      </c>
      <c r="L8" s="748"/>
      <c r="M8" s="743"/>
    </row>
    <row r="9" spans="1:14" ht="39.75" customHeight="1" x14ac:dyDescent="0.25">
      <c r="A9" s="771"/>
      <c r="B9" s="774"/>
      <c r="C9" s="774"/>
      <c r="D9" s="308" t="s">
        <v>34</v>
      </c>
      <c r="E9" s="309">
        <f>E15</f>
        <v>784</v>
      </c>
      <c r="F9" s="285">
        <f t="shared" ref="F9:F14" si="1">SUM(G9:K9)</f>
        <v>0</v>
      </c>
      <c r="G9" s="309">
        <f t="shared" ref="G9:K9" si="2">G15</f>
        <v>0</v>
      </c>
      <c r="H9" s="400">
        <f t="shared" si="2"/>
        <v>0</v>
      </c>
      <c r="I9" s="309">
        <f t="shared" si="2"/>
        <v>0</v>
      </c>
      <c r="J9" s="309">
        <f t="shared" si="2"/>
        <v>0</v>
      </c>
      <c r="K9" s="309">
        <f t="shared" si="2"/>
        <v>0</v>
      </c>
      <c r="L9" s="749"/>
      <c r="M9" s="744"/>
    </row>
    <row r="10" spans="1:14" ht="61.5" customHeight="1" x14ac:dyDescent="0.25">
      <c r="A10" s="771"/>
      <c r="B10" s="774"/>
      <c r="C10" s="774"/>
      <c r="D10" s="163" t="s">
        <v>9</v>
      </c>
      <c r="E10" s="280">
        <f>E12+E13+E16</f>
        <v>2646.058</v>
      </c>
      <c r="F10" s="285">
        <f t="shared" si="1"/>
        <v>4022.665</v>
      </c>
      <c r="G10" s="280">
        <f>G12+G13+G16</f>
        <v>4022.665</v>
      </c>
      <c r="H10" s="397">
        <f>H12+H13+H16</f>
        <v>0</v>
      </c>
      <c r="I10" s="280">
        <f>I12+I13+I16</f>
        <v>0</v>
      </c>
      <c r="J10" s="280">
        <f>J12+J13+J16</f>
        <v>0</v>
      </c>
      <c r="K10" s="280">
        <f>K12+K13+K16</f>
        <v>0</v>
      </c>
      <c r="L10" s="749"/>
      <c r="M10" s="744"/>
    </row>
    <row r="11" spans="1:14" ht="118.5" customHeight="1" x14ac:dyDescent="0.25">
      <c r="A11" s="771"/>
      <c r="B11" s="774"/>
      <c r="C11" s="774"/>
      <c r="D11" s="163" t="s">
        <v>91</v>
      </c>
      <c r="E11" s="280">
        <f t="shared" ref="E11:K11" si="3">E14</f>
        <v>0</v>
      </c>
      <c r="F11" s="285">
        <f t="shared" si="1"/>
        <v>0</v>
      </c>
      <c r="G11" s="280">
        <f t="shared" si="3"/>
        <v>0</v>
      </c>
      <c r="H11" s="397">
        <f t="shared" si="3"/>
        <v>0</v>
      </c>
      <c r="I11" s="280">
        <f t="shared" si="3"/>
        <v>0</v>
      </c>
      <c r="J11" s="280">
        <f t="shared" si="3"/>
        <v>0</v>
      </c>
      <c r="K11" s="280">
        <f t="shared" si="3"/>
        <v>0</v>
      </c>
      <c r="L11" s="749"/>
      <c r="M11" s="744"/>
    </row>
    <row r="12" spans="1:14" ht="96" customHeight="1" x14ac:dyDescent="0.25">
      <c r="A12" s="310" t="s">
        <v>93</v>
      </c>
      <c r="B12" s="311" t="s">
        <v>210</v>
      </c>
      <c r="C12" s="312" t="s">
        <v>149</v>
      </c>
      <c r="D12" s="150" t="s">
        <v>23</v>
      </c>
      <c r="E12" s="151">
        <v>0</v>
      </c>
      <c r="F12" s="152">
        <f t="shared" si="1"/>
        <v>0</v>
      </c>
      <c r="G12" s="151">
        <v>0</v>
      </c>
      <c r="H12" s="371">
        <v>0</v>
      </c>
      <c r="I12" s="151">
        <v>0</v>
      </c>
      <c r="J12" s="151">
        <v>0</v>
      </c>
      <c r="K12" s="151">
        <v>0</v>
      </c>
      <c r="L12" s="124" t="s">
        <v>11</v>
      </c>
      <c r="M12" s="313" t="s">
        <v>145</v>
      </c>
    </row>
    <row r="13" spans="1:14" ht="56.25" x14ac:dyDescent="0.25">
      <c r="A13" s="808" t="s">
        <v>94</v>
      </c>
      <c r="B13" s="810" t="s">
        <v>287</v>
      </c>
      <c r="C13" s="671" t="s">
        <v>149</v>
      </c>
      <c r="D13" s="150" t="s">
        <v>23</v>
      </c>
      <c r="E13" s="151">
        <f>3921.6-1353.942</f>
        <v>2567.6579999999999</v>
      </c>
      <c r="F13" s="152">
        <f t="shared" si="1"/>
        <v>4022.665</v>
      </c>
      <c r="G13" s="151">
        <f>1353.942+2668.723</f>
        <v>4022.665</v>
      </c>
      <c r="H13" s="371">
        <v>0</v>
      </c>
      <c r="I13" s="151">
        <v>0</v>
      </c>
      <c r="J13" s="151">
        <v>0</v>
      </c>
      <c r="K13" s="151">
        <v>0</v>
      </c>
      <c r="L13" s="788" t="s">
        <v>243</v>
      </c>
      <c r="M13" s="790" t="s">
        <v>242</v>
      </c>
      <c r="N13" s="100"/>
    </row>
    <row r="14" spans="1:14" ht="125.25" customHeight="1" x14ac:dyDescent="0.25">
      <c r="A14" s="809"/>
      <c r="B14" s="811"/>
      <c r="C14" s="672"/>
      <c r="D14" s="32" t="s">
        <v>91</v>
      </c>
      <c r="E14" s="151">
        <v>0</v>
      </c>
      <c r="F14" s="152">
        <f t="shared" si="1"/>
        <v>0</v>
      </c>
      <c r="G14" s="151">
        <v>0</v>
      </c>
      <c r="H14" s="371">
        <v>0</v>
      </c>
      <c r="I14" s="151">
        <v>0</v>
      </c>
      <c r="J14" s="151">
        <v>0</v>
      </c>
      <c r="K14" s="151">
        <v>0</v>
      </c>
      <c r="L14" s="807"/>
      <c r="M14" s="791"/>
      <c r="N14" s="118"/>
    </row>
    <row r="15" spans="1:14" ht="72" customHeight="1" x14ac:dyDescent="0.25">
      <c r="A15" s="799" t="s">
        <v>95</v>
      </c>
      <c r="B15" s="801" t="s">
        <v>211</v>
      </c>
      <c r="C15" s="802" t="s">
        <v>149</v>
      </c>
      <c r="D15" s="150" t="s">
        <v>5</v>
      </c>
      <c r="E15" s="275">
        <v>784</v>
      </c>
      <c r="F15" s="165">
        <f>SUM(G15:K15)</f>
        <v>0</v>
      </c>
      <c r="G15" s="275">
        <v>0</v>
      </c>
      <c r="H15" s="395">
        <v>0</v>
      </c>
      <c r="I15" s="275">
        <v>0</v>
      </c>
      <c r="J15" s="275">
        <v>0</v>
      </c>
      <c r="K15" s="275">
        <v>0</v>
      </c>
      <c r="L15" s="788" t="s">
        <v>144</v>
      </c>
      <c r="M15" s="790" t="s">
        <v>145</v>
      </c>
    </row>
    <row r="16" spans="1:14" ht="84.75" customHeight="1" x14ac:dyDescent="0.25">
      <c r="A16" s="800"/>
      <c r="B16" s="801"/>
      <c r="C16" s="802"/>
      <c r="D16" s="150" t="s">
        <v>23</v>
      </c>
      <c r="E16" s="275">
        <v>78.400000000000006</v>
      </c>
      <c r="F16" s="165">
        <f>SUM(G16:K16)</f>
        <v>0</v>
      </c>
      <c r="G16" s="275">
        <v>0</v>
      </c>
      <c r="H16" s="395">
        <v>0</v>
      </c>
      <c r="I16" s="275">
        <v>0</v>
      </c>
      <c r="J16" s="275">
        <v>0</v>
      </c>
      <c r="K16" s="275">
        <v>0</v>
      </c>
      <c r="L16" s="789"/>
      <c r="M16" s="791"/>
    </row>
    <row r="17" spans="1:17" ht="18.75" x14ac:dyDescent="0.25">
      <c r="A17" s="787" t="s">
        <v>212</v>
      </c>
      <c r="B17" s="595"/>
      <c r="C17" s="595"/>
      <c r="D17" s="595"/>
      <c r="E17" s="202">
        <f t="shared" ref="E17:K17" si="4">SUM(E18:E20)</f>
        <v>3430.058</v>
      </c>
      <c r="F17" s="202">
        <f t="shared" si="4"/>
        <v>4022.665</v>
      </c>
      <c r="G17" s="202">
        <f t="shared" si="4"/>
        <v>4022.665</v>
      </c>
      <c r="H17" s="382">
        <f t="shared" si="4"/>
        <v>0</v>
      </c>
      <c r="I17" s="202">
        <f t="shared" si="4"/>
        <v>0</v>
      </c>
      <c r="J17" s="202">
        <f t="shared" si="4"/>
        <v>0</v>
      </c>
      <c r="K17" s="202">
        <f t="shared" si="4"/>
        <v>0</v>
      </c>
      <c r="L17" s="203"/>
      <c r="M17" s="294"/>
    </row>
    <row r="18" spans="1:17" ht="18.75" x14ac:dyDescent="0.25">
      <c r="A18" s="793" t="s">
        <v>39</v>
      </c>
      <c r="B18" s="794"/>
      <c r="C18" s="794"/>
      <c r="D18" s="794"/>
      <c r="E18" s="314">
        <f>E9</f>
        <v>784</v>
      </c>
      <c r="F18" s="315">
        <f t="shared" ref="F18:F20" si="5">SUM(G18:K18)</f>
        <v>0</v>
      </c>
      <c r="G18" s="314">
        <f t="shared" ref="G18:K20" si="6">G9</f>
        <v>0</v>
      </c>
      <c r="H18" s="401">
        <f t="shared" si="6"/>
        <v>0</v>
      </c>
      <c r="I18" s="316">
        <f t="shared" si="6"/>
        <v>0</v>
      </c>
      <c r="J18" s="314">
        <f t="shared" si="6"/>
        <v>0</v>
      </c>
      <c r="K18" s="314">
        <f t="shared" si="6"/>
        <v>0</v>
      </c>
      <c r="L18" s="317"/>
      <c r="M18" s="318"/>
      <c r="P18" s="118"/>
      <c r="Q18" s="118"/>
    </row>
    <row r="19" spans="1:17" ht="18.75" x14ac:dyDescent="0.25">
      <c r="A19" s="782" t="s">
        <v>9</v>
      </c>
      <c r="B19" s="593"/>
      <c r="C19" s="593"/>
      <c r="D19" s="593"/>
      <c r="E19" s="205">
        <f>E10</f>
        <v>2646.058</v>
      </c>
      <c r="F19" s="315">
        <f t="shared" si="5"/>
        <v>4022.665</v>
      </c>
      <c r="G19" s="205">
        <f t="shared" si="6"/>
        <v>4022.665</v>
      </c>
      <c r="H19" s="383">
        <f t="shared" si="6"/>
        <v>0</v>
      </c>
      <c r="I19" s="205">
        <f t="shared" si="6"/>
        <v>0</v>
      </c>
      <c r="J19" s="205">
        <f t="shared" si="6"/>
        <v>0</v>
      </c>
      <c r="K19" s="205">
        <f t="shared" si="6"/>
        <v>0</v>
      </c>
      <c r="L19" s="206"/>
      <c r="M19" s="295"/>
    </row>
    <row r="20" spans="1:17" ht="38.25" customHeight="1" thickBot="1" x14ac:dyDescent="0.35">
      <c r="A20" s="795" t="s">
        <v>91</v>
      </c>
      <c r="B20" s="796"/>
      <c r="C20" s="796"/>
      <c r="D20" s="796"/>
      <c r="E20" s="99">
        <f>E11</f>
        <v>0</v>
      </c>
      <c r="F20" s="315">
        <f t="shared" si="5"/>
        <v>0</v>
      </c>
      <c r="G20" s="99">
        <f t="shared" si="6"/>
        <v>0</v>
      </c>
      <c r="H20" s="363">
        <f t="shared" si="6"/>
        <v>0</v>
      </c>
      <c r="I20" s="99">
        <f t="shared" si="6"/>
        <v>0</v>
      </c>
      <c r="J20" s="99">
        <f t="shared" si="6"/>
        <v>0</v>
      </c>
      <c r="K20" s="99">
        <f t="shared" si="6"/>
        <v>0</v>
      </c>
      <c r="L20" s="97"/>
      <c r="M20" s="319"/>
      <c r="P20" s="118"/>
      <c r="Q20" s="118"/>
    </row>
    <row r="21" spans="1:17" ht="18.75" x14ac:dyDescent="0.25">
      <c r="A21" s="797" t="s">
        <v>60</v>
      </c>
      <c r="B21" s="798"/>
      <c r="C21" s="798"/>
      <c r="D21" s="798"/>
      <c r="E21" s="320">
        <f>SUM(E22:E28)-E24</f>
        <v>7001462.8399999999</v>
      </c>
      <c r="F21" s="320">
        <f t="shared" ref="F21:K21" si="7">SUM(F22:F28)-F24</f>
        <v>33618132.011</v>
      </c>
      <c r="G21" s="320">
        <f t="shared" si="7"/>
        <v>8938149.1995100006</v>
      </c>
      <c r="H21" s="402">
        <f t="shared" si="7"/>
        <v>8080354.4184900001</v>
      </c>
      <c r="I21" s="320">
        <f t="shared" si="7"/>
        <v>7095418.3109999998</v>
      </c>
      <c r="J21" s="320">
        <f t="shared" si="7"/>
        <v>7095463.3109999998</v>
      </c>
      <c r="K21" s="320">
        <f t="shared" si="7"/>
        <v>2408746.7709999997</v>
      </c>
      <c r="L21" s="321"/>
      <c r="M21" s="322"/>
      <c r="P21" s="118"/>
      <c r="Q21" s="118"/>
    </row>
    <row r="22" spans="1:17" ht="18.75" x14ac:dyDescent="0.25">
      <c r="A22" s="793" t="s">
        <v>39</v>
      </c>
      <c r="B22" s="794"/>
      <c r="C22" s="794"/>
      <c r="D22" s="794"/>
      <c r="E22" s="323">
        <f>'Подпрограмма 1'!E66+'Подпрограмма 2'!E101+'Подпрограмма 3'!E38+'Подпрограмма 5'!E18</f>
        <v>3899175.8</v>
      </c>
      <c r="F22" s="324">
        <f t="shared" ref="F22:F28" si="8">SUM(G22:K22)</f>
        <v>18890683.32</v>
      </c>
      <c r="G22" s="323">
        <f>'Подпрограмма 1'!G66+'Подпрограмма 2'!G101+'Подпрограмма 3'!G38+'Подпрограмма 5'!G18</f>
        <v>4647284.11051</v>
      </c>
      <c r="H22" s="396">
        <f>'Подпрограмма 1'!H66+'Подпрограмма 2'!H101+'Подпрограмма 3'!H38+'Подпрограмма 5'!H18</f>
        <v>4919678.2094899993</v>
      </c>
      <c r="I22" s="323">
        <f>'Подпрограмма 1'!I66+'Подпрограмма 2'!I101+'Подпрограмма 3'!I38+'Подпрограмма 5'!I18</f>
        <v>4661838</v>
      </c>
      <c r="J22" s="323">
        <f>'Подпрограмма 1'!J66+'Подпрограмма 2'!J101+'Подпрограмма 3'!J38+'Подпрограмма 5'!J18</f>
        <v>4661883</v>
      </c>
      <c r="K22" s="323">
        <f>'Подпрограмма 1'!K66+'Подпрограмма 2'!K101+'Подпрограмма 3'!K38+'Подпрограмма 5'!K18</f>
        <v>0</v>
      </c>
      <c r="L22" s="317"/>
      <c r="M22" s="318"/>
      <c r="P22" s="118"/>
      <c r="Q22" s="118"/>
    </row>
    <row r="23" spans="1:17" ht="18.75" x14ac:dyDescent="0.25">
      <c r="A23" s="793" t="s">
        <v>40</v>
      </c>
      <c r="B23" s="794"/>
      <c r="C23" s="794"/>
      <c r="D23" s="794"/>
      <c r="E23" s="323">
        <f>'Подпрограмма 1'!E67+'Подпрограмма 2'!E102+'Подпрограмма 3'!E39+'Подпрограмма 4'!E29+'Подпрограмма 5'!E19</f>
        <v>2065511.7819999999</v>
      </c>
      <c r="F23" s="324">
        <f t="shared" si="8"/>
        <v>11050262.535</v>
      </c>
      <c r="G23" s="323">
        <f>'Подпрограмма 1'!G67+'Подпрограмма 2'!G102+'Подпрограмма 3'!G39+'Подпрограмма 4'!G29+'Подпрограмма 5'!G19</f>
        <v>3364591.4640000002</v>
      </c>
      <c r="H23" s="396">
        <f>'Подпрограмма 1'!H67+'Подпрограмма 2'!H102+'Подпрограмма 3'!H39+'Подпрограмма 4'!H29+'Подпрограмма 5'!H19</f>
        <v>2150641.1090000002</v>
      </c>
      <c r="I23" s="323">
        <f>'Подпрограмма 1'!I67+'Подпрограмма 2'!I102+'Подпрограмма 3'!I39+'Подпрограмма 4'!I29+'Подпрограмма 5'!I19</f>
        <v>1853287.834</v>
      </c>
      <c r="J23" s="323">
        <f>'Подпрограмма 1'!J67+'Подпрограмма 2'!J102+'Подпрограмма 3'!J39+'Подпрограмма 4'!J29+'Подпрограмма 5'!J19</f>
        <v>1853287.834</v>
      </c>
      <c r="K23" s="323">
        <f>'Подпрограмма 1'!K67+'Подпрограмма 2'!K102+'Подпрограмма 3'!K39+'Подпрограмма 4'!K29+'Подпрограмма 5'!K19</f>
        <v>1828454.294</v>
      </c>
      <c r="L23" s="317"/>
      <c r="M23" s="318"/>
      <c r="P23" s="118"/>
      <c r="Q23" s="118"/>
    </row>
    <row r="24" spans="1:17" ht="18.75" x14ac:dyDescent="0.25">
      <c r="A24" s="793" t="s">
        <v>317</v>
      </c>
      <c r="B24" s="794"/>
      <c r="C24" s="794"/>
      <c r="D24" s="794"/>
      <c r="E24" s="323">
        <v>0</v>
      </c>
      <c r="F24" s="324">
        <f t="shared" si="8"/>
        <v>315454</v>
      </c>
      <c r="G24" s="323">
        <v>0</v>
      </c>
      <c r="H24" s="396">
        <f>'Подпрограмма 1'!H68+'Подпрограмма 2'!H103+'Подпрограмма 3'!H40+'Подпрограмма 4'!H30</f>
        <v>315454</v>
      </c>
      <c r="I24" s="323">
        <v>0</v>
      </c>
      <c r="J24" s="323">
        <v>0</v>
      </c>
      <c r="K24" s="323">
        <v>0</v>
      </c>
      <c r="L24" s="317"/>
      <c r="M24" s="318"/>
      <c r="P24" s="118"/>
      <c r="Q24" s="118"/>
    </row>
    <row r="25" spans="1:17" ht="38.25" customHeight="1" x14ac:dyDescent="0.3">
      <c r="A25" s="795" t="s">
        <v>91</v>
      </c>
      <c r="B25" s="796"/>
      <c r="C25" s="796"/>
      <c r="D25" s="796"/>
      <c r="E25" s="23">
        <f>'Подпрограмма 1'!E69+'Подпрограмма 2'!E104+'Подпрограмма 4'!E31+'Подпрограмма 5'!E20</f>
        <v>566448.99100000004</v>
      </c>
      <c r="F25" s="324">
        <f t="shared" si="8"/>
        <v>455271.35800000001</v>
      </c>
      <c r="G25" s="23">
        <f>'Подпрограмма 1'!G69+'Подпрограмма 2'!G104+'Подпрограмма 4'!G31+'Подпрограмма 5'!G20</f>
        <v>95192.994000000006</v>
      </c>
      <c r="H25" s="352">
        <f>'Подпрограмма 1'!H69+'Подпрограмма 2'!H104+'Подпрограмма 4'!H31+'Подпрограмма 5'!H20</f>
        <v>360078.364</v>
      </c>
      <c r="I25" s="23">
        <f>'Подпрограмма 1'!I69+'Подпрограмма 2'!I104+'Подпрограмма 4'!I31+'Подпрограмма 5'!I20</f>
        <v>0</v>
      </c>
      <c r="J25" s="23">
        <f>'Подпрограмма 1'!J69+'Подпрограмма 2'!J104+'Подпрограмма 4'!J31+'Подпрограмма 5'!J20</f>
        <v>0</v>
      </c>
      <c r="K25" s="23">
        <f>'Подпрограмма 1'!K69+'Подпрограмма 2'!K104+'Подпрограмма 4'!K31+'Подпрограмма 5'!K20</f>
        <v>0</v>
      </c>
      <c r="L25" s="97"/>
      <c r="M25" s="319"/>
      <c r="P25" s="118"/>
      <c r="Q25" s="118"/>
    </row>
    <row r="26" spans="1:17" ht="15.75" customHeight="1" x14ac:dyDescent="0.3">
      <c r="A26" s="804" t="s">
        <v>51</v>
      </c>
      <c r="B26" s="805"/>
      <c r="C26" s="805"/>
      <c r="D26" s="805"/>
      <c r="E26" s="23">
        <f>'Подпрограмма 1'!E70+'Подпрограмма 2'!E105+'Подпрограмма 3'!E41</f>
        <v>214394.50400000002</v>
      </c>
      <c r="F26" s="324">
        <f t="shared" si="8"/>
        <v>1380030.5729999999</v>
      </c>
      <c r="G26" s="23">
        <f>'Подпрограмма 1'!G70+'Подпрограмма 2'!G105+'Подпрограмма 3'!G41</f>
        <v>246539.18600000002</v>
      </c>
      <c r="H26" s="352">
        <f>'Подпрограмма 1'!H70+'Подпрограмма 2'!H105+'Подпрограмма 3'!H41</f>
        <v>335621.04099999997</v>
      </c>
      <c r="I26" s="23">
        <f>'Подпрограмма 1'!I70+'Подпрограмма 2'!I105+'Подпрограмма 3'!I41</f>
        <v>265956.78200000001</v>
      </c>
      <c r="J26" s="23">
        <f>'Подпрограмма 1'!J70+'Подпрограмма 2'!J105+'Подпрограмма 3'!J41</f>
        <v>265956.78200000001</v>
      </c>
      <c r="K26" s="23">
        <f>'Подпрограмма 1'!K70+'Подпрограмма 2'!K105+'Подпрограмма 3'!K41</f>
        <v>265956.78200000001</v>
      </c>
      <c r="L26" s="97"/>
      <c r="M26" s="319"/>
      <c r="P26" s="118"/>
      <c r="Q26" s="118"/>
    </row>
    <row r="27" spans="1:17" ht="18.75" x14ac:dyDescent="0.3">
      <c r="A27" s="804" t="s">
        <v>81</v>
      </c>
      <c r="B27" s="805"/>
      <c r="C27" s="805"/>
      <c r="D27" s="805"/>
      <c r="E27" s="23">
        <f>'Подпрограмма 1'!E71+'Подпрограмма 2'!E106</f>
        <v>255931.76300000001</v>
      </c>
      <c r="F27" s="324">
        <f t="shared" si="8"/>
        <v>1553884.2250000001</v>
      </c>
      <c r="G27" s="23">
        <f>'Подпрограмма 1'!G71+'Подпрограмма 2'!G106</f>
        <v>296541.44500000001</v>
      </c>
      <c r="H27" s="352">
        <f>'Подпрограмма 1'!H71+'Подпрограмма 2'!H106</f>
        <v>314335.69500000001</v>
      </c>
      <c r="I27" s="23">
        <f>'Подпрограмма 1'!I71+'Подпрограмма 2'!I106</f>
        <v>314335.69500000001</v>
      </c>
      <c r="J27" s="23">
        <f>'Подпрограмма 1'!J71+'Подпрограмма 2'!J106</f>
        <v>314335.69500000001</v>
      </c>
      <c r="K27" s="23">
        <f>'Подпрограмма 1'!K71+'Подпрограмма 2'!K106</f>
        <v>314335.69500000001</v>
      </c>
      <c r="L27" s="97"/>
      <c r="M27" s="319"/>
      <c r="P27" s="118"/>
      <c r="Q27" s="118"/>
    </row>
    <row r="28" spans="1:17" ht="21.75" customHeight="1" thickBot="1" x14ac:dyDescent="0.35">
      <c r="A28" s="684" t="s">
        <v>4</v>
      </c>
      <c r="B28" s="685"/>
      <c r="C28" s="685"/>
      <c r="D28" s="685"/>
      <c r="E28" s="325">
        <f>'Подпрограмма 2'!E107</f>
        <v>0</v>
      </c>
      <c r="F28" s="326">
        <f t="shared" si="8"/>
        <v>288000</v>
      </c>
      <c r="G28" s="325">
        <f>'Подпрограмма 1'!G72+'Подпрограмма 2'!G107</f>
        <v>288000</v>
      </c>
      <c r="H28" s="403">
        <f>'Подпрограмма 1'!H72+'Подпрограмма 2'!H107</f>
        <v>0</v>
      </c>
      <c r="I28" s="325">
        <f>'Подпрограмма 2'!I107</f>
        <v>0</v>
      </c>
      <c r="J28" s="325">
        <f>'Подпрограмма 2'!J107</f>
        <v>0</v>
      </c>
      <c r="K28" s="325">
        <f>'Подпрограмма 2'!K107</f>
        <v>0</v>
      </c>
      <c r="L28" s="260"/>
      <c r="M28" s="261"/>
      <c r="P28" s="118"/>
      <c r="Q28" s="118"/>
    </row>
    <row r="29" spans="1:17" ht="18" x14ac:dyDescent="0.25">
      <c r="A29" s="327"/>
      <c r="B29" s="328"/>
      <c r="C29" s="328"/>
      <c r="D29" s="328"/>
      <c r="E29" s="328"/>
      <c r="F29" s="328"/>
      <c r="G29" s="329"/>
      <c r="H29" s="329"/>
      <c r="I29" s="329"/>
      <c r="J29" s="329"/>
      <c r="K29" s="329"/>
      <c r="L29" s="327"/>
      <c r="M29" s="330"/>
    </row>
    <row r="30" spans="1:17" ht="18.75" x14ac:dyDescent="0.25">
      <c r="A30" s="331"/>
      <c r="B30" s="332" t="s">
        <v>266</v>
      </c>
      <c r="C30" s="806"/>
      <c r="D30" s="806"/>
      <c r="E30" s="806"/>
      <c r="F30" s="333"/>
      <c r="G30" s="334"/>
      <c r="H30" s="331" t="s">
        <v>322</v>
      </c>
      <c r="I30" s="331"/>
      <c r="J30" s="335"/>
      <c r="K30" s="331"/>
      <c r="L30" s="335"/>
      <c r="M30" s="331"/>
    </row>
    <row r="31" spans="1:17" ht="18.75" x14ac:dyDescent="0.25">
      <c r="A31" s="331"/>
      <c r="B31" s="336"/>
      <c r="C31" s="336"/>
      <c r="D31" s="336"/>
      <c r="E31" s="336"/>
      <c r="F31" s="336"/>
      <c r="G31" s="337"/>
      <c r="H31" s="338"/>
      <c r="I31" s="337"/>
      <c r="J31" s="337"/>
      <c r="K31" s="338"/>
      <c r="L31" s="338"/>
      <c r="M31" s="338"/>
    </row>
    <row r="32" spans="1:17" ht="18.75" x14ac:dyDescent="0.25">
      <c r="A32" s="331"/>
      <c r="B32" s="336"/>
      <c r="C32" s="336"/>
      <c r="D32" s="339"/>
      <c r="E32" s="336"/>
      <c r="F32" s="336"/>
      <c r="G32" s="338"/>
      <c r="H32" s="337"/>
      <c r="I32" s="338"/>
      <c r="J32" s="338"/>
      <c r="K32" s="338"/>
      <c r="L32" s="338"/>
      <c r="M32" s="338"/>
    </row>
    <row r="33" spans="1:13" ht="18.75" x14ac:dyDescent="0.25">
      <c r="A33" s="327"/>
      <c r="B33" s="340" t="s">
        <v>138</v>
      </c>
      <c r="C33" s="340"/>
      <c r="D33" s="340"/>
      <c r="E33" s="340"/>
      <c r="F33" s="333"/>
      <c r="G33" s="334"/>
      <c r="H33" s="792" t="s">
        <v>84</v>
      </c>
      <c r="I33" s="792"/>
      <c r="J33" s="792"/>
      <c r="K33" s="792"/>
      <c r="L33" s="327"/>
      <c r="M33" s="327"/>
    </row>
    <row r="34" spans="1:13" ht="18.75" x14ac:dyDescent="0.25">
      <c r="A34" s="327"/>
      <c r="B34" s="328"/>
      <c r="C34" s="339"/>
      <c r="D34" s="339"/>
      <c r="E34" s="339"/>
      <c r="F34" s="339"/>
      <c r="G34" s="331"/>
      <c r="H34" s="341"/>
      <c r="I34" s="341"/>
      <c r="J34" s="341"/>
      <c r="K34" s="341"/>
      <c r="L34" s="327"/>
      <c r="M34" s="327"/>
    </row>
    <row r="35" spans="1:13" ht="18.75" x14ac:dyDescent="0.25">
      <c r="A35" s="327"/>
      <c r="B35" s="328"/>
      <c r="C35" s="339"/>
      <c r="D35" s="339"/>
      <c r="E35" s="339"/>
      <c r="F35" s="339"/>
      <c r="G35" s="331"/>
      <c r="H35" s="341"/>
      <c r="I35" s="341"/>
      <c r="J35" s="341"/>
      <c r="K35" s="341"/>
      <c r="L35" s="327"/>
      <c r="M35" s="327"/>
    </row>
    <row r="36" spans="1:13" ht="18.75" x14ac:dyDescent="0.25">
      <c r="A36" s="327"/>
      <c r="B36" s="340" t="s">
        <v>85</v>
      </c>
      <c r="C36" s="340"/>
      <c r="D36" s="340"/>
      <c r="E36" s="340"/>
      <c r="F36" s="333"/>
      <c r="G36" s="334"/>
      <c r="H36" s="341" t="s">
        <v>267</v>
      </c>
      <c r="I36" s="341"/>
      <c r="J36" s="341"/>
      <c r="K36" s="341"/>
      <c r="L36" s="327"/>
      <c r="M36" s="327"/>
    </row>
    <row r="37" spans="1:13" ht="18.75" x14ac:dyDescent="0.25">
      <c r="A37" s="327"/>
      <c r="B37" s="336"/>
      <c r="C37" s="336"/>
      <c r="D37" s="336"/>
      <c r="E37" s="336"/>
      <c r="F37" s="336"/>
      <c r="G37" s="331"/>
      <c r="H37" s="341"/>
      <c r="I37" s="341"/>
      <c r="J37" s="341"/>
      <c r="K37" s="341"/>
      <c r="L37" s="327"/>
      <c r="M37" s="327"/>
    </row>
    <row r="38" spans="1:13" ht="18.75" x14ac:dyDescent="0.25">
      <c r="A38" s="327"/>
      <c r="B38" s="328"/>
      <c r="C38" s="339"/>
      <c r="D38" s="339"/>
      <c r="E38" s="339"/>
      <c r="F38" s="339"/>
      <c r="G38" s="331"/>
      <c r="H38" s="342"/>
      <c r="I38" s="341"/>
      <c r="J38" s="341"/>
      <c r="K38" s="341"/>
      <c r="L38" s="327"/>
      <c r="M38" s="327"/>
    </row>
    <row r="39" spans="1:13" ht="15.75" x14ac:dyDescent="0.25">
      <c r="H39" s="343"/>
      <c r="I39" s="343"/>
      <c r="J39" s="344"/>
      <c r="K39" s="344"/>
    </row>
    <row r="40" spans="1:13" ht="15.75" x14ac:dyDescent="0.25">
      <c r="E40" s="118"/>
      <c r="H40" s="343"/>
      <c r="I40" s="343"/>
      <c r="J40" s="803"/>
      <c r="K40" s="803"/>
    </row>
    <row r="41" spans="1:13" ht="15.75" x14ac:dyDescent="0.25">
      <c r="E41" s="118"/>
      <c r="H41" s="303"/>
      <c r="I41" s="303"/>
      <c r="J41" s="344"/>
      <c r="K41" s="344"/>
    </row>
    <row r="42" spans="1:13" ht="15.75" x14ac:dyDescent="0.25">
      <c r="E42" s="118"/>
      <c r="F42" s="214"/>
      <c r="G42" s="118"/>
      <c r="H42" s="303"/>
      <c r="M42" s="118"/>
    </row>
    <row r="43" spans="1:13" ht="15.75" x14ac:dyDescent="0.25">
      <c r="C43" s="100"/>
      <c r="D43" s="100"/>
      <c r="E43" s="345"/>
      <c r="F43" s="104"/>
      <c r="G43" s="345"/>
      <c r="H43" s="103"/>
      <c r="I43" s="103"/>
      <c r="J43" s="345"/>
      <c r="K43" s="345"/>
    </row>
    <row r="44" spans="1:13" ht="15.75" x14ac:dyDescent="0.25">
      <c r="C44" s="100"/>
      <c r="D44" s="100"/>
      <c r="E44" s="345"/>
      <c r="F44" s="104"/>
      <c r="G44" s="345"/>
      <c r="H44" s="103"/>
      <c r="I44" s="103"/>
      <c r="J44" s="345"/>
      <c r="K44" s="345"/>
    </row>
    <row r="45" spans="1:13" ht="15.75" x14ac:dyDescent="0.25">
      <c r="C45" s="100"/>
      <c r="D45" s="100"/>
      <c r="E45" s="345"/>
      <c r="F45" s="104"/>
      <c r="G45" s="345"/>
      <c r="H45" s="103"/>
      <c r="I45" s="103"/>
      <c r="J45" s="345"/>
      <c r="K45" s="345"/>
    </row>
    <row r="46" spans="1:13" ht="15.75" x14ac:dyDescent="0.25">
      <c r="C46" s="100"/>
      <c r="D46" s="100"/>
      <c r="E46" s="345"/>
      <c r="F46" s="104"/>
      <c r="G46" s="345"/>
      <c r="H46" s="103"/>
      <c r="I46" s="103"/>
      <c r="J46" s="345"/>
      <c r="K46" s="345"/>
      <c r="L46" s="345"/>
    </row>
    <row r="47" spans="1:13" ht="15.75" x14ac:dyDescent="0.25">
      <c r="C47" s="100"/>
      <c r="D47" s="100"/>
      <c r="E47" s="345"/>
      <c r="F47" s="104"/>
      <c r="G47" s="345"/>
      <c r="H47" s="103"/>
      <c r="I47" s="103"/>
      <c r="J47" s="345"/>
      <c r="K47" s="345"/>
    </row>
    <row r="48" spans="1:13" ht="15.75" x14ac:dyDescent="0.25">
      <c r="C48" s="100"/>
      <c r="D48" s="100"/>
      <c r="E48" s="345"/>
      <c r="F48" s="104"/>
      <c r="G48" s="345"/>
      <c r="H48" s="103"/>
      <c r="I48" s="103"/>
      <c r="J48" s="345"/>
      <c r="K48" s="345"/>
    </row>
    <row r="49" spans="3:11" ht="15.75" x14ac:dyDescent="0.25">
      <c r="C49" s="100"/>
      <c r="D49" s="100"/>
      <c r="E49" s="100"/>
      <c r="F49" s="304"/>
      <c r="G49" s="100"/>
      <c r="H49" s="305"/>
      <c r="I49" s="305"/>
      <c r="J49" s="100"/>
      <c r="K49" s="100"/>
    </row>
    <row r="50" spans="3:11" ht="15.75" x14ac:dyDescent="0.25">
      <c r="E50" s="118"/>
      <c r="H50" s="103"/>
      <c r="I50" s="103"/>
      <c r="J50" s="346"/>
      <c r="K50" s="346"/>
    </row>
    <row r="51" spans="3:11" ht="15.75" x14ac:dyDescent="0.25">
      <c r="E51" s="118"/>
      <c r="F51" s="306"/>
      <c r="G51" s="307"/>
      <c r="H51" s="103"/>
      <c r="I51" s="103"/>
      <c r="J51" s="345"/>
      <c r="K51" s="307"/>
    </row>
    <row r="52" spans="3:11" ht="15.75" x14ac:dyDescent="0.25">
      <c r="E52" s="118"/>
      <c r="F52" s="306"/>
      <c r="G52" s="307"/>
      <c r="H52" s="103"/>
      <c r="I52" s="103"/>
      <c r="J52" s="346"/>
    </row>
    <row r="53" spans="3:11" x14ac:dyDescent="0.25">
      <c r="E53" s="118"/>
      <c r="F53" s="306"/>
      <c r="G53" s="307"/>
      <c r="H53" s="218"/>
      <c r="I53" s="218"/>
      <c r="J53" s="307"/>
      <c r="K53" s="307"/>
    </row>
    <row r="54" spans="3:11" x14ac:dyDescent="0.25">
      <c r="E54" s="307"/>
      <c r="F54" s="306"/>
      <c r="G54" s="307"/>
      <c r="H54" s="218"/>
      <c r="I54" s="218"/>
      <c r="J54" s="307"/>
      <c r="K54" s="307"/>
    </row>
    <row r="55" spans="3:11" x14ac:dyDescent="0.25">
      <c r="F55" s="306"/>
      <c r="G55" s="307"/>
    </row>
    <row r="56" spans="3:11" x14ac:dyDescent="0.25">
      <c r="E56" s="307"/>
      <c r="F56" s="306"/>
      <c r="G56" s="307"/>
      <c r="H56" s="218"/>
      <c r="I56" s="218"/>
      <c r="J56" s="307"/>
      <c r="K56" s="307"/>
    </row>
    <row r="57" spans="3:11" x14ac:dyDescent="0.25">
      <c r="E57" s="307"/>
      <c r="F57" s="306"/>
      <c r="G57" s="307"/>
      <c r="H57" s="218"/>
      <c r="I57" s="218"/>
      <c r="J57" s="307"/>
      <c r="K57" s="307"/>
    </row>
    <row r="58" spans="3:11" x14ac:dyDescent="0.25">
      <c r="F58" s="306"/>
      <c r="G58" s="307"/>
      <c r="H58" s="218"/>
    </row>
    <row r="59" spans="3:11" x14ac:dyDescent="0.25">
      <c r="G59" s="118"/>
      <c r="H59" s="216"/>
      <c r="I59" s="216"/>
      <c r="J59" s="118"/>
      <c r="K59" s="118"/>
    </row>
    <row r="60" spans="3:11" x14ac:dyDescent="0.25">
      <c r="F60" s="306"/>
      <c r="G60" s="307"/>
      <c r="H60" s="307"/>
      <c r="I60" s="218"/>
      <c r="J60" s="307"/>
      <c r="K60" s="307"/>
    </row>
    <row r="61" spans="3:11" x14ac:dyDescent="0.25">
      <c r="F61" s="306"/>
      <c r="G61" s="307"/>
      <c r="H61" s="218"/>
      <c r="I61" s="216"/>
      <c r="J61" s="307"/>
      <c r="K61" s="307"/>
    </row>
    <row r="62" spans="3:11" x14ac:dyDescent="0.25">
      <c r="F62" s="214"/>
      <c r="G62" s="118"/>
      <c r="H62" s="216"/>
      <c r="I62" s="216"/>
      <c r="J62" s="118"/>
      <c r="K62" s="118"/>
    </row>
    <row r="63" spans="3:11" x14ac:dyDescent="0.25">
      <c r="I63" s="216"/>
      <c r="J63" s="347"/>
      <c r="K63" s="347"/>
    </row>
    <row r="64" spans="3:11" x14ac:dyDescent="0.25">
      <c r="F64" s="214"/>
      <c r="G64" s="118"/>
      <c r="H64" s="216"/>
      <c r="I64" s="216"/>
      <c r="J64" s="118"/>
      <c r="K64" s="118"/>
    </row>
    <row r="65" spans="9:14" x14ac:dyDescent="0.25">
      <c r="I65" s="216"/>
      <c r="M65" s="118"/>
      <c r="N65" s="118"/>
    </row>
    <row r="66" spans="9:14" x14ac:dyDescent="0.25">
      <c r="I66" s="216"/>
    </row>
    <row r="67" spans="9:14" x14ac:dyDescent="0.25">
      <c r="I67" s="216"/>
      <c r="J67" s="118"/>
    </row>
    <row r="68" spans="9:14" x14ac:dyDescent="0.25">
      <c r="I68" s="216"/>
    </row>
    <row r="69" spans="9:14" x14ac:dyDescent="0.25">
      <c r="I69" s="216"/>
    </row>
    <row r="70" spans="9:14" x14ac:dyDescent="0.25">
      <c r="I70" s="216"/>
    </row>
    <row r="72" spans="9:14" x14ac:dyDescent="0.25">
      <c r="I72" s="216"/>
      <c r="J72" s="118"/>
    </row>
    <row r="73" spans="9:14" x14ac:dyDescent="0.25">
      <c r="I73" s="216"/>
    </row>
  </sheetData>
  <mergeCells count="42">
    <mergeCell ref="B7:M7"/>
    <mergeCell ref="L2:M2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L13:L14"/>
    <mergeCell ref="M13:M14"/>
    <mergeCell ref="A8:A11"/>
    <mergeCell ref="B8:B11"/>
    <mergeCell ref="C8:C11"/>
    <mergeCell ref="L8:L11"/>
    <mergeCell ref="M8:M11"/>
    <mergeCell ref="A13:A14"/>
    <mergeCell ref="B13:B14"/>
    <mergeCell ref="C13:C14"/>
    <mergeCell ref="J40:K40"/>
    <mergeCell ref="A25:D25"/>
    <mergeCell ref="A26:D26"/>
    <mergeCell ref="A27:D27"/>
    <mergeCell ref="A28:D28"/>
    <mergeCell ref="C30:E30"/>
    <mergeCell ref="L15:L16"/>
    <mergeCell ref="M15:M16"/>
    <mergeCell ref="H33:I33"/>
    <mergeCell ref="J33:K33"/>
    <mergeCell ref="A22:D22"/>
    <mergeCell ref="A23:D23"/>
    <mergeCell ref="A19:D19"/>
    <mergeCell ref="A20:D20"/>
    <mergeCell ref="A21:D21"/>
    <mergeCell ref="A17:D17"/>
    <mergeCell ref="A18:D18"/>
    <mergeCell ref="A15:A16"/>
    <mergeCell ref="B15:B16"/>
    <mergeCell ref="A24:D24"/>
    <mergeCell ref="C15:C16"/>
  </mergeCells>
  <pageMargins left="0.19685039370078741" right="0.19685039370078741" top="0.19685039370078741" bottom="0.19685039370078741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BeloglazovaEG</dc:creator>
  <cp:lastModifiedBy>Васенькин Сергей Александрович</cp:lastModifiedBy>
  <cp:lastPrinted>2018-04-16T16:00:13Z</cp:lastPrinted>
  <dcterms:created xsi:type="dcterms:W3CDTF">2014-05-07T08:21:43Z</dcterms:created>
  <dcterms:modified xsi:type="dcterms:W3CDTF">2018-07-26T12:48:07Z</dcterms:modified>
</cp:coreProperties>
</file>