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35" activeTab="4"/>
  </bookViews>
  <sheets>
    <sheet name="Подпрограмма 1" sheetId="1" r:id="rId1"/>
    <sheet name="Подпрограмма 2" sheetId="2" r:id="rId2"/>
    <sheet name="Подпрограмма 3" sheetId="3" r:id="rId3"/>
    <sheet name="Подпрограмма 4" sheetId="6" r:id="rId4"/>
    <sheet name="Подпрограмма 5" sheetId="8" r:id="rId5"/>
  </sheets>
  <definedNames>
    <definedName name="_xlnm._FilterDatabase" localSheetId="1" hidden="1">'Подпрограмма 2'!$A$10:$V$108</definedName>
    <definedName name="_xlnm._FilterDatabase" localSheetId="2" hidden="1">'Подпрограмма 3'!$A$9:$U$41</definedName>
    <definedName name="_xlnm.Print_Titles" localSheetId="0">'Подпрограмма 1'!$7:$11</definedName>
    <definedName name="_xlnm.Print_Titles" localSheetId="1">'Подпрограмма 2'!$4:$7</definedName>
    <definedName name="_xlnm.Print_Titles" localSheetId="2">'Подпрограмма 3'!$4:$7</definedName>
    <definedName name="_xlnm.Print_Titles" localSheetId="3">'Подпрограмма 4'!$4:$6</definedName>
    <definedName name="_xlnm.Print_Titles" localSheetId="4">'Подпрограмма 5'!$4:$6</definedName>
    <definedName name="_xlnm.Print_Area" localSheetId="0">'Подпрограмма 1'!$A$1:$M$70</definedName>
    <definedName name="_xlnm.Print_Area" localSheetId="1">'Подпрограмма 2'!$A$1:$M$108</definedName>
    <definedName name="_xlnm.Print_Area" localSheetId="2">'Подпрограмма 3'!$A$1:$M$41</definedName>
    <definedName name="_xlnm.Print_Area" localSheetId="3">'Подпрограмма 4'!$A$1:$M$31</definedName>
    <definedName name="_xlnm.Print_Area" localSheetId="4">'Подпрограмма 5'!$A$4:$M$38</definedName>
  </definedNames>
  <calcPr calcId="145621"/>
</workbook>
</file>

<file path=xl/calcChain.xml><?xml version="1.0" encoding="utf-8"?>
<calcChain xmlns="http://schemas.openxmlformats.org/spreadsheetml/2006/main">
  <c r="E51" i="1" l="1"/>
  <c r="G50" i="1"/>
  <c r="G51" i="1"/>
  <c r="H100" i="2" l="1"/>
  <c r="G56" i="2" l="1"/>
  <c r="H56" i="2"/>
  <c r="H55" i="2" l="1"/>
  <c r="H99" i="2" l="1"/>
  <c r="H55" i="1"/>
  <c r="H19" i="1"/>
  <c r="H36" i="2"/>
  <c r="H29" i="1"/>
  <c r="H26" i="6"/>
  <c r="H33" i="2"/>
  <c r="H21" i="2"/>
  <c r="H44" i="2"/>
  <c r="H57" i="2"/>
  <c r="H31" i="2"/>
  <c r="F32" i="2"/>
  <c r="H19" i="6"/>
  <c r="K15" i="8"/>
  <c r="J15" i="8"/>
  <c r="I15" i="8"/>
  <c r="H15" i="8"/>
  <c r="G15" i="8"/>
  <c r="K16" i="8"/>
  <c r="J16" i="8"/>
  <c r="I16" i="8"/>
  <c r="G16" i="8"/>
  <c r="H16" i="8"/>
  <c r="F20" i="8"/>
  <c r="F19" i="8"/>
  <c r="F18" i="8"/>
  <c r="F17" i="8"/>
  <c r="H45" i="1" l="1"/>
  <c r="H22" i="1"/>
  <c r="H19" i="2"/>
  <c r="H19" i="3" l="1"/>
  <c r="H16" i="3"/>
  <c r="H34" i="2"/>
  <c r="H17" i="2"/>
  <c r="H30" i="1"/>
  <c r="H20" i="1"/>
  <c r="H26" i="2"/>
  <c r="H42" i="1"/>
  <c r="H61" i="2"/>
  <c r="K16" i="1"/>
  <c r="I16" i="1"/>
  <c r="F36" i="1"/>
  <c r="H66" i="2"/>
  <c r="H17" i="1" l="1"/>
  <c r="F16" i="8"/>
  <c r="F15" i="8"/>
  <c r="H30" i="6"/>
  <c r="F30" i="6"/>
  <c r="H40" i="3"/>
  <c r="F40" i="3" s="1"/>
  <c r="H66" i="1"/>
  <c r="F66" i="1" l="1"/>
  <c r="G34" i="2"/>
  <c r="G17" i="2"/>
  <c r="G30" i="1"/>
  <c r="I20" i="1"/>
  <c r="G88" i="2" l="1"/>
  <c r="G75" i="2"/>
  <c r="G74" i="2"/>
  <c r="G50" i="2"/>
  <c r="G33" i="2"/>
  <c r="G29" i="1"/>
  <c r="H53" i="2" l="1"/>
  <c r="F53" i="2" s="1"/>
  <c r="F25" i="6" l="1"/>
  <c r="H47" i="2"/>
  <c r="H104" i="2" s="1"/>
  <c r="F47" i="2"/>
  <c r="F100" i="2"/>
  <c r="F60" i="2"/>
  <c r="F57" i="2"/>
  <c r="F59" i="1"/>
  <c r="F69" i="2"/>
  <c r="F91" i="2"/>
  <c r="F27" i="1"/>
  <c r="F35" i="3"/>
  <c r="F104" i="2" l="1"/>
  <c r="H28" i="8"/>
  <c r="F28" i="8" s="1"/>
  <c r="H33" i="3"/>
  <c r="H11" i="3"/>
  <c r="G11" i="3"/>
  <c r="F26" i="3"/>
  <c r="K78" i="2"/>
  <c r="J78" i="2"/>
  <c r="I78" i="2"/>
  <c r="H78" i="2"/>
  <c r="H77" i="2"/>
  <c r="G77" i="2"/>
  <c r="E80" i="2"/>
  <c r="F95" i="2"/>
  <c r="F96" i="2"/>
  <c r="I13" i="2"/>
  <c r="K13" i="2"/>
  <c r="F72" i="2"/>
  <c r="H51" i="2" l="1"/>
  <c r="H11" i="2" s="1"/>
  <c r="I51" i="2"/>
  <c r="I11" i="2" s="1"/>
  <c r="J51" i="2"/>
  <c r="J11" i="2" s="1"/>
  <c r="K51" i="2"/>
  <c r="K11" i="2" s="1"/>
  <c r="H52" i="2"/>
  <c r="I52" i="2"/>
  <c r="J52" i="2"/>
  <c r="K52" i="2"/>
  <c r="G52" i="2"/>
  <c r="G51" i="2"/>
  <c r="F55" i="2"/>
  <c r="F56" i="2"/>
  <c r="F58" i="2"/>
  <c r="F59" i="2"/>
  <c r="F48" i="2" l="1"/>
  <c r="F26" i="2"/>
  <c r="K51" i="1" l="1"/>
  <c r="J51" i="1"/>
  <c r="I51" i="1"/>
  <c r="H51" i="1"/>
  <c r="K50" i="1"/>
  <c r="J50" i="1"/>
  <c r="I50" i="1"/>
  <c r="G62" i="1"/>
  <c r="F62" i="1" s="1"/>
  <c r="F61" i="1"/>
  <c r="F60" i="1"/>
  <c r="F58" i="1"/>
  <c r="H57" i="1"/>
  <c r="F57" i="1" s="1"/>
  <c r="H15" i="1"/>
  <c r="I15" i="1"/>
  <c r="J15" i="1"/>
  <c r="K15" i="1"/>
  <c r="J20" i="1"/>
  <c r="K20" i="1" s="1"/>
  <c r="H50" i="1" l="1"/>
  <c r="G24" i="6"/>
  <c r="H10" i="3"/>
  <c r="I10" i="3"/>
  <c r="J10" i="3"/>
  <c r="K10" i="3"/>
  <c r="G10" i="3"/>
  <c r="F13" i="3"/>
  <c r="G13" i="2"/>
  <c r="G22" i="2"/>
  <c r="F20" i="2"/>
  <c r="G43" i="1"/>
  <c r="G37" i="1"/>
  <c r="G34" i="1"/>
  <c r="G33" i="1"/>
  <c r="G47" i="1" l="1"/>
  <c r="G16" i="1" s="1"/>
  <c r="G28" i="1"/>
  <c r="G32" i="1"/>
  <c r="G33" i="3"/>
  <c r="G31" i="1"/>
  <c r="G12" i="3" l="1"/>
  <c r="G9" i="3" s="1"/>
  <c r="K17" i="2"/>
  <c r="J17" i="2"/>
  <c r="I17" i="2"/>
  <c r="F15" i="3" l="1"/>
  <c r="K34" i="3" l="1"/>
  <c r="J34" i="3"/>
  <c r="I34" i="3"/>
  <c r="H34" i="3"/>
  <c r="J43" i="1"/>
  <c r="I43" i="1"/>
  <c r="H43" i="1"/>
  <c r="G14" i="2"/>
  <c r="G106" i="2" s="1"/>
  <c r="F89" i="2" l="1"/>
  <c r="G61" i="2" l="1"/>
  <c r="G67" i="2" l="1"/>
  <c r="G42" i="1"/>
  <c r="G14" i="1" s="1"/>
  <c r="G68" i="2"/>
  <c r="G80" i="2" l="1"/>
  <c r="G44" i="2" l="1"/>
  <c r="I77" i="2"/>
  <c r="J77" i="2"/>
  <c r="K77" i="2"/>
  <c r="E77" i="2"/>
  <c r="I102" i="2"/>
  <c r="J102" i="2"/>
  <c r="K102" i="2"/>
  <c r="F51" i="2"/>
  <c r="F99" i="2"/>
  <c r="F98" i="2"/>
  <c r="G42" i="2"/>
  <c r="G35" i="2"/>
  <c r="G11" i="2" s="1"/>
  <c r="H102" i="2" l="1"/>
  <c r="G102" i="2"/>
  <c r="F77" i="2"/>
  <c r="H53" i="1" l="1"/>
  <c r="G53" i="1"/>
  <c r="I70" i="2" l="1"/>
  <c r="H70" i="2"/>
  <c r="G70" i="2"/>
  <c r="G31" i="2"/>
  <c r="G12" i="2" s="1"/>
  <c r="H12" i="2" l="1"/>
  <c r="I12" i="2"/>
  <c r="G13" i="8"/>
  <c r="G10" i="8" s="1"/>
  <c r="G21" i="1" l="1"/>
  <c r="E13" i="2" l="1"/>
  <c r="F71" i="2"/>
  <c r="H54" i="2" l="1"/>
  <c r="H13" i="2" s="1"/>
  <c r="H41" i="1"/>
  <c r="H16" i="1" s="1"/>
  <c r="I86" i="2" l="1"/>
  <c r="H86" i="2"/>
  <c r="G86" i="2"/>
  <c r="H52" i="1"/>
  <c r="G45" i="1"/>
  <c r="G15" i="1" s="1"/>
  <c r="G79" i="2" l="1"/>
  <c r="F70" i="2"/>
  <c r="K67" i="1"/>
  <c r="F47" i="1" l="1"/>
  <c r="E14" i="2" l="1"/>
  <c r="K14" i="2"/>
  <c r="J14" i="2"/>
  <c r="I14" i="2"/>
  <c r="H14" i="2"/>
  <c r="E86" i="2" l="1"/>
  <c r="I79" i="2"/>
  <c r="I76" i="2" s="1"/>
  <c r="E24" i="2"/>
  <c r="E83" i="2" l="1"/>
  <c r="E56" i="1" l="1"/>
  <c r="E50" i="1" s="1"/>
  <c r="I67" i="1" l="1"/>
  <c r="E13" i="8" l="1"/>
  <c r="K108" i="2" l="1"/>
  <c r="J108" i="2"/>
  <c r="I108" i="2"/>
  <c r="I32" i="8" s="1"/>
  <c r="H108" i="2"/>
  <c r="G108" i="2"/>
  <c r="K79" i="2"/>
  <c r="K76" i="2" s="1"/>
  <c r="J79" i="2"/>
  <c r="J76" i="2" s="1"/>
  <c r="E108" i="2"/>
  <c r="E79" i="2"/>
  <c r="E78" i="2"/>
  <c r="F94" i="2"/>
  <c r="F97" i="2"/>
  <c r="K49" i="1"/>
  <c r="H70" i="1" l="1"/>
  <c r="I70" i="1"/>
  <c r="J70" i="1"/>
  <c r="K70" i="1"/>
  <c r="F53" i="1"/>
  <c r="J52" i="1"/>
  <c r="J49" i="1" s="1"/>
  <c r="I52" i="1"/>
  <c r="G52" i="1"/>
  <c r="E53" i="1"/>
  <c r="E70" i="1" s="1"/>
  <c r="E52" i="1"/>
  <c r="H32" i="8" l="1"/>
  <c r="H49" i="1"/>
  <c r="I49" i="1"/>
  <c r="E49" i="1"/>
  <c r="G49" i="1"/>
  <c r="F52" i="1"/>
  <c r="G70" i="1"/>
  <c r="G32" i="8" s="1"/>
  <c r="F70" i="1" l="1"/>
  <c r="E14" i="6"/>
  <c r="E11" i="6"/>
  <c r="E9" i="6"/>
  <c r="E14" i="3" l="1"/>
  <c r="E61" i="2" l="1"/>
  <c r="E11" i="2" s="1"/>
  <c r="E49" i="2"/>
  <c r="E46" i="2"/>
  <c r="E36" i="2"/>
  <c r="E12" i="2" l="1"/>
  <c r="E42" i="1"/>
  <c r="E39" i="1" l="1"/>
  <c r="E35" i="1"/>
  <c r="E29" i="1"/>
  <c r="E16" i="1" l="1"/>
  <c r="F56" i="1"/>
  <c r="F55" i="1"/>
  <c r="F54" i="1"/>
  <c r="E25" i="3" l="1"/>
  <c r="G34" i="3" l="1"/>
  <c r="G9" i="8" l="1"/>
  <c r="H9" i="8"/>
  <c r="I9" i="8"/>
  <c r="J9" i="8"/>
  <c r="K9" i="8"/>
  <c r="E9" i="8"/>
  <c r="G8" i="6"/>
  <c r="E28" i="3"/>
  <c r="H28" i="3"/>
  <c r="I28" i="3"/>
  <c r="J28" i="3"/>
  <c r="K28" i="3"/>
  <c r="G28" i="3"/>
  <c r="F9" i="8" l="1"/>
  <c r="F102" i="2" l="1"/>
  <c r="F75" i="2"/>
  <c r="F74" i="2"/>
  <c r="J73" i="2"/>
  <c r="I73" i="2"/>
  <c r="H73" i="2"/>
  <c r="G73" i="2"/>
  <c r="E73" i="2"/>
  <c r="E102" i="2"/>
  <c r="K73" i="2" l="1"/>
  <c r="F73" i="2" s="1"/>
  <c r="E32" i="8" l="1"/>
  <c r="F15" i="6" l="1"/>
  <c r="E11" i="3" l="1"/>
  <c r="E15" i="1" l="1"/>
  <c r="I65" i="1"/>
  <c r="G65" i="1"/>
  <c r="F50" i="1" l="1"/>
  <c r="F51" i="1"/>
  <c r="F49" i="1" l="1"/>
  <c r="I17" i="6"/>
  <c r="H17" i="6"/>
  <c r="G17" i="6" l="1"/>
  <c r="J17" i="6"/>
  <c r="K17" i="6"/>
  <c r="E17" i="6"/>
  <c r="H8" i="6" l="1"/>
  <c r="J8" i="6"/>
  <c r="K8" i="6"/>
  <c r="E8" i="6"/>
  <c r="J27" i="3" l="1"/>
  <c r="H12" i="3"/>
  <c r="I12" i="3"/>
  <c r="J12" i="3"/>
  <c r="K12" i="3"/>
  <c r="E12" i="3"/>
  <c r="H103" i="2"/>
  <c r="I105" i="2" l="1"/>
  <c r="K105" i="2"/>
  <c r="I27" i="3"/>
  <c r="K27" i="3"/>
  <c r="G27" i="3"/>
  <c r="E27" i="3"/>
  <c r="F28" i="3"/>
  <c r="H27" i="3"/>
  <c r="F11" i="2"/>
  <c r="F12" i="3"/>
  <c r="F80" i="2"/>
  <c r="F27" i="3" l="1"/>
  <c r="H79" i="2"/>
  <c r="H76" i="2" s="1"/>
  <c r="G105" i="2"/>
  <c r="G85" i="2"/>
  <c r="G78" i="2" s="1"/>
  <c r="G76" i="2" l="1"/>
  <c r="F78" i="2"/>
  <c r="G103" i="2"/>
  <c r="E76" i="2"/>
  <c r="E103" i="2"/>
  <c r="H105" i="2"/>
  <c r="E105" i="2"/>
  <c r="F79" i="2"/>
  <c r="F76" i="2" l="1"/>
  <c r="F15" i="1" l="1"/>
  <c r="J41" i="1" l="1"/>
  <c r="J54" i="2"/>
  <c r="J13" i="2" s="1"/>
  <c r="J16" i="1" l="1"/>
  <c r="J67" i="1" s="1"/>
  <c r="F13" i="2"/>
  <c r="J105" i="2"/>
  <c r="F17" i="6"/>
  <c r="F105" i="2" l="1"/>
  <c r="F67" i="2" l="1"/>
  <c r="F68" i="2"/>
  <c r="J10" i="8" l="1"/>
  <c r="K10" i="8"/>
  <c r="E10" i="8"/>
  <c r="I10" i="8"/>
  <c r="I23" i="8" s="1"/>
  <c r="I22" i="6"/>
  <c r="F14" i="8" l="1"/>
  <c r="K11" i="8"/>
  <c r="K24" i="8" s="1"/>
  <c r="J11" i="8"/>
  <c r="J24" i="8" s="1"/>
  <c r="I11" i="8"/>
  <c r="I24" i="8" s="1"/>
  <c r="G11" i="8"/>
  <c r="G24" i="8" s="1"/>
  <c r="E11" i="8"/>
  <c r="E24" i="8" s="1"/>
  <c r="K23" i="8"/>
  <c r="J23" i="8"/>
  <c r="G23" i="8"/>
  <c r="E23" i="8"/>
  <c r="K22" i="8"/>
  <c r="J22" i="8"/>
  <c r="I22" i="8"/>
  <c r="G22" i="8"/>
  <c r="E22" i="8"/>
  <c r="F12" i="8" l="1"/>
  <c r="H10" i="8"/>
  <c r="F13" i="8"/>
  <c r="H22" i="8"/>
  <c r="F22" i="8" s="1"/>
  <c r="G8" i="8"/>
  <c r="K8" i="8"/>
  <c r="E8" i="8"/>
  <c r="H11" i="8"/>
  <c r="H24" i="8" s="1"/>
  <c r="F24" i="8" s="1"/>
  <c r="K21" i="8"/>
  <c r="I8" i="8"/>
  <c r="E21" i="8"/>
  <c r="J21" i="8"/>
  <c r="G21" i="8"/>
  <c r="J8" i="8"/>
  <c r="K32" i="8"/>
  <c r="F10" i="8" l="1"/>
  <c r="H23" i="8"/>
  <c r="I21" i="8"/>
  <c r="F11" i="8"/>
  <c r="H8" i="8"/>
  <c r="F23" i="8" l="1"/>
  <c r="F21" i="8" s="1"/>
  <c r="F8" i="8"/>
  <c r="H21" i="8"/>
  <c r="F54" i="2" l="1"/>
  <c r="G67" i="1"/>
  <c r="F41" i="1"/>
  <c r="F22" i="6" l="1"/>
  <c r="I18" i="6" l="1"/>
  <c r="I16" i="6" s="1"/>
  <c r="F82" i="2" l="1"/>
  <c r="F92" i="2" l="1"/>
  <c r="F86" i="2" l="1"/>
  <c r="K23" i="3" l="1"/>
  <c r="K11" i="3" s="1"/>
  <c r="J23" i="3"/>
  <c r="J11" i="3" s="1"/>
  <c r="I23" i="3"/>
  <c r="I11" i="3" s="1"/>
  <c r="F25" i="3"/>
  <c r="F16" i="1" l="1"/>
  <c r="I103" i="2"/>
  <c r="E18" i="6" l="1"/>
  <c r="G18" i="6"/>
  <c r="J18" i="6"/>
  <c r="K18" i="6"/>
  <c r="I31" i="6"/>
  <c r="H18" i="6"/>
  <c r="G31" i="6" l="1"/>
  <c r="G16" i="6"/>
  <c r="K31" i="6"/>
  <c r="K16" i="6"/>
  <c r="J31" i="6"/>
  <c r="J16" i="6"/>
  <c r="H31" i="6"/>
  <c r="H16" i="6"/>
  <c r="E31" i="6"/>
  <c r="E16" i="6"/>
  <c r="F26" i="6"/>
  <c r="F18" i="6"/>
  <c r="F29" i="1"/>
  <c r="F31" i="6" l="1"/>
  <c r="F16" i="6"/>
  <c r="F66" i="2" l="1"/>
  <c r="F88" i="2" l="1"/>
  <c r="F87" i="2"/>
  <c r="F85" i="2"/>
  <c r="F84" i="2"/>
  <c r="F81" i="2"/>
  <c r="F83" i="2" l="1"/>
  <c r="H67" i="1" l="1"/>
  <c r="H29" i="8" l="1"/>
  <c r="F11" i="3" l="1"/>
  <c r="J32" i="8" l="1"/>
  <c r="F33" i="2"/>
  <c r="E67" i="1"/>
  <c r="J29" i="8" l="1"/>
  <c r="K29" i="8"/>
  <c r="F32" i="8"/>
  <c r="F108" i="2"/>
  <c r="E29" i="8"/>
  <c r="F67" i="1"/>
  <c r="F39" i="1"/>
  <c r="F50" i="2"/>
  <c r="G29" i="8" l="1"/>
  <c r="I29" i="8"/>
  <c r="F29" i="8" l="1"/>
  <c r="F46" i="1"/>
  <c r="J65" i="1" l="1"/>
  <c r="G15" i="2" l="1"/>
  <c r="G107" i="2" s="1"/>
  <c r="G101" i="2" s="1"/>
  <c r="H15" i="2"/>
  <c r="H107" i="2" s="1"/>
  <c r="I15" i="2"/>
  <c r="I107" i="2" s="1"/>
  <c r="J15" i="2"/>
  <c r="J107" i="2" s="1"/>
  <c r="K15" i="2"/>
  <c r="K107" i="2" s="1"/>
  <c r="E15" i="2"/>
  <c r="E107" i="2" s="1"/>
  <c r="F18" i="2"/>
  <c r="F107" i="2" l="1"/>
  <c r="F15" i="2"/>
  <c r="I14" i="1" l="1"/>
  <c r="I64" i="1" l="1"/>
  <c r="E10" i="3"/>
  <c r="F24" i="3"/>
  <c r="F10" i="3" l="1"/>
  <c r="H65" i="1" l="1"/>
  <c r="F65" i="2" l="1"/>
  <c r="K65" i="1" l="1"/>
  <c r="F65" i="1" l="1"/>
  <c r="J14" i="1"/>
  <c r="J64" i="1" s="1"/>
  <c r="K14" i="1"/>
  <c r="K64" i="1" s="1"/>
  <c r="E14" i="1"/>
  <c r="E64" i="1" s="1"/>
  <c r="F45" i="1" l="1"/>
  <c r="F44" i="1"/>
  <c r="F63" i="2" l="1"/>
  <c r="F64" i="2"/>
  <c r="K29" i="6" l="1"/>
  <c r="K28" i="6" s="1"/>
  <c r="F10" i="6" l="1"/>
  <c r="H29" i="6" l="1"/>
  <c r="H28" i="6" s="1"/>
  <c r="F17" i="3" l="1"/>
  <c r="F19" i="2"/>
  <c r="F22" i="1" l="1"/>
  <c r="F24" i="6" l="1"/>
  <c r="E41" i="3" l="1"/>
  <c r="J41" i="3"/>
  <c r="K41" i="3"/>
  <c r="G41" i="3"/>
  <c r="E17" i="1" l="1"/>
  <c r="E68" i="1" s="1"/>
  <c r="J17" i="1"/>
  <c r="J68" i="1" s="1"/>
  <c r="K17" i="1"/>
  <c r="K68" i="1" s="1"/>
  <c r="G17" i="1"/>
  <c r="G68" i="1" s="1"/>
  <c r="F43" i="1"/>
  <c r="F42" i="1"/>
  <c r="F40" i="1"/>
  <c r="F38" i="1"/>
  <c r="F37" i="1"/>
  <c r="F35" i="1"/>
  <c r="F34" i="1"/>
  <c r="F33" i="1"/>
  <c r="F32" i="1"/>
  <c r="F31" i="1"/>
  <c r="E65" i="1" l="1"/>
  <c r="F28" i="1"/>
  <c r="F30" i="1"/>
  <c r="G31" i="3" l="1"/>
  <c r="G38" i="3" s="1"/>
  <c r="H31" i="3"/>
  <c r="I31" i="3"/>
  <c r="J31" i="3"/>
  <c r="K31" i="3"/>
  <c r="E31" i="3"/>
  <c r="F31" i="3" l="1"/>
  <c r="F62" i="2"/>
  <c r="H14" i="1" l="1"/>
  <c r="H64" i="1" s="1"/>
  <c r="F23" i="1"/>
  <c r="F23" i="2"/>
  <c r="I8" i="6"/>
  <c r="F13" i="6"/>
  <c r="F12" i="6"/>
  <c r="F11" i="6"/>
  <c r="F14" i="6" l="1"/>
  <c r="K31" i="2"/>
  <c r="K12" i="2" s="1"/>
  <c r="J31" i="2"/>
  <c r="J12" i="2" s="1"/>
  <c r="F42" i="2"/>
  <c r="F41" i="2"/>
  <c r="F40" i="2"/>
  <c r="F39" i="2"/>
  <c r="F38" i="2"/>
  <c r="F37" i="2"/>
  <c r="J103" i="2" l="1"/>
  <c r="F8" i="6"/>
  <c r="F9" i="6"/>
  <c r="F36" i="2"/>
  <c r="F35" i="2"/>
  <c r="F27" i="2"/>
  <c r="F12" i="2" l="1"/>
  <c r="K103" i="2"/>
  <c r="F30" i="2"/>
  <c r="F93" i="2"/>
  <c r="F90" i="2"/>
  <c r="F103" i="2" l="1"/>
  <c r="F16" i="3"/>
  <c r="H41" i="3"/>
  <c r="I41" i="3" l="1"/>
  <c r="F19" i="3"/>
  <c r="E106" i="2"/>
  <c r="E101" i="2" s="1"/>
  <c r="J106" i="2"/>
  <c r="K106" i="2"/>
  <c r="F17" i="2"/>
  <c r="H68" i="1"/>
  <c r="E18" i="1"/>
  <c r="H18" i="1"/>
  <c r="I18" i="1"/>
  <c r="I69" i="1" s="1"/>
  <c r="J18" i="1"/>
  <c r="K18" i="1"/>
  <c r="G18" i="1"/>
  <c r="F21" i="1"/>
  <c r="K30" i="8" l="1"/>
  <c r="K101" i="2"/>
  <c r="J30" i="8"/>
  <c r="J101" i="2"/>
  <c r="E30" i="8"/>
  <c r="I31" i="8"/>
  <c r="G69" i="1"/>
  <c r="E69" i="1"/>
  <c r="E63" i="1" s="1"/>
  <c r="F41" i="3"/>
  <c r="H69" i="1"/>
  <c r="K69" i="1"/>
  <c r="K63" i="1" s="1"/>
  <c r="J69" i="1"/>
  <c r="J63" i="1" s="1"/>
  <c r="K13" i="1"/>
  <c r="F18" i="1"/>
  <c r="I17" i="1"/>
  <c r="I68" i="1" s="1"/>
  <c r="I63" i="1" s="1"/>
  <c r="H63" i="1" l="1"/>
  <c r="G30" i="8"/>
  <c r="E31" i="8"/>
  <c r="K31" i="8"/>
  <c r="J31" i="8"/>
  <c r="H31" i="8"/>
  <c r="G31" i="8"/>
  <c r="F69" i="1"/>
  <c r="F68" i="1"/>
  <c r="F17" i="1"/>
  <c r="I106" i="2"/>
  <c r="F34" i="2"/>
  <c r="F20" i="1"/>
  <c r="I30" i="8" l="1"/>
  <c r="I101" i="2"/>
  <c r="H106" i="2"/>
  <c r="F14" i="2"/>
  <c r="F31" i="8"/>
  <c r="G29" i="6"/>
  <c r="G28" i="6" s="1"/>
  <c r="H30" i="8" l="1"/>
  <c r="F30" i="8" s="1"/>
  <c r="H101" i="2"/>
  <c r="F106" i="2"/>
  <c r="F101" i="2" s="1"/>
  <c r="H13" i="1"/>
  <c r="F21" i="6" l="1"/>
  <c r="F23" i="6"/>
  <c r="F34" i="3"/>
  <c r="F36" i="3"/>
  <c r="F29" i="3"/>
  <c r="F23" i="3"/>
  <c r="F18" i="3"/>
  <c r="F20" i="3"/>
  <c r="F21" i="3"/>
  <c r="F25" i="2"/>
  <c r="F43" i="2"/>
  <c r="F45" i="2"/>
  <c r="F61" i="2"/>
  <c r="F25" i="1"/>
  <c r="F26" i="1"/>
  <c r="G64" i="1" l="1"/>
  <c r="G63" i="1" s="1"/>
  <c r="F14" i="1"/>
  <c r="F27" i="6"/>
  <c r="F64" i="1" l="1"/>
  <c r="F63" i="1" s="1"/>
  <c r="J29" i="6"/>
  <c r="J28" i="6" s="1"/>
  <c r="I29" i="6" l="1"/>
  <c r="I28" i="6" s="1"/>
  <c r="F29" i="6" l="1"/>
  <c r="F28" i="6" s="1"/>
  <c r="K32" i="3" l="1"/>
  <c r="K39" i="3" s="1"/>
  <c r="J32" i="3"/>
  <c r="K38" i="3"/>
  <c r="J38" i="3"/>
  <c r="J26" i="8" l="1"/>
  <c r="K26" i="8"/>
  <c r="K37" i="3"/>
  <c r="K27" i="8"/>
  <c r="J30" i="3"/>
  <c r="J39" i="3"/>
  <c r="J37" i="3" s="1"/>
  <c r="J9" i="3"/>
  <c r="K9" i="3"/>
  <c r="K30" i="3"/>
  <c r="I13" i="1"/>
  <c r="K25" i="8" l="1"/>
  <c r="J27" i="8"/>
  <c r="J25" i="8" s="1"/>
  <c r="K10" i="2"/>
  <c r="J10" i="2"/>
  <c r="J13" i="1"/>
  <c r="F31" i="2" l="1"/>
  <c r="F44" i="2"/>
  <c r="G26" i="8" l="1"/>
  <c r="E29" i="6" l="1"/>
  <c r="E28" i="6" s="1"/>
  <c r="E13" i="1" l="1"/>
  <c r="E38" i="3"/>
  <c r="E26" i="8" l="1"/>
  <c r="F52" i="2" l="1"/>
  <c r="F49" i="2"/>
  <c r="F19" i="6" l="1"/>
  <c r="F20" i="6"/>
  <c r="F19" i="1" l="1"/>
  <c r="F13" i="1" l="1"/>
  <c r="G13" i="1"/>
  <c r="F22" i="3"/>
  <c r="E32" i="3"/>
  <c r="E39" i="3" s="1"/>
  <c r="H38" i="3"/>
  <c r="I38" i="3"/>
  <c r="H26" i="8" l="1"/>
  <c r="E27" i="8"/>
  <c r="E25" i="8" s="1"/>
  <c r="E37" i="3"/>
  <c r="I26" i="8"/>
  <c r="F9" i="3"/>
  <c r="H9" i="3"/>
  <c r="I9" i="3"/>
  <c r="F38" i="3"/>
  <c r="E30" i="3"/>
  <c r="F26" i="8" l="1"/>
  <c r="E9" i="3"/>
  <c r="F14" i="3"/>
  <c r="H32" i="3" l="1"/>
  <c r="H39" i="3" s="1"/>
  <c r="H37" i="3" s="1"/>
  <c r="F46" i="2"/>
  <c r="F22" i="2"/>
  <c r="F21" i="2"/>
  <c r="F16" i="2"/>
  <c r="H27" i="8" l="1"/>
  <c r="H25" i="8" s="1"/>
  <c r="I10" i="2"/>
  <c r="H10" i="2"/>
  <c r="E10" i="2"/>
  <c r="H30" i="3"/>
  <c r="F29" i="2"/>
  <c r="G32" i="3"/>
  <c r="G39" i="3" s="1"/>
  <c r="F33" i="3"/>
  <c r="I32" i="3"/>
  <c r="I39" i="3" s="1"/>
  <c r="I37" i="3" s="1"/>
  <c r="G37" i="3" l="1"/>
  <c r="I27" i="8"/>
  <c r="I25" i="8" s="1"/>
  <c r="F39" i="3"/>
  <c r="F37" i="3" s="1"/>
  <c r="G27" i="8"/>
  <c r="G25" i="8" s="1"/>
  <c r="G10" i="2"/>
  <c r="F10" i="2" s="1"/>
  <c r="G30" i="3"/>
  <c r="I30" i="3"/>
  <c r="F32" i="3"/>
  <c r="F28" i="2"/>
  <c r="F27" i="8" l="1"/>
  <c r="F25" i="8" s="1"/>
  <c r="F30" i="3"/>
  <c r="F24" i="2"/>
  <c r="F24" i="1" l="1"/>
</calcChain>
</file>

<file path=xl/sharedStrings.xml><?xml version="1.0" encoding="utf-8"?>
<sst xmlns="http://schemas.openxmlformats.org/spreadsheetml/2006/main" count="921" uniqueCount="327">
  <si>
    <t>Срок исполнения</t>
  </si>
  <si>
    <t>№ п/п</t>
  </si>
  <si>
    <t>Источники            финансирования</t>
  </si>
  <si>
    <t>Всего              (тыс. руб.)</t>
  </si>
  <si>
    <t>Инвестиции</t>
  </si>
  <si>
    <t>Средства бюджета Московской области</t>
  </si>
  <si>
    <t>Мероприятия по реализации программы/подпрограммы</t>
  </si>
  <si>
    <t>Результаты выполнения мероприятий</t>
  </si>
  <si>
    <t xml:space="preserve">Управление образования </t>
  </si>
  <si>
    <t>Средства бюджета Одинцовского муниципального района</t>
  </si>
  <si>
    <t>Итого:</t>
  </si>
  <si>
    <t>Управление образования</t>
  </si>
  <si>
    <t>Средства бюджета  Одинцовского муниципального района</t>
  </si>
  <si>
    <t>№ п.п</t>
  </si>
  <si>
    <t>Мероприятия по реализации Программы</t>
  </si>
  <si>
    <t>Источники финансирования</t>
  </si>
  <si>
    <t>Всего                       (тыс. руб.)</t>
  </si>
  <si>
    <t>Ответственный за выполнение мероприятия</t>
  </si>
  <si>
    <t>3</t>
  </si>
  <si>
    <t>5</t>
  </si>
  <si>
    <t>7</t>
  </si>
  <si>
    <t>9</t>
  </si>
  <si>
    <t>10</t>
  </si>
  <si>
    <t xml:space="preserve">Средства бюджета Одинцовского муниципального района </t>
  </si>
  <si>
    <t xml:space="preserve">Средства бюджета Одинцовского муниципального  района </t>
  </si>
  <si>
    <t>100% обеспеченность обучающихся горячим питанием</t>
  </si>
  <si>
    <t>Полное государственноне обеспечение  100% обучающихся из категории детей сирот и детей, оставшихся без попечения родителей</t>
  </si>
  <si>
    <t>Удельный вес обучающихся, принявших участие в конференциях, форумах слетах, акциях - 85%</t>
  </si>
  <si>
    <t>Удельный вес обучающихся, охваченных активными формами летней занятости - 86%</t>
  </si>
  <si>
    <t>1</t>
  </si>
  <si>
    <t>11</t>
  </si>
  <si>
    <t>12</t>
  </si>
  <si>
    <t xml:space="preserve">Средства бюджета Одинцовского муниципального района      </t>
  </si>
  <si>
    <t>70% педагогических работников и руководителей МОУ, прошедших повышение квалификации в рамках непрерывного профессионального образования (от общего кол-ва обученных) и 30% педагогических работников, прошедших обучение по программам повышения квалификации по модульному принципу на базе УМЦ "Развитие образования"</t>
  </si>
  <si>
    <t xml:space="preserve">Средства бюджета Московской области  </t>
  </si>
  <si>
    <t xml:space="preserve">Средства бюджета Одинцовского муниципального района     </t>
  </si>
  <si>
    <t>Обеспечение эффективной деятельности аппарата управления</t>
  </si>
  <si>
    <t>Обеспечение эффективной деятельности учреждения</t>
  </si>
  <si>
    <t>Обновление 25% компьютерной техники, используемой в работе сотрудниками УО</t>
  </si>
  <si>
    <t>средства бюджета Московской области</t>
  </si>
  <si>
    <t>средства бюджета Одинцовского муниципального района</t>
  </si>
  <si>
    <t>Управление образования, сельские и городские поселения Одинцовского муниципального района</t>
  </si>
  <si>
    <t>-</t>
  </si>
  <si>
    <t>Управление образования и Комитет по строительству и развитию дорожно-транспортной инфраструктуры</t>
  </si>
  <si>
    <t>Управление образования, руководители организаций, МКУ "Централизованная бухгалтерия"</t>
  </si>
  <si>
    <t>Обеспечение функционирования сети Интернет в 100% общеобразовательных организаций</t>
  </si>
  <si>
    <t>2017 год</t>
  </si>
  <si>
    <t>2018 год</t>
  </si>
  <si>
    <t>Объем финансирования по годам (тыс. рублей)</t>
  </si>
  <si>
    <t>Объем финансирования по годам (тыс. руб.)</t>
  </si>
  <si>
    <t>13</t>
  </si>
  <si>
    <t>Доходы от предпринимательской и иной, приносящей доход деятельности</t>
  </si>
  <si>
    <t>Обеспечение 100% оплаты проезда к месту учебы и обратно отдельным категориям обучающихся</t>
  </si>
  <si>
    <t>Подпрограмма IV "Обеспечивающая подпрограмма"</t>
  </si>
  <si>
    <t xml:space="preserve"> 100 % исполнение сметы расходов комиссии по делам несовершеннолетних и защите их прав</t>
  </si>
  <si>
    <t>Комиссия по делам несовершеннолетних и защите их прав</t>
  </si>
  <si>
    <t>Итого Подпрограмма 1, в том числе:</t>
  </si>
  <si>
    <t>Итого Подпрограмма 2, в том числе:</t>
  </si>
  <si>
    <t>Итого Подпрограмма 3, в том числе:</t>
  </si>
  <si>
    <t xml:space="preserve"> Итого Подпрограмма 4, в том числе:</t>
  </si>
  <si>
    <t>ВСЕГО по Муниципальной программе, в том числе</t>
  </si>
  <si>
    <t>Подпрограмма 1. "Дошкольное образование"</t>
  </si>
  <si>
    <t>Подпрограмма II "Общее образование"</t>
  </si>
  <si>
    <t>Подпрограмма III  "Дополнительное образование, воспитание и психолого-социальное сопровождение детей"</t>
  </si>
  <si>
    <t>Средства  родительской платы за присмотр и уход за детьми</t>
  </si>
  <si>
    <t>Мероприятие 1. Организация деятельности дошкольных образовательных учреждений по оказанию муниципальных услуг</t>
  </si>
  <si>
    <t>100% выполнение муниципальных заданий дошкольными образовательными учреждениями</t>
  </si>
  <si>
    <t>Мероприятие 3.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</si>
  <si>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Мероприятие 4.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           </t>
  </si>
  <si>
    <t xml:space="preserve">Мероприятие 1. Организация деятельности общеобразовательных учреждений по оказанию муниципальных услуг </t>
  </si>
  <si>
    <t>Мероприятие 2. Обеспечение содержания имущества муниципальными общеобразовательными учреждениями</t>
  </si>
  <si>
    <t>Мероприятие 2. Обеспечение содержания имущества муниципальными дошкольными образовательными учреждениями</t>
  </si>
  <si>
    <t>100% выполнение муниципальных заданий общеобразовательными учреждениями</t>
  </si>
  <si>
    <t>100% общеобразовательных учреждений отвечают современным требованиям комплексной безопасности</t>
  </si>
  <si>
    <t>100% выполнение муниципального задания учреждениями  дополнительного образования детей творческой и спортивно-технической направленностей</t>
  </si>
  <si>
    <t>Доля образовательных учреждений, отвечающих современным требованиям комплексной безопасности составит 100%</t>
  </si>
  <si>
    <t xml:space="preserve">Мероприятие 1. Организация деятельности дополнительного профессионального образования, обучение по программам повышения квалификации руководящих и педагогических кадров  по оказанию муниципальных услуг </t>
  </si>
  <si>
    <t>Мероприятие 2. Обеспечение содержания имущества учреждения дополнительного профессионального образования (повышение квалификации) специалистов учебно-методический центр "Развитие образования"</t>
  </si>
  <si>
    <t>Мероприятие 3. Проведение курсов повышения квалификации для работников и руководителей образовательных учреждений</t>
  </si>
  <si>
    <t xml:space="preserve">Мероприятие 5. Создание кластерной модели муниципальной методической службы                                                       </t>
  </si>
  <si>
    <t>100% выполнение муниципального задания</t>
  </si>
  <si>
    <t>Средства родительской платы за присмотр и уход за детьми</t>
  </si>
  <si>
    <t>100% выплатат компенсации части родительской платы всем подавшим заявления родителям (законным представителям) воспитанников ДОУ</t>
  </si>
  <si>
    <t>Обеспечение функционирования сети Интернет в 100% дошкольных учреждений</t>
  </si>
  <si>
    <t xml:space="preserve">Г.Б. Кувшинникова    </t>
  </si>
  <si>
    <t>Начальник Управления бухгалтерского учета и отчетности, главный бухгалтер</t>
  </si>
  <si>
    <t>Обеспеченность учреждений дополнительного образования технологическим, медицинским, спортивным оборудованием и другим оборудованием</t>
  </si>
  <si>
    <t xml:space="preserve">Мероприятие 6. Выплата именных премий Главы Одинцовского муниципального района лучшим педагогическим работникам и стипендий Главы Одинцовского муниципального района для обучающихся, проявивших особые успехи в учении, искусстве и спорте                                                                 </t>
  </si>
  <si>
    <t>Ежегодное обучение по углубленным общеобразовательным программам и программам дополнительного образования  одаренных обучающихся, проживающих в Одинцовском муниципальном районе</t>
  </si>
  <si>
    <t>Увеличение доли обучающихся, охваченных разнообазными формами научной и проектно-исследовательской деятельности в соответствии с ФГОС</t>
  </si>
  <si>
    <t xml:space="preserve">Мероприятие 4. Совершенствование муниципальной системы школьных научных обществ, направленной на реализацию задач ФГОС                           </t>
  </si>
  <si>
    <t>Средства бюджетов поселений Одинцовского муниципального района, передаваемые в бюджет Одинцовского муниципального района</t>
  </si>
  <si>
    <t>Мероприятие 3. Организация деятельности муниципальных казенных общеобразовательных учреждений для обучающихся с ограниченными возможностями здоровья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</si>
  <si>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</si>
  <si>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</si>
  <si>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</si>
  <si>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</si>
  <si>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</si>
  <si>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</si>
  <si>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</si>
  <si>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</si>
  <si>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</si>
  <si>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</si>
  <si>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</si>
  <si>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</si>
  <si>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</si>
  <si>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</si>
  <si>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</si>
  <si>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</si>
  <si>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</si>
  <si>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</si>
  <si>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2.1</t>
  </si>
  <si>
    <t>2.2</t>
  </si>
  <si>
    <t>2.3</t>
  </si>
  <si>
    <t>2.4</t>
  </si>
  <si>
    <t>2.5</t>
  </si>
  <si>
    <t>2.6</t>
  </si>
  <si>
    <t>1.19</t>
  </si>
  <si>
    <t>1.20</t>
  </si>
  <si>
    <t>1.21</t>
  </si>
  <si>
    <t>1.22</t>
  </si>
  <si>
    <t>1.23</t>
  </si>
  <si>
    <t>1.24</t>
  </si>
  <si>
    <t>1.25</t>
  </si>
  <si>
    <t>Мероприятие 31. Патриотическое, духовно-нравственное, экологическое воспитание детей в рамках работы детских объединений. Проведение форумов, творческих конкурсов, конференций, акций, слетов, районных праздников</t>
  </si>
  <si>
    <t>Мероприятие 32. Организация отдыха и полной занятости детей в каникулярное время</t>
  </si>
  <si>
    <t>3.1</t>
  </si>
  <si>
    <t>3.2</t>
  </si>
  <si>
    <t>Мероприятие 21. Обеспечение деятельности Управления образования</t>
  </si>
  <si>
    <t xml:space="preserve">Количество обучающихся на один компьютер в муниципальных учреждениях составит 7 человек. Наличие школьных локальных сетей в 100% муниципальных общеобразовательных учреждениях, оснащение компьтерным оборудованием </t>
  </si>
  <si>
    <t>100% освоение сметы расходов на функционирование и развитие учреждения</t>
  </si>
  <si>
    <t>Обеспеченность учреждения современным требованиям комплексной безопасности</t>
  </si>
  <si>
    <t>Реализация проекта, направленного на профилактику детского и семейного неблагополучия "Подари ребенку радость"</t>
  </si>
  <si>
    <t>ПЕРЕЧЕНЬ МЕРОПРИЯТИЙ МУНИЦИПАЛЬНОЙ ПРОГРАММЫ</t>
  </si>
  <si>
    <t>6</t>
  </si>
  <si>
    <t>8</t>
  </si>
  <si>
    <t>100% освоение средств субсидий на выполнение муниципальных заданий общеобразовательными организациями, а также приобретение учебников и учебных пособий, средств обучения, игр, игрушек</t>
  </si>
  <si>
    <t>4</t>
  </si>
  <si>
    <t xml:space="preserve">Председатель Комитета по строительству и развитию дорожно-транспортной инфраструктуры </t>
  </si>
  <si>
    <t>Задача 1. Увеличение доли обучающихся по федеральным государственным образовательным стандартам</t>
  </si>
  <si>
    <t>Задача 1. Увеличение численности детей в возрасте от 5 до 18 лет, обучающихся по дополнительным образовательным программам</t>
  </si>
  <si>
    <t>Задача 3. Увеличение численности детей, привлекаемых к участию в творческих мероприятиях</t>
  </si>
  <si>
    <t>Задача 1. Увеличение доступных учреждений системы образования для инвалидов и других маломобильных групп населения</t>
  </si>
  <si>
    <t>МКУ ХЭС СО, Сельские и городские поселения Одинцовского муниципального района, Управление образования</t>
  </si>
  <si>
    <t>МКУ ХЭС СО, Управление образования, МКУ "Централизованная бухгалтерия"</t>
  </si>
  <si>
    <t>Создание условий для детей-инвалидов, отвечающих требованиям СанПиН в образовательных организациях</t>
  </si>
  <si>
    <t>Задача 1. Увеличение числа педагогических работников, прошедших обучение по программам повышения квалификации</t>
  </si>
  <si>
    <t>Задача 2. Обеспечение мер социальной поддержки и социального обеспечения детей-сирот и детей, оставшихся без попечения родителей, а также лиц из их числа</t>
  </si>
  <si>
    <t>Объем финансирования в 2016 году (тыс. руб.)</t>
  </si>
  <si>
    <t>2017-2021 годы</t>
  </si>
  <si>
    <t>2019 год</t>
  </si>
  <si>
    <t>2020 год</t>
  </si>
  <si>
    <t>2021 год</t>
  </si>
  <si>
    <t>Мероприятие 5. 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</si>
  <si>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Мероприятие  6. Укрепление материально-технической базы учреждений дошкольного образования</t>
  </si>
  <si>
    <t>Содержание транспортных средств для обеспечения подвоза обучающихся муниципальные общеобразовательные организации, расположенные в сельской местности</t>
  </si>
  <si>
    <t xml:space="preserve">Оснащение общеобразовательных учреждений технолгическим оборудованием для столовых и мебелью для залов питания </t>
  </si>
  <si>
    <t>Объем финансирования в 2016 году (тыс.руб.)</t>
  </si>
  <si>
    <t xml:space="preserve">2017  год </t>
  </si>
  <si>
    <t>Мероприятие 7. Укрепление материально-технической базы учреждений дошкольного образования,  обеспечение доступности современных средств обучения и информационно-коммуникационных технологий в дошкольных учреждениях</t>
  </si>
  <si>
    <t xml:space="preserve">Мероприятие 8. Участие учреждений дошкольного образования в районных конкурсах                                                                                             </t>
  </si>
  <si>
    <t>Мероприятие 10.  Ресурсное обеспечение, модернизация систем безопасности учебно-воспитательного процесса в дошкольных образовательных учреждениях</t>
  </si>
  <si>
    <t>Мероприятие 11. Проведение текущих ремонтных работ в  дошкольных образовательных организациях, благоустройство их территорий, установка веранд, приборов учета, техническое обследование и разработка проектной документации</t>
  </si>
  <si>
    <t xml:space="preserve">Мероприятие 12. Проведение капитального ремонта в  дошкольных образовательных учреждениях </t>
  </si>
  <si>
    <t>Мероприятие 13.  Развитие жилищно-коммунального хозяйства и социально-культурной сферы в дошкольных образовательных учреждениях</t>
  </si>
  <si>
    <t>Мероприятие 4. Организация деятельности муниципального казенного общеобразовательного учреждения, реализующего адаптированные основные общеобразовательные программы "Старогородковская специальная (коррекционная) школа-интернат им. Заслуженного учителя РФ А.В.Фурагиной"</t>
  </si>
  <si>
    <t>2017-2019 годы</t>
  </si>
  <si>
    <t xml:space="preserve">Мероприятие 1. Организация деятельности учреждений  дополнительного образования детей творческой и спортивно-технической направленностей  по оказанию муниципальных услуг </t>
  </si>
  <si>
    <t xml:space="preserve">Мероприятие 2. Обеспечение содержания имущества учреждениями дополнительного образования детей творческой и спортивно-технической направленностей </t>
  </si>
  <si>
    <t>Мероприятие 3. Укрепление материально-технической базы учреждений дополнительного образования детей</t>
  </si>
  <si>
    <t>Мероприятие 4. Формирование информационной образовательной среды, позволяющей обеспечить доступность современных средств обучения и информационно-коммуникационных технологий в учреждениях дополнительного образования детей</t>
  </si>
  <si>
    <t>Создание современной информационной образовательной среды в учреждениях дополнительного образования детей</t>
  </si>
  <si>
    <t>Мероприятие 5. Ресурсное обеспечение, модернизация систем безопасности учебно-воспитательного процесса в образовательных учреждениях</t>
  </si>
  <si>
    <t>30 лучших педагогических работников получают именные премии Главы Одинцовского муниципального района, стипендии для 100 обучающихся, показавших особые успехи в учении, искусстве и спорте</t>
  </si>
  <si>
    <t>Мероприятие 22. Организация деятельности МКУ "Хозяйственно-эксплуатационная служба"</t>
  </si>
  <si>
    <t>Мероприятие 24. Приобретение оборудования и мебели, в т.ч. контейнеров для Управления образования</t>
  </si>
  <si>
    <t>Мероприятие 25. Проведение ремонтных работ в здании Управления образования и в учреждениях образования</t>
  </si>
  <si>
    <t>Мероприятие 26. Создание современных условий для обеспечения безопасности в Управлении образования. Создание условий для  организации и проведения государственной (итоговой) аттестации в различных формах</t>
  </si>
  <si>
    <t>Задача 2. Обеспечение деятельности Управления образования,  МКУ ХЭС СО</t>
  </si>
  <si>
    <t>Мероприятие 14. 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</si>
  <si>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Мероприятие 15. Обеспечение доступа к сети Интернет дошкольных учреждений</t>
  </si>
  <si>
    <t>Мероприятие 16. Организация системы непрерывного обучения детей правилам дорожного движения в дошкольных учреждениях</t>
  </si>
  <si>
    <t xml:space="preserve">Мероприятие 6. Организация деятельности муниципального казенного образовательного учреждения Одинцовского районного центра психолого-педагогической, медицинской и социальной помощи "Сопровождение"  </t>
  </si>
  <si>
    <t>Мероприятие 7. Организация условий работы муниципального казенного образовательного учреждения Одинцовского районного центра психолого-педагогической, медицинской и социальной помощи "Сопровождение"</t>
  </si>
  <si>
    <t>Мероприятие 8. Развитие жилищно-коммунального хозяйства и социально-культурной сферы в учреждениях дополнительного образования</t>
  </si>
  <si>
    <t>Мероприятие 9. Реализация проекта, направленного на профилактику детского и семейного неблагополучия "Подари ребенку радость"</t>
  </si>
  <si>
    <t>Мероприятие 7. Организация условий работы учреждения дополнительного профессионального образования (повышение квалификации) специалистов учебно-методический центр "Развитие образования"</t>
  </si>
  <si>
    <t xml:space="preserve">Мероприятие 6.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                                                                                                                         </t>
  </si>
  <si>
    <t>Мероприятие 7. 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имеющих государственную аккредитацию</t>
  </si>
  <si>
    <t>Мероприятие 8. Оплата расходов, связанных с компенсацией проезда к месту учебы и обратно отдельным категориям обучающихся по очной форме обучения  муниципальных общеобразовательных организаций в Московской области</t>
  </si>
  <si>
    <t>Мероприятие 10. Укрепление материально-технической базы общеобразовательных учреждений</t>
  </si>
  <si>
    <t>Мероприятие 15. Обеспечение доступа к сети Интернет общеобразовательным организациям</t>
  </si>
  <si>
    <t>Мероприятие 16. Создание условий для формирования информационной образовательной среды, позволяющей обеспечить доступность современных средств обучения и информационно-коммуникационных технологий в общеобразовательных учреждениях</t>
  </si>
  <si>
    <t>Мероприятие 17. Создание современных условий для обеспечения безопасности детей в общеобразовательных учреждениях</t>
  </si>
  <si>
    <t>Мероприятие 18. Ремонт общеобразовательных учреждений, благоустройство их территорий, устройство площадок, ворот, техническое обследование и разработка проектной документации</t>
  </si>
  <si>
    <t>Мероприятие 19. Проведение капитального ремонта в  общеобразовательных учреждениях</t>
  </si>
  <si>
    <t>Мероприятие 20. Развитие жилищно-коммунального хозяйства и социально-культурной сферы в общеобразовательных учреждениях</t>
  </si>
  <si>
    <t>Мероприятие 21. 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</si>
  <si>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Мероприятие 22. Выплата грантов Губернатора Московской области и Главы Одинцовского муниципального района лучшим общеобразоваетльным организациям в Московской области и районе</t>
  </si>
  <si>
    <t>Мероприятие 23. Организация системы непрерывного обучения детей правилам дорожного движения в общеобразовательных учреждениях</t>
  </si>
  <si>
    <t>Мероприятие 24. Наем транспортных средств для подвоза обучающихся к месту учебы и обратно</t>
  </si>
  <si>
    <t>Задача 2. Увеличение количества обучающихся 5-11 классов по дополнительным общеобразовательным программам углубленного уровня, а также одаренных детей - участников олимпиад, интеллектуальных конкурсов, научно-практических конференций</t>
  </si>
  <si>
    <t>3.3</t>
  </si>
  <si>
    <t>3.4</t>
  </si>
  <si>
    <t>3.5</t>
  </si>
  <si>
    <t>3.6</t>
  </si>
  <si>
    <t>3.7</t>
  </si>
  <si>
    <t>Мероприятие 23. Приобретение оборудования для обеспечения деятельности МКУ ХЭС, а также транспортных средств</t>
  </si>
  <si>
    <t>Подпрограмма V "Обеспечение доступности образовательных организаций для инвалидов и других маломобильных групп населения"</t>
  </si>
  <si>
    <t>Мероприятие 1. Проведение мероприятий по формированию в субъекте в Российской Федерации сети базовых общеобразовательных организаций, в которых созданы условия для инклюзивного обучения детей-инвалидов</t>
  </si>
  <si>
    <t>Мероприятие 3. 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</si>
  <si>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 xml:space="preserve"> Итого по Подпрограмме 5, в том числе:</t>
  </si>
  <si>
    <t xml:space="preserve">Возмещение расходов на присмотр и уход, содержания имущества и арендную плату за использование помещений в частных дошкольных образовательных организаций </t>
  </si>
  <si>
    <t xml:space="preserve">Обеспеченность детских садов технологическим, медицинским, спортивным оборудованием, мягким инвентарем,малыми архитектурными формами </t>
  </si>
  <si>
    <t>Увеличение количества участников и победителей районных конкурсов</t>
  </si>
  <si>
    <t>Оснащение дошкольных образовательных организаций современным инновационным оборудованием</t>
  </si>
  <si>
    <t>Создание современных условий для обеспечения безопасности детей в 100% детских садах</t>
  </si>
  <si>
    <t>Создание в дошкольных образователььных организациях современной информационной среды</t>
  </si>
  <si>
    <t>Организация дополнительных мест в частных дошкольных образовательных организациях</t>
  </si>
  <si>
    <t>Создание условий, отвечающих требованиям СанПиН в 100% дошкольных образовательных организациях. Проведение ремонтных работ.</t>
  </si>
  <si>
    <t xml:space="preserve">Девять негосударственных образовательных организаций получат финансирование на расходы по оплате труда работников, расходы на учебники, учебно-наглядные пособия, технические средства обучения </t>
  </si>
  <si>
    <t>Увеличение количества общеобразовательных учреждениий, которым предоставлены современные условия обучения до 95%</t>
  </si>
  <si>
    <t>100% освоение средств субвенции на выполнение муниципальных заданий дошкольными образовательными учреждениями, включая приобретение учебников и учебных пособий, средств обучения, игр, игрушек</t>
  </si>
  <si>
    <t>Оснащение общеобразовательных организаций современным инновационным оборудованием</t>
  </si>
  <si>
    <t>Оснащение общеобразовательных организаций современным учебным и инновационным оборудованием для организаций, разрабатывающих и внедряющих инновационные образовательные проекты</t>
  </si>
  <si>
    <t>Выплата грантов лучшим общеобразовательным организациям</t>
  </si>
  <si>
    <t>Оснащение общеобразовательных учреждений оборудованием для кабинетов БДД</t>
  </si>
  <si>
    <t>Оснащение дошкольных учреждений оборудованием для кабинетов БДД</t>
  </si>
  <si>
    <t>Обеспечение транспортной услугой 100% обучающихся, нуждающихся в подвозе к месту учебы и обратно</t>
  </si>
  <si>
    <t>Комитет по строительству и развитию дорожно-транспортной инфраструктуры, Управление образования, Сельские и городские поселения Одинцовского муниципального района</t>
  </si>
  <si>
    <t>Увеличение количества учреждениий дополнительного образования детей, которым созданы современные условия обучения</t>
  </si>
  <si>
    <t>Обеспеченность учреждения современным требованиям комплексной безопасности, компьютерным и другим  оборудованием</t>
  </si>
  <si>
    <t xml:space="preserve">МКОУ Одинцовский районный центр дпсихолого-педагогической, медицинской и социальной помощи "Сопровождение", Управление образования </t>
  </si>
  <si>
    <t>УМЦ "Развитие образования", Управление образования</t>
  </si>
  <si>
    <t>Увеличение количества педагогических работников, принимающих участие в муниципальных конкурсах профессионального мастерства</t>
  </si>
  <si>
    <t>Обеспеченность учреждения современным требованиям комплексной безопасности, компьютерным и другим оборудованием</t>
  </si>
  <si>
    <t>МКУ ХЭС СО,  Управление образования</t>
  </si>
  <si>
    <t>МКУ ХЭС СО, Управление образования</t>
  </si>
  <si>
    <t>Управление образованя</t>
  </si>
  <si>
    <t>МКУ ХЭС СО, Управление образованя,  МКУ "Централизованная бухгалтерия"</t>
  </si>
  <si>
    <t>Создание условий, отвечающих требованиям СанПиН в 100% общеобразовательных и дошкольных  учреждениях. Проведение ремонтных работ.</t>
  </si>
  <si>
    <t>Создание условий, отвечающих требованиям СанПиН в 100% образовательных учреждениях</t>
  </si>
  <si>
    <t>МКУ ХЭС СО, Управление образования, сельские и городские поселения Одинцовского муниципального района, МКУ "Централизованная бухгалтерия"</t>
  </si>
  <si>
    <t>Мероприятие 41. Создание условий для продуктивной самореализации одаренных обучающихся</t>
  </si>
  <si>
    <t>Мероприятие 42. Повышение эффективности кадрового обеспечения работы с одаренными обучающимися</t>
  </si>
  <si>
    <t>Мероприятие 51. Проектирование и строительство стадионов</t>
  </si>
  <si>
    <t>Мероприятие 56. Г.п. Одинцово, микрорайон №6. Строительство школы на 1100 мест</t>
  </si>
  <si>
    <t>Задача 2. Доступность дошкольного образования для детей в возрасте от 1,5 до 7 лет</t>
  </si>
  <si>
    <t xml:space="preserve"> -</t>
  </si>
  <si>
    <t>3.8</t>
  </si>
  <si>
    <t>Мероприятие 61. Московская область, Одинцовский район, сельское поселение Жаворонковское, с. Перхушково</t>
  </si>
  <si>
    <t>Мероприятие 60. Одинцовский м.р., с.п. Жаворонковское, д. Зайцево</t>
  </si>
  <si>
    <t>Мероприятие 58. Одинцовский район, р.п. Заречье</t>
  </si>
  <si>
    <t>3.10</t>
  </si>
  <si>
    <t>3.11</t>
  </si>
  <si>
    <t>2019-2020 годы</t>
  </si>
  <si>
    <t>2018-2019 годы</t>
  </si>
  <si>
    <t>2017-2018 годы</t>
  </si>
  <si>
    <t>Мероприятие 52. Строительство. Многофункциональный детский образовательный комплекс по адресу: Московская область, Одинцовский район, с.п. Барвихинское, вблизи д. Раздоры</t>
  </si>
  <si>
    <t>Мероприятие 21. 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 организациях в Московской области для детей сирот и детей, оставшихся без попечения родителей</t>
  </si>
  <si>
    <t>Управление образования, Администрация Одинцовского муниципального района</t>
  </si>
  <si>
    <t>Задача 1.Обеспечение 100% доли воспитанников дошкольных образовательных учреждений, обучающихся по программам, соответствующим требованиям федерального государственного образовательного стандарта дошкольного образования</t>
  </si>
  <si>
    <t>Мероприятие 5.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обеспечение 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</si>
  <si>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Мероприятие 9. Обеспечение подвоза обучающихся  к месту обучения в муниципальные общеобразовательные организации в Московской области, расположенные в сельских населенных пунктах</t>
  </si>
  <si>
    <t>Мероприятие 53. Реконструкция МБОУ "Ершовская СОШ" по адресу: Одинцовский район, с. Ершово, д. 6а</t>
  </si>
  <si>
    <t xml:space="preserve">Начальник Управления образования                                                                   </t>
  </si>
  <si>
    <t xml:space="preserve">Н.А. Стародубова </t>
  </si>
  <si>
    <t xml:space="preserve">Строительство современных стадионов, отвечающих безопасности детей: плоскостные спортивные сооружения МАОУ "Зареченская СОШ" по адресу: Московская область, Одинцовский район, г.п. Заречье, ул. Березовая, д.1 (новое строительство) 
</t>
  </si>
  <si>
    <t>Мероприятие 17. Проведение праздничных мероприятий в дошкольных образовательных учреждениях</t>
  </si>
  <si>
    <t>1.26</t>
  </si>
  <si>
    <t>Администрация Одинцовского муниципального района</t>
  </si>
  <si>
    <t>Мероприятие 26. Добровольный имущественный взнос в автономную некоммерческую общеобразовательную организацию</t>
  </si>
  <si>
    <t>1.27</t>
  </si>
  <si>
    <t>Мероприятие 27. Оказание транспортных услуг по перевозке обучающихся</t>
  </si>
  <si>
    <t>Обеспечение транспортной услугой обучающихся МАОУ Зареченской СОШ</t>
  </si>
  <si>
    <t xml:space="preserve">Обеспечение реализации современных подходов в образовании обучающихся в АНОО "Областная гимназия им. Е.М. Примакова" </t>
  </si>
  <si>
    <t>Мероприятие 51. Строительство.              Дошкольное образовательное учреждение на 400 мест с бассейном (в том числе 50 мест кратковременного пребывания) по адресу: Московская область, Одинцовский район, с.п. Успенское, п.Горки-10, д. 15 Б</t>
  </si>
  <si>
    <t xml:space="preserve">Мероприятие 54. Строительство. Средняя общеобразовательная школа на 600 мест по адресу: Московская область, Одинцовский район, с.п. Горское, п. Горки-2 (ПИР) </t>
  </si>
  <si>
    <t>2017-2020 годы</t>
  </si>
  <si>
    <t>Проведение мероприятий (приобретение подарков) в МБДОУ детский сад №№61,28,63,30 (2017)</t>
  </si>
  <si>
    <t>2017 - 2018 год</t>
  </si>
  <si>
    <t xml:space="preserve">Обеспечение детских садов в соответствии с законом Московской области о дополнительных мероприятиях по развитию жилищно-коммунального хозяйства и социально-культурной сферы </t>
  </si>
  <si>
    <t xml:space="preserve">Обеспеченность общеобразовательных учреждений в соответствии законом Московской области о дополнительных мероприятиях по развитию жилищно-коммунального хозяйства и социально-культурной сферы </t>
  </si>
  <si>
    <t>Задача 3. Снижение доли обучающихся в государственных (муниципальных) общеобразовательных организациях, занимающихся во вторую смену</t>
  </si>
  <si>
    <t>Мероприятие 64. Строительство стадиона на территории МБОУ Барвихинская средняя образовательная школа по адресу: Московская область, Одинцовский район, поселок Барвиха, дом 41 (ПИР и строительство)</t>
  </si>
  <si>
    <t xml:space="preserve">Строительство стадиона на территории МБОУ Барвихинская СОШ </t>
  </si>
  <si>
    <t>Мероприятие 2. Ремонтные работы и приобретение в рамках обеспечения доступности дошкольного, общего и дополнительного образования для детей-инвалидов и детей с ограниченными возможностями здоровья</t>
  </si>
  <si>
    <t>Создание условий, отвечающих требованиям СанПиН в 100% дошкольных образовательных организациях. Проведение капитального ремонта.</t>
  </si>
  <si>
    <t xml:space="preserve">Мероприятие 9. 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 в соответствии с государственной программой Московской области "Образование Подмосковья" на 2017-2025 годы                                                                                  </t>
  </si>
  <si>
    <t xml:space="preserve">Мероприятие 11. Закупка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области, в соответствии с государственной программой Московской области "Образование Подмосковья" на 2017-2025 годы </t>
  </si>
  <si>
    <t xml:space="preserve">Мероприятие 12. Закупка учебного оборудования и мебели для муниципальных общеобразовательных организаций - победителей областного конкурса муниципальных общеобразовательных организаций, разрабатывающих и внедряющих инновационные образовательные проекты, в соответствии с государственной программой Московской области "Образование Подмосковья" на 2017-2025 годы                                                                                         </t>
  </si>
  <si>
    <t xml:space="preserve">Мероприятие 13. Закупка технологического оборудования для столовых и мебели для залов питания общеобразовательных организаций муниципальных образований - победителей областного конкурсного отбора муниципальных проектов совершенствования организации питания обучающихся, в соответствии с государственной программой Московской области "Образование Подмосковья" на 2017-2025 годы               </t>
  </si>
  <si>
    <t xml:space="preserve">Мероприятие 14. Приобретение автобусов для доставки обучающихся в общеобразовательные организации в Московской области, расположенные в сельской местности, в соответствии с государственной программой Московской области "Образование Подмосковья" на 2017-2025 годы </t>
  </si>
  <si>
    <t xml:space="preserve">Мероприятие 25. Обеспечение современными аппаратно-программными комплексами общеобразовательных организаций в Московской области, в соответствии с государственной программой Московской области «Эффективная власть» на 2017-2021 годы 
</t>
  </si>
  <si>
    <t>Мероприятие 55. Строительство. Пристройка на 500 мест к МБОУ "Одинцовская гимназия № 14" по адресу: Московская область, г. Одинцово, б-р Маршала Крылова, д. 5</t>
  </si>
  <si>
    <t>Мероприятие 57. Учебный блок (пристройка) к существующему зданию МБОУ "Успенская средняя общеобразовательная школа" по адресу: Московская область, Одинцовский район, с. Успенское, д.50А</t>
  </si>
  <si>
    <t>3.9</t>
  </si>
  <si>
    <t>Приобретение автобусов для доставки обучающихся в общеобразовательные организации (2018 -  Часцовская СОШ)</t>
  </si>
  <si>
    <t>в т.ч. на повышение оплаты  труда с 01.09.2017 педагогическим работникам муниципальных учреждений дополнительного образования</t>
  </si>
  <si>
    <t>Мероприятие 18. Организация услуг по охране объектов и имущества дошкольных образовательных учреждений</t>
  </si>
  <si>
    <t>Обеспечение  дошкольных образовательных учреждений  услугой по охране объектов и имущества</t>
  </si>
  <si>
    <t>Мероприятие 53. Строительство. Детский сад на 380 мест по адресу: Московская область, Одинцовский район, с. Лайково (ПИР и строительство)</t>
  </si>
  <si>
    <t>2018-2020 годы</t>
  </si>
  <si>
    <t xml:space="preserve"> - </t>
  </si>
  <si>
    <t>Мероприятие 54. Строительство. Детский сад на 360 мест по адресу: Московская область, Одинцовский район, с. Лайково (ПИР и строительство)</t>
  </si>
  <si>
    <t>2019-2021 годы</t>
  </si>
  <si>
    <t>Мероприятие 55. Строительство. г. Одинцово, мкр. Отрадное, ул. Северная, детский сад на 280 мест</t>
  </si>
  <si>
    <t>Барвихинская средняя общеобразовательная школа по адресу:  Московская область, Одинцовский район, поселок Барвиха, дом 41</t>
  </si>
  <si>
    <t>Новогородковская средняя общеобразовательная школа</t>
  </si>
  <si>
    <t>1.28.</t>
  </si>
  <si>
    <t>Мероприятие 28. Организация услуг по охране объектов и имущества общеобразовательных учреждений</t>
  </si>
  <si>
    <t>Обеспечение  общеобразовательных учреждений  услугой по охране объектов и имущества</t>
  </si>
  <si>
    <t xml:space="preserve">     Строительство новых зданий, пристроек и реконструкция действующих зданий (9 объектов): 2017 год - 2 объекта, 2018 год - 2 объекта, 2019 год - 2 объекта, 2020 год - 3 объект</t>
  </si>
  <si>
    <t>Мероприятие 10. Организация услуг по охране объектов и имущества учреждений дополнительного образования детей творческой и спортивно-технической направленностей и муниципального казенного образовательного учреждения Одинцовского районного центра психолого-педагогической, медицинской и социальной помощи "Сопровождение"</t>
  </si>
  <si>
    <t>Создание условий, отвечающих требованиям СанПиН в 100% общеобразовательных учреждениях. Проведение капитального ремонта (МБОУ Барвихинская СОШ, МБОУ Новогородковская СОШ)</t>
  </si>
  <si>
    <t>в т.ч. за счет иных МБТ в форме дотаций, предоставляемых из бюджета Московской области</t>
  </si>
  <si>
    <t xml:space="preserve">Приложение № 1 к муниципальной программе </t>
  </si>
  <si>
    <t xml:space="preserve">Создание условий, отвечающих требованиям СанПиН в 100% общеобразовательных учреждениях. Проведение ремонтных работ </t>
  </si>
  <si>
    <t>объем финансирования не определен</t>
  </si>
  <si>
    <t>А.В. Поляков</t>
  </si>
  <si>
    <t>Количество современных компьютеров (со сроком эксплуатации не более семи лет) на 100 обучающихся в общеобразовательных организациях Московской области - не ниже 13,8</t>
  </si>
  <si>
    <t>1.3.1</t>
  </si>
  <si>
    <t>Создание в муниципальных дошкольных образовательных организациях условий для получения детьми-инвалидами качественного образования</t>
  </si>
  <si>
    <t>1.3.2</t>
  </si>
  <si>
    <t>Создание в муниципальных общеобразовательных организациях (в том числе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</si>
  <si>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Строительство новых зданий, пристроек и реконструкция действующих зданий (4 объекта): 2018 год - 2 объекта, 2020 год - 1 объект, 2021 год - 1 объект)</t>
  </si>
  <si>
    <t xml:space="preserve">Приложение № 3
к постановлению Администрации Одинцовского 
муниципального района Московской области
от «24» 04.2018 № 1866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</si>
</sst>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00"/>
    <numFmt numFmtId="166" formatCode="#,##0.0000"/>
    <numFmt numFmtId="167" formatCode="0.00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3.5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Times New Roman"/>
      <family val="2"/>
    </font>
    <font>
      <sz val="13"/>
      <name val="Times New Roman"/>
      <family val="1"/>
      <charset val="204"/>
    </font>
    <font>
      <sz val="13.2"/>
      <name val="Times New Roman"/>
      <family val="1"/>
      <charset val="204"/>
    </font>
    <font>
      <sz val="14"/>
      <name val="Arial Cyr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4"/>
      <name val="Arial Cyr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0" fontId="2" fillId="0" borderId="0"/>
    <xf numFmtId="0" fontId="3" fillId="0" borderId="0" applyNumberFormat="0" applyFont="0" applyFill="0" applyBorder="0" applyAlignment="0" applyProtection="0">
      <alignment vertical="top"/>
    </xf>
    <xf numFmtId="0" fontId="4" fillId="0" borderId="0">
      <alignment vertical="center"/>
    </xf>
    <xf numFmtId="0" fontId="3" fillId="0" borderId="0" applyNumberFormat="0" applyFont="0" applyFill="0" applyBorder="0" applyAlignment="0" applyProtection="0">
      <alignment vertical="top"/>
    </xf>
    <xf numFmtId="0" fontId="1" fillId="0" borderId="0"/>
    <xf numFmtId="0" fontId="3" fillId="0" borderId="0"/>
    <xf numFmtId="0" fontId="3" fillId="0" borderId="0" applyNumberFormat="0" applyFont="0" applyFill="0" applyBorder="0" applyAlignment="0" applyProtection="0">
      <alignment vertical="top"/>
    </xf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 applyNumberFormat="0" applyFont="0" applyFill="0" applyBorder="0" applyAlignment="0" applyProtection="0">
      <alignment vertical="top"/>
    </xf>
  </cellStyleXfs>
  <cellXfs count="757">
    <xf numFmtId="0" fontId="0" fillId="0" borderId="0" xfId="0"/>
    <xf numFmtId="165" fontId="5" fillId="13" borderId="12" xfId="0" applyNumberFormat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/>
    </xf>
    <xf numFmtId="0" fontId="6" fillId="2" borderId="0" xfId="1" applyFont="1" applyFill="1"/>
    <xf numFmtId="0" fontId="6" fillId="2" borderId="0" xfId="1" applyFont="1" applyFill="1" applyAlignment="1">
      <alignment horizontal="center" vertical="center"/>
    </xf>
    <xf numFmtId="0" fontId="6" fillId="3" borderId="0" xfId="1" applyFont="1" applyFill="1"/>
    <xf numFmtId="0" fontId="6" fillId="0" borderId="0" xfId="1" applyFont="1" applyFill="1" applyAlignment="1"/>
    <xf numFmtId="0" fontId="6" fillId="2" borderId="0" xfId="1" applyFont="1" applyFill="1" applyAlignment="1"/>
    <xf numFmtId="0" fontId="7" fillId="0" borderId="0" xfId="0" applyFont="1"/>
    <xf numFmtId="0" fontId="8" fillId="2" borderId="0" xfId="7" applyNumberFormat="1" applyFont="1" applyFill="1" applyBorder="1" applyAlignment="1" applyProtection="1">
      <alignment vertical="top"/>
    </xf>
    <xf numFmtId="0" fontId="6" fillId="2" borderId="0" xfId="7" applyNumberFormat="1" applyFont="1" applyFill="1" applyBorder="1" applyAlignment="1" applyProtection="1">
      <alignment horizontal="center" vertical="center"/>
    </xf>
    <xf numFmtId="0" fontId="6" fillId="2" borderId="0" xfId="7" applyNumberFormat="1" applyFont="1" applyFill="1" applyBorder="1" applyAlignment="1" applyProtection="1">
      <alignment vertical="top"/>
    </xf>
    <xf numFmtId="0" fontId="9" fillId="3" borderId="0" xfId="7" applyNumberFormat="1" applyFont="1" applyFill="1" applyBorder="1" applyAlignment="1" applyProtection="1">
      <alignment horizontal="center" vertical="top"/>
    </xf>
    <xf numFmtId="0" fontId="6" fillId="2" borderId="0" xfId="7" applyNumberFormat="1" applyFont="1" applyFill="1" applyBorder="1" applyAlignment="1" applyProtection="1">
      <alignment vertical="top" wrapText="1"/>
    </xf>
    <xf numFmtId="0" fontId="6" fillId="0" borderId="0" xfId="7" applyNumberFormat="1" applyFont="1" applyFill="1" applyBorder="1" applyAlignment="1" applyProtection="1">
      <alignment vertical="top" wrapText="1"/>
    </xf>
    <xf numFmtId="0" fontId="6" fillId="3" borderId="0" xfId="7" applyNumberFormat="1" applyFont="1" applyFill="1" applyBorder="1" applyAlignment="1" applyProtection="1">
      <alignment vertical="top"/>
    </xf>
    <xf numFmtId="0" fontId="8" fillId="2" borderId="0" xfId="7" applyNumberFormat="1" applyFont="1" applyFill="1" applyBorder="1" applyAlignment="1" applyProtection="1">
      <alignment horizontal="center" vertical="top"/>
    </xf>
    <xf numFmtId="0" fontId="9" fillId="3" borderId="2" xfId="7" applyNumberFormat="1" applyFont="1" applyFill="1" applyBorder="1" applyAlignment="1" applyProtection="1">
      <alignment horizontal="center" vertical="center" wrapText="1"/>
    </xf>
    <xf numFmtId="0" fontId="9" fillId="13" borderId="2" xfId="7" applyNumberFormat="1" applyFont="1" applyFill="1" applyBorder="1" applyAlignment="1" applyProtection="1">
      <alignment horizontal="center" vertical="center" wrapText="1"/>
    </xf>
    <xf numFmtId="0" fontId="9" fillId="0" borderId="2" xfId="7" applyNumberFormat="1" applyFont="1" applyFill="1" applyBorder="1" applyAlignment="1" applyProtection="1">
      <alignment horizontal="center" vertical="center" wrapText="1"/>
    </xf>
    <xf numFmtId="49" fontId="9" fillId="0" borderId="26" xfId="4" applyNumberFormat="1" applyFont="1" applyFill="1" applyBorder="1" applyAlignment="1" applyProtection="1">
      <alignment horizontal="center" vertical="top"/>
    </xf>
    <xf numFmtId="49" fontId="9" fillId="0" borderId="2" xfId="4" applyNumberFormat="1" applyFont="1" applyFill="1" applyBorder="1" applyAlignment="1" applyProtection="1">
      <alignment horizontal="center" vertical="top"/>
    </xf>
    <xf numFmtId="49" fontId="9" fillId="12" borderId="2" xfId="4" applyNumberFormat="1" applyFont="1" applyFill="1" applyBorder="1" applyAlignment="1" applyProtection="1">
      <alignment horizontal="center" vertical="top"/>
    </xf>
    <xf numFmtId="49" fontId="9" fillId="13" borderId="2" xfId="4" applyNumberFormat="1" applyFont="1" applyFill="1" applyBorder="1" applyAlignment="1" applyProtection="1">
      <alignment horizontal="center" vertical="top"/>
    </xf>
    <xf numFmtId="49" fontId="9" fillId="0" borderId="27" xfId="4" applyNumberFormat="1" applyFont="1" applyFill="1" applyBorder="1" applyAlignment="1" applyProtection="1">
      <alignment horizontal="center" vertical="top"/>
    </xf>
    <xf numFmtId="0" fontId="9" fillId="0" borderId="2" xfId="1" applyFont="1" applyFill="1" applyBorder="1" applyAlignment="1">
      <alignment horizontal="center" vertical="center"/>
    </xf>
    <xf numFmtId="165" fontId="9" fillId="0" borderId="2" xfId="1" applyNumberFormat="1" applyFont="1" applyFill="1" applyBorder="1" applyAlignment="1">
      <alignment horizontal="center" vertical="center"/>
    </xf>
    <xf numFmtId="165" fontId="9" fillId="12" borderId="2" xfId="1" applyNumberFormat="1" applyFont="1" applyFill="1" applyBorder="1" applyAlignment="1">
      <alignment horizontal="center" vertical="center"/>
    </xf>
    <xf numFmtId="165" fontId="9" fillId="13" borderId="2" xfId="1" applyNumberFormat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 wrapText="1"/>
    </xf>
    <xf numFmtId="165" fontId="5" fillId="0" borderId="2" xfId="1" applyNumberFormat="1" applyFont="1" applyFill="1" applyBorder="1" applyAlignment="1">
      <alignment horizontal="center" vertical="center" wrapText="1"/>
    </xf>
    <xf numFmtId="165" fontId="9" fillId="12" borderId="2" xfId="1" applyNumberFormat="1" applyFont="1" applyFill="1" applyBorder="1" applyAlignment="1">
      <alignment horizontal="center" vertical="center" wrapText="1"/>
    </xf>
    <xf numFmtId="165" fontId="5" fillId="13" borderId="2" xfId="1" applyNumberFormat="1" applyFont="1" applyFill="1" applyBorder="1" applyAlignment="1">
      <alignment horizontal="center" vertical="center" wrapText="1"/>
    </xf>
    <xf numFmtId="165" fontId="7" fillId="0" borderId="0" xfId="0" applyNumberFormat="1" applyFont="1"/>
    <xf numFmtId="165" fontId="5" fillId="3" borderId="2" xfId="1" applyNumberFormat="1" applyFont="1" applyFill="1" applyBorder="1" applyAlignment="1">
      <alignment horizontal="center" vertical="center"/>
    </xf>
    <xf numFmtId="165" fontId="5" fillId="13" borderId="2" xfId="1" applyNumberFormat="1" applyFont="1" applyFill="1" applyBorder="1" applyAlignment="1">
      <alignment horizontal="center" vertical="center"/>
    </xf>
    <xf numFmtId="165" fontId="5" fillId="0" borderId="2" xfId="1" applyNumberFormat="1" applyFont="1" applyFill="1" applyBorder="1" applyAlignment="1">
      <alignment horizontal="center" vertical="center"/>
    </xf>
    <xf numFmtId="167" fontId="7" fillId="0" borderId="0" xfId="0" applyNumberFormat="1" applyFont="1"/>
    <xf numFmtId="0" fontId="9" fillId="4" borderId="2" xfId="7" applyNumberFormat="1" applyFont="1" applyFill="1" applyBorder="1" applyAlignment="1" applyProtection="1">
      <alignment horizontal="center" vertical="center" wrapText="1"/>
    </xf>
    <xf numFmtId="165" fontId="9" fillId="4" borderId="2" xfId="7" applyNumberFormat="1" applyFont="1" applyFill="1" applyBorder="1" applyAlignment="1" applyProtection="1">
      <alignment horizontal="center" vertical="center" wrapText="1"/>
    </xf>
    <xf numFmtId="165" fontId="9" fillId="12" borderId="2" xfId="7" applyNumberFormat="1" applyFont="1" applyFill="1" applyBorder="1" applyAlignment="1" applyProtection="1">
      <alignment horizontal="center" vertical="center" wrapText="1"/>
    </xf>
    <xf numFmtId="165" fontId="9" fillId="13" borderId="2" xfId="7" applyNumberFormat="1" applyFont="1" applyFill="1" applyBorder="1" applyAlignment="1" applyProtection="1">
      <alignment horizontal="center" vertical="center" wrapText="1"/>
    </xf>
    <xf numFmtId="4" fontId="10" fillId="0" borderId="0" xfId="0" applyNumberFormat="1" applyFont="1"/>
    <xf numFmtId="0" fontId="9" fillId="4" borderId="2" xfId="1" applyFont="1" applyFill="1" applyBorder="1" applyAlignment="1">
      <alignment horizontal="center" vertical="center" wrapText="1"/>
    </xf>
    <xf numFmtId="165" fontId="9" fillId="4" borderId="2" xfId="1" applyNumberFormat="1" applyFont="1" applyFill="1" applyBorder="1" applyAlignment="1">
      <alignment horizontal="center" vertical="center" wrapText="1"/>
    </xf>
    <xf numFmtId="165" fontId="9" fillId="13" borderId="2" xfId="1" applyNumberFormat="1" applyFont="1" applyFill="1" applyBorder="1" applyAlignment="1">
      <alignment horizontal="center" vertical="center" wrapText="1"/>
    </xf>
    <xf numFmtId="0" fontId="7" fillId="8" borderId="0" xfId="0" applyFont="1" applyFill="1"/>
    <xf numFmtId="49" fontId="9" fillId="4" borderId="16" xfId="7" applyNumberFormat="1" applyFont="1" applyFill="1" applyBorder="1" applyAlignment="1" applyProtection="1">
      <alignment horizontal="center" vertical="top"/>
    </xf>
    <xf numFmtId="16" fontId="9" fillId="4" borderId="8" xfId="7" applyNumberFormat="1" applyFont="1" applyFill="1" applyBorder="1" applyAlignment="1" applyProtection="1">
      <alignment horizontal="left" vertical="top" wrapText="1"/>
    </xf>
    <xf numFmtId="0" fontId="5" fillId="4" borderId="8" xfId="7" applyNumberFormat="1" applyFont="1" applyFill="1" applyBorder="1" applyAlignment="1" applyProtection="1">
      <alignment horizontal="center" vertical="center" wrapText="1"/>
    </xf>
    <xf numFmtId="0" fontId="5" fillId="4" borderId="34" xfId="7" applyNumberFormat="1" applyFont="1" applyFill="1" applyBorder="1" applyAlignment="1" applyProtection="1">
      <alignment horizontal="center" wrapText="1"/>
    </xf>
    <xf numFmtId="49" fontId="9" fillId="4" borderId="26" xfId="7" applyNumberFormat="1" applyFont="1" applyFill="1" applyBorder="1" applyAlignment="1" applyProtection="1">
      <alignment horizontal="center" vertical="top"/>
    </xf>
    <xf numFmtId="0" fontId="9" fillId="4" borderId="2" xfId="7" applyNumberFormat="1" applyFont="1" applyFill="1" applyBorder="1" applyAlignment="1" applyProtection="1">
      <alignment horizontal="left" vertical="top" wrapText="1"/>
    </xf>
    <xf numFmtId="0" fontId="5" fillId="4" borderId="27" xfId="7" applyNumberFormat="1" applyFont="1" applyFill="1" applyBorder="1" applyAlignment="1" applyProtection="1">
      <alignment horizontal="center" vertical="center" wrapText="1"/>
    </xf>
    <xf numFmtId="0" fontId="7" fillId="7" borderId="0" xfId="0" applyFont="1" applyFill="1"/>
    <xf numFmtId="0" fontId="7" fillId="10" borderId="0" xfId="0" applyFont="1" applyFill="1"/>
    <xf numFmtId="49" fontId="5" fillId="4" borderId="8" xfId="1" applyNumberFormat="1" applyFont="1" applyFill="1" applyBorder="1" applyAlignment="1">
      <alignment horizontal="center" vertical="center" wrapText="1"/>
    </xf>
    <xf numFmtId="0" fontId="5" fillId="4" borderId="34" xfId="7" applyNumberFormat="1" applyFont="1" applyFill="1" applyBorder="1" applyAlignment="1" applyProtection="1">
      <alignment horizontal="center" vertical="center" wrapText="1"/>
    </xf>
    <xf numFmtId="165" fontId="7" fillId="7" borderId="0" xfId="0" applyNumberFormat="1" applyFont="1" applyFill="1"/>
    <xf numFmtId="165" fontId="7" fillId="8" borderId="0" xfId="0" applyNumberFormat="1" applyFont="1" applyFill="1"/>
    <xf numFmtId="49" fontId="9" fillId="4" borderId="30" xfId="7" applyNumberFormat="1" applyFont="1" applyFill="1" applyBorder="1" applyAlignment="1" applyProtection="1">
      <alignment horizontal="center" vertical="top" wrapText="1"/>
    </xf>
    <xf numFmtId="164" fontId="9" fillId="4" borderId="6" xfId="1" applyNumberFormat="1" applyFont="1" applyFill="1" applyBorder="1" applyAlignment="1">
      <alignment horizontal="left" vertical="top" wrapText="1"/>
    </xf>
    <xf numFmtId="0" fontId="5" fillId="4" borderId="6" xfId="1" applyFont="1" applyFill="1" applyBorder="1" applyAlignment="1">
      <alignment horizontal="center" vertical="center" wrapText="1"/>
    </xf>
    <xf numFmtId="0" fontId="5" fillId="4" borderId="31" xfId="7" applyNumberFormat="1" applyFont="1" applyFill="1" applyBorder="1" applyAlignment="1" applyProtection="1">
      <alignment horizontal="center" vertical="center" wrapText="1"/>
    </xf>
    <xf numFmtId="49" fontId="9" fillId="4" borderId="30" xfId="7" applyNumberFormat="1" applyFont="1" applyFill="1" applyBorder="1" applyAlignment="1" applyProtection="1">
      <alignment horizontal="center" vertical="top"/>
    </xf>
    <xf numFmtId="0" fontId="9" fillId="4" borderId="6" xfId="7" applyNumberFormat="1" applyFont="1" applyFill="1" applyBorder="1" applyAlignment="1" applyProtection="1">
      <alignment horizontal="left" vertical="top" wrapText="1"/>
    </xf>
    <xf numFmtId="0" fontId="5" fillId="4" borderId="6" xfId="7" applyNumberFormat="1" applyFont="1" applyFill="1" applyBorder="1" applyAlignment="1" applyProtection="1">
      <alignment horizontal="center" vertical="center" wrapText="1"/>
    </xf>
    <xf numFmtId="0" fontId="7" fillId="7" borderId="0" xfId="0" applyFont="1" applyFill="1" applyAlignment="1"/>
    <xf numFmtId="1" fontId="9" fillId="4" borderId="4" xfId="4" applyNumberFormat="1" applyFont="1" applyFill="1" applyBorder="1" applyAlignment="1">
      <alignment vertical="top" wrapText="1"/>
    </xf>
    <xf numFmtId="0" fontId="5" fillId="4" borderId="2" xfId="1" applyFont="1" applyFill="1" applyBorder="1" applyAlignment="1">
      <alignment horizontal="center" vertical="center" wrapText="1"/>
    </xf>
    <xf numFmtId="49" fontId="9" fillId="4" borderId="26" xfId="7" applyNumberFormat="1" applyFont="1" applyFill="1" applyBorder="1" applyAlignment="1" applyProtection="1">
      <alignment horizontal="center" vertical="top" wrapText="1"/>
    </xf>
    <xf numFmtId="0" fontId="9" fillId="4" borderId="4" xfId="1" applyFont="1" applyFill="1" applyBorder="1" applyAlignment="1">
      <alignment vertical="top" wrapText="1"/>
    </xf>
    <xf numFmtId="49" fontId="9" fillId="4" borderId="2" xfId="7" applyNumberFormat="1" applyFont="1" applyFill="1" applyBorder="1" applyAlignment="1" applyProtection="1">
      <alignment horizontal="center" vertical="center" wrapText="1"/>
    </xf>
    <xf numFmtId="0" fontId="9" fillId="4" borderId="4" xfId="1" applyFont="1" applyFill="1" applyBorder="1" applyAlignment="1">
      <alignment horizontal="center" vertical="center" wrapText="1"/>
    </xf>
    <xf numFmtId="166" fontId="9" fillId="4" borderId="2" xfId="7" applyNumberFormat="1" applyFont="1" applyFill="1" applyBorder="1" applyAlignment="1" applyProtection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 shrinkToFit="1"/>
    </xf>
    <xf numFmtId="49" fontId="9" fillId="4" borderId="2" xfId="4" applyNumberFormat="1" applyFont="1" applyFill="1" applyBorder="1" applyAlignment="1" applyProtection="1">
      <alignment horizontal="center" vertical="center" wrapText="1"/>
    </xf>
    <xf numFmtId="165" fontId="9" fillId="4" borderId="2" xfId="4" applyNumberFormat="1" applyFont="1" applyFill="1" applyBorder="1" applyAlignment="1" applyProtection="1">
      <alignment horizontal="center" vertical="center"/>
    </xf>
    <xf numFmtId="165" fontId="9" fillId="12" borderId="2" xfId="4" applyNumberFormat="1" applyFont="1" applyFill="1" applyBorder="1" applyAlignment="1" applyProtection="1">
      <alignment horizontal="center" vertical="center"/>
    </xf>
    <xf numFmtId="165" fontId="9" fillId="13" borderId="2" xfId="4" applyNumberFormat="1" applyFont="1" applyFill="1" applyBorder="1" applyAlignment="1" applyProtection="1">
      <alignment horizontal="center" vertical="center"/>
    </xf>
    <xf numFmtId="165" fontId="9" fillId="4" borderId="2" xfId="4" applyNumberFormat="1" applyFont="1" applyFill="1" applyBorder="1" applyAlignment="1" applyProtection="1">
      <alignment horizontal="center" vertical="center" wrapText="1"/>
    </xf>
    <xf numFmtId="165" fontId="9" fillId="13" borderId="2" xfId="4" applyNumberFormat="1" applyFont="1" applyFill="1" applyBorder="1" applyAlignment="1" applyProtection="1">
      <alignment horizontal="center" vertical="center" wrapText="1"/>
    </xf>
    <xf numFmtId="49" fontId="9" fillId="4" borderId="32" xfId="4" applyNumberFormat="1" applyFont="1" applyFill="1" applyBorder="1" applyAlignment="1" applyProtection="1">
      <alignment horizontal="center" vertical="top"/>
    </xf>
    <xf numFmtId="49" fontId="9" fillId="4" borderId="7" xfId="4" applyNumberFormat="1" applyFont="1" applyFill="1" applyBorder="1" applyAlignment="1" applyProtection="1">
      <alignment horizontal="left" vertical="top" wrapText="1"/>
    </xf>
    <xf numFmtId="49" fontId="9" fillId="4" borderId="7" xfId="4" applyNumberFormat="1" applyFont="1" applyFill="1" applyBorder="1" applyAlignment="1" applyProtection="1">
      <alignment horizontal="center" vertical="center" wrapText="1"/>
    </xf>
    <xf numFmtId="49" fontId="5" fillId="4" borderId="2" xfId="4" applyNumberFormat="1" applyFont="1" applyFill="1" applyBorder="1" applyAlignment="1" applyProtection="1">
      <alignment horizontal="center" vertical="center" wrapText="1"/>
    </xf>
    <xf numFmtId="164" fontId="11" fillId="4" borderId="2" xfId="4" applyNumberFormat="1" applyFont="1" applyFill="1" applyBorder="1" applyAlignment="1" applyProtection="1">
      <alignment horizontal="center" vertical="center" wrapText="1"/>
    </xf>
    <xf numFmtId="49" fontId="9" fillId="4" borderId="2" xfId="4" applyNumberFormat="1" applyFont="1" applyFill="1" applyBorder="1" applyAlignment="1" applyProtection="1">
      <alignment horizontal="center" vertical="top"/>
    </xf>
    <xf numFmtId="49" fontId="9" fillId="4" borderId="2" xfId="4" applyNumberFormat="1" applyFont="1" applyFill="1" applyBorder="1" applyAlignment="1" applyProtection="1">
      <alignment horizontal="left" vertical="top" wrapText="1"/>
    </xf>
    <xf numFmtId="164" fontId="5" fillId="4" borderId="2" xfId="4" applyNumberFormat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165" fontId="5" fillId="0" borderId="8" xfId="1" applyNumberFormat="1" applyFont="1" applyFill="1" applyBorder="1" applyAlignment="1">
      <alignment horizontal="center" vertical="center" wrapText="1"/>
    </xf>
    <xf numFmtId="165" fontId="5" fillId="13" borderId="8" xfId="1" applyNumberFormat="1" applyFont="1" applyFill="1" applyBorder="1" applyAlignment="1">
      <alignment horizontal="center" vertical="center" wrapText="1"/>
    </xf>
    <xf numFmtId="165" fontId="6" fillId="0" borderId="8" xfId="1" applyNumberFormat="1" applyFont="1" applyFill="1" applyBorder="1" applyAlignment="1">
      <alignment horizontal="center" vertical="center" wrapText="1"/>
    </xf>
    <xf numFmtId="2" fontId="9" fillId="4" borderId="2" xfId="1" applyNumberFormat="1" applyFont="1" applyFill="1" applyBorder="1" applyAlignment="1" applyProtection="1">
      <alignment horizontal="center" vertical="center" wrapText="1"/>
    </xf>
    <xf numFmtId="165" fontId="5" fillId="4" borderId="2" xfId="1" applyNumberFormat="1" applyFont="1" applyFill="1" applyBorder="1" applyAlignment="1" applyProtection="1">
      <alignment horizontal="center" vertical="center" wrapText="1"/>
    </xf>
    <xf numFmtId="165" fontId="9" fillId="12" borderId="2" xfId="1" applyNumberFormat="1" applyFont="1" applyFill="1" applyBorder="1" applyAlignment="1" applyProtection="1">
      <alignment horizontal="center" vertical="center" wrapText="1"/>
    </xf>
    <xf numFmtId="165" fontId="5" fillId="13" borderId="2" xfId="1" applyNumberFormat="1" applyFont="1" applyFill="1" applyBorder="1" applyAlignment="1" applyProtection="1">
      <alignment horizontal="center" vertical="center" wrapText="1"/>
    </xf>
    <xf numFmtId="4" fontId="5" fillId="4" borderId="2" xfId="1" applyNumberFormat="1" applyFont="1" applyFill="1" applyBorder="1" applyAlignment="1" applyProtection="1">
      <alignment horizontal="center" vertical="center" wrapText="1"/>
    </xf>
    <xf numFmtId="165" fontId="6" fillId="4" borderId="2" xfId="1" applyNumberFormat="1" applyFont="1" applyFill="1" applyBorder="1" applyAlignment="1" applyProtection="1">
      <alignment horizontal="center" vertical="center" wrapText="1"/>
    </xf>
    <xf numFmtId="49" fontId="9" fillId="4" borderId="2" xfId="1" applyNumberFormat="1" applyFont="1" applyFill="1" applyBorder="1" applyAlignment="1" applyProtection="1">
      <alignment horizontal="center" vertical="top" wrapText="1"/>
    </xf>
    <xf numFmtId="0" fontId="9" fillId="4" borderId="2" xfId="1" applyNumberFormat="1" applyFont="1" applyFill="1" applyBorder="1" applyAlignment="1" applyProtection="1">
      <alignment horizontal="left" vertical="top" wrapText="1"/>
    </xf>
    <xf numFmtId="0" fontId="9" fillId="4" borderId="1" xfId="1" applyNumberFormat="1" applyFont="1" applyFill="1" applyBorder="1" applyAlignment="1" applyProtection="1">
      <alignment horizontal="center" vertical="center" wrapText="1"/>
    </xf>
    <xf numFmtId="165" fontId="9" fillId="12" borderId="6" xfId="1" applyNumberFormat="1" applyFont="1" applyFill="1" applyBorder="1" applyAlignment="1" applyProtection="1">
      <alignment horizontal="center" vertical="center" wrapText="1"/>
    </xf>
    <xf numFmtId="165" fontId="5" fillId="4" borderId="3" xfId="1" applyNumberFormat="1" applyFont="1" applyFill="1" applyBorder="1" applyAlignment="1" applyProtection="1">
      <alignment horizontal="center" vertical="center" wrapText="1"/>
    </xf>
    <xf numFmtId="165" fontId="9" fillId="5" borderId="2" xfId="7" applyNumberFormat="1" applyFont="1" applyFill="1" applyBorder="1" applyAlignment="1" applyProtection="1">
      <alignment horizontal="right" vertical="center" wrapText="1"/>
    </xf>
    <xf numFmtId="165" fontId="9" fillId="13" borderId="2" xfId="7" applyNumberFormat="1" applyFont="1" applyFill="1" applyBorder="1" applyAlignment="1" applyProtection="1">
      <alignment horizontal="right" vertical="center" wrapText="1"/>
    </xf>
    <xf numFmtId="0" fontId="5" fillId="5" borderId="2" xfId="1" applyFont="1" applyFill="1" applyBorder="1"/>
    <xf numFmtId="0" fontId="5" fillId="5" borderId="27" xfId="1" applyFont="1" applyFill="1" applyBorder="1" applyAlignment="1">
      <alignment vertical="center"/>
    </xf>
    <xf numFmtId="165" fontId="9" fillId="0" borderId="2" xfId="7" applyNumberFormat="1" applyFont="1" applyFill="1" applyBorder="1" applyAlignment="1" applyProtection="1">
      <alignment horizontal="right" vertical="center" wrapText="1"/>
    </xf>
    <xf numFmtId="0" fontId="5" fillId="0" borderId="2" xfId="1" applyFont="1" applyFill="1" applyBorder="1"/>
    <xf numFmtId="0" fontId="5" fillId="0" borderId="2" xfId="1" applyFont="1" applyBorder="1" applyAlignment="1">
      <alignment vertical="center"/>
    </xf>
    <xf numFmtId="165" fontId="9" fillId="0" borderId="2" xfId="1" applyNumberFormat="1" applyFont="1" applyFill="1" applyBorder="1" applyAlignment="1">
      <alignment horizontal="right" vertical="center"/>
    </xf>
    <xf numFmtId="165" fontId="9" fillId="13" borderId="2" xfId="1" applyNumberFormat="1" applyFont="1" applyFill="1" applyBorder="1" applyAlignment="1">
      <alignment horizontal="right" vertical="center"/>
    </xf>
    <xf numFmtId="0" fontId="10" fillId="0" borderId="0" xfId="0" applyFont="1"/>
    <xf numFmtId="165" fontId="7" fillId="12" borderId="0" xfId="0" applyNumberFormat="1" applyFont="1" applyFill="1"/>
    <xf numFmtId="165" fontId="7" fillId="0" borderId="0" xfId="0" applyNumberFormat="1" applyFont="1" applyFill="1"/>
    <xf numFmtId="165" fontId="10" fillId="0" borderId="0" xfId="0" applyNumberFormat="1" applyFont="1" applyFill="1"/>
    <xf numFmtId="165" fontId="10" fillId="12" borderId="0" xfId="0" applyNumberFormat="1" applyFont="1" applyFill="1"/>
    <xf numFmtId="0" fontId="7" fillId="12" borderId="0" xfId="0" applyFont="1" applyFill="1"/>
    <xf numFmtId="0" fontId="7" fillId="0" borderId="0" xfId="0" applyFont="1" applyFill="1"/>
    <xf numFmtId="0" fontId="6" fillId="12" borderId="0" xfId="1" applyFont="1" applyFill="1"/>
    <xf numFmtId="0" fontId="6" fillId="12" borderId="0" xfId="7" applyNumberFormat="1" applyFont="1" applyFill="1" applyBorder="1" applyAlignment="1" applyProtection="1">
      <alignment vertical="top"/>
    </xf>
    <xf numFmtId="0" fontId="6" fillId="2" borderId="0" xfId="7" applyNumberFormat="1" applyFont="1" applyFill="1" applyBorder="1" applyAlignment="1" applyProtection="1">
      <alignment horizontal="left" vertical="top" wrapText="1"/>
    </xf>
    <xf numFmtId="0" fontId="9" fillId="0" borderId="2" xfId="11" applyNumberFormat="1" applyFont="1" applyFill="1" applyBorder="1" applyAlignment="1" applyProtection="1">
      <alignment horizontal="center" vertical="center" wrapText="1"/>
    </xf>
    <xf numFmtId="0" fontId="9" fillId="13" borderId="2" xfId="11" applyNumberFormat="1" applyFont="1" applyFill="1" applyBorder="1" applyAlignment="1" applyProtection="1">
      <alignment horizontal="center" vertical="center" wrapText="1"/>
    </xf>
    <xf numFmtId="164" fontId="8" fillId="2" borderId="0" xfId="4" applyNumberFormat="1" applyFont="1" applyFill="1" applyBorder="1" applyAlignment="1" applyProtection="1">
      <alignment horizontal="center" vertical="center" wrapText="1"/>
    </xf>
    <xf numFmtId="0" fontId="3" fillId="2" borderId="0" xfId="4" applyNumberFormat="1" applyFont="1" applyFill="1" applyBorder="1" applyAlignment="1" applyProtection="1">
      <alignment vertical="top"/>
    </xf>
    <xf numFmtId="49" fontId="9" fillId="0" borderId="2" xfId="4" applyNumberFormat="1" applyFont="1" applyFill="1" applyBorder="1" applyAlignment="1" applyProtection="1">
      <alignment horizontal="center" vertical="center" wrapText="1"/>
    </xf>
    <xf numFmtId="165" fontId="9" fillId="0" borderId="2" xfId="4" applyNumberFormat="1" applyFont="1" applyFill="1" applyBorder="1" applyAlignment="1" applyProtection="1">
      <alignment horizontal="center" vertical="center"/>
    </xf>
    <xf numFmtId="49" fontId="9" fillId="0" borderId="6" xfId="4" applyNumberFormat="1" applyFont="1" applyFill="1" applyBorder="1" applyAlignment="1" applyProtection="1">
      <alignment horizontal="center" vertical="center" wrapText="1"/>
    </xf>
    <xf numFmtId="165" fontId="5" fillId="0" borderId="6" xfId="4" applyNumberFormat="1" applyFont="1" applyFill="1" applyBorder="1" applyAlignment="1" applyProtection="1">
      <alignment horizontal="center" vertical="center"/>
    </xf>
    <xf numFmtId="165" fontId="5" fillId="13" borderId="6" xfId="4" applyNumberFormat="1" applyFont="1" applyFill="1" applyBorder="1" applyAlignment="1" applyProtection="1">
      <alignment horizontal="center" vertical="center"/>
    </xf>
    <xf numFmtId="165" fontId="5" fillId="0" borderId="2" xfId="4" applyNumberFormat="1" applyFont="1" applyFill="1" applyBorder="1" applyAlignment="1" applyProtection="1">
      <alignment horizontal="center" vertical="center"/>
    </xf>
    <xf numFmtId="165" fontId="5" fillId="13" borderId="2" xfId="4" applyNumberFormat="1" applyFont="1" applyFill="1" applyBorder="1" applyAlignment="1" applyProtection="1">
      <alignment horizontal="center" vertical="center"/>
    </xf>
    <xf numFmtId="0" fontId="9" fillId="0" borderId="8" xfId="7" applyNumberFormat="1" applyFont="1" applyFill="1" applyBorder="1" applyAlignment="1" applyProtection="1">
      <alignment horizontal="center" vertical="center" wrapText="1"/>
    </xf>
    <xf numFmtId="49" fontId="9" fillId="4" borderId="8" xfId="4" applyNumberFormat="1" applyFont="1" applyFill="1" applyBorder="1" applyAlignment="1" applyProtection="1">
      <alignment horizontal="center" vertical="center" wrapText="1"/>
    </xf>
    <xf numFmtId="4" fontId="7" fillId="0" borderId="0" xfId="0" applyNumberFormat="1" applyFont="1"/>
    <xf numFmtId="49" fontId="9" fillId="4" borderId="30" xfId="4" applyNumberFormat="1" applyFont="1" applyFill="1" applyBorder="1" applyAlignment="1" applyProtection="1">
      <alignment horizontal="center" vertical="top" wrapText="1"/>
    </xf>
    <xf numFmtId="0" fontId="9" fillId="4" borderId="6" xfId="4" quotePrefix="1" applyNumberFormat="1" applyFont="1" applyFill="1" applyBorder="1" applyAlignment="1" applyProtection="1">
      <alignment horizontal="left" vertical="top" wrapText="1"/>
    </xf>
    <xf numFmtId="49" fontId="5" fillId="4" borderId="6" xfId="4" applyNumberFormat="1" applyFont="1" applyFill="1" applyBorder="1" applyAlignment="1" applyProtection="1">
      <alignment horizontal="center" vertical="center" wrapText="1"/>
    </xf>
    <xf numFmtId="0" fontId="5" fillId="4" borderId="2" xfId="10" applyFont="1" applyFill="1" applyBorder="1" applyAlignment="1">
      <alignment horizontal="center" vertical="center" wrapText="1"/>
    </xf>
    <xf numFmtId="49" fontId="9" fillId="4" borderId="26" xfId="4" applyNumberFormat="1" applyFont="1" applyFill="1" applyBorder="1" applyAlignment="1" applyProtection="1">
      <alignment horizontal="center" vertical="top"/>
    </xf>
    <xf numFmtId="0" fontId="9" fillId="4" borderId="2" xfId="4" applyNumberFormat="1" applyFont="1" applyFill="1" applyBorder="1" applyAlignment="1" applyProtection="1">
      <alignment horizontal="left" vertical="top" wrapText="1"/>
    </xf>
    <xf numFmtId="0" fontId="5" fillId="4" borderId="27" xfId="10" applyFont="1" applyFill="1" applyBorder="1" applyAlignment="1">
      <alignment horizontal="center" vertical="center" wrapText="1"/>
    </xf>
    <xf numFmtId="49" fontId="9" fillId="4" borderId="26" xfId="4" applyNumberFormat="1" applyFont="1" applyFill="1" applyBorder="1" applyAlignment="1" applyProtection="1">
      <alignment horizontal="center" vertical="top" wrapText="1"/>
    </xf>
    <xf numFmtId="0" fontId="5" fillId="4" borderId="31" xfId="10" applyFont="1" applyFill="1" applyBorder="1" applyAlignment="1">
      <alignment horizontal="center" vertical="center" wrapText="1"/>
    </xf>
    <xf numFmtId="0" fontId="9" fillId="4" borderId="6" xfId="4" applyNumberFormat="1" applyFont="1" applyFill="1" applyBorder="1" applyAlignment="1" applyProtection="1">
      <alignment horizontal="left" vertical="top" wrapText="1"/>
    </xf>
    <xf numFmtId="49" fontId="9" fillId="4" borderId="6" xfId="4" applyNumberFormat="1" applyFont="1" applyFill="1" applyBorder="1" applyAlignment="1" applyProtection="1">
      <alignment horizontal="center" vertical="center" wrapText="1"/>
    </xf>
    <xf numFmtId="165" fontId="9" fillId="4" borderId="6" xfId="4" applyNumberFormat="1" applyFont="1" applyFill="1" applyBorder="1" applyAlignment="1" applyProtection="1">
      <alignment horizontal="center" vertical="center"/>
    </xf>
    <xf numFmtId="165" fontId="9" fillId="13" borderId="6" xfId="4" applyNumberFormat="1" applyFont="1" applyFill="1" applyBorder="1" applyAlignment="1" applyProtection="1">
      <alignment horizontal="center" vertical="center"/>
    </xf>
    <xf numFmtId="49" fontId="5" fillId="4" borderId="8" xfId="4" applyNumberFormat="1" applyFont="1" applyFill="1" applyBorder="1" applyAlignment="1" applyProtection="1">
      <alignment horizontal="center" vertical="center" wrapText="1"/>
    </xf>
    <xf numFmtId="164" fontId="5" fillId="4" borderId="31" xfId="4" applyNumberFormat="1" applyFont="1" applyFill="1" applyBorder="1" applyAlignment="1" applyProtection="1">
      <alignment horizontal="center" vertical="center" wrapText="1"/>
    </xf>
    <xf numFmtId="164" fontId="5" fillId="4" borderId="27" xfId="4" applyNumberFormat="1" applyFont="1" applyFill="1" applyBorder="1" applyAlignment="1" applyProtection="1">
      <alignment horizontal="center" vertical="center" wrapText="1"/>
    </xf>
    <xf numFmtId="165" fontId="9" fillId="4" borderId="6" xfId="4" applyNumberFormat="1" applyFont="1" applyFill="1" applyBorder="1" applyAlignment="1" applyProtection="1">
      <alignment horizontal="center" vertical="center" wrapText="1"/>
    </xf>
    <xf numFmtId="165" fontId="9" fillId="13" borderId="6" xfId="4" applyNumberFormat="1" applyFont="1" applyFill="1" applyBorder="1" applyAlignment="1" applyProtection="1">
      <alignment horizontal="center" vertical="center" wrapText="1"/>
    </xf>
    <xf numFmtId="165" fontId="9" fillId="4" borderId="8" xfId="4" applyNumberFormat="1" applyFont="1" applyFill="1" applyBorder="1" applyAlignment="1" applyProtection="1">
      <alignment horizontal="center" vertical="center" wrapText="1"/>
    </xf>
    <xf numFmtId="165" fontId="9" fillId="13" borderId="8" xfId="4" applyNumberFormat="1" applyFont="1" applyFill="1" applyBorder="1" applyAlignment="1" applyProtection="1">
      <alignment horizontal="center" vertical="center" wrapText="1"/>
    </xf>
    <xf numFmtId="0" fontId="9" fillId="4" borderId="8" xfId="7" applyNumberFormat="1" applyFont="1" applyFill="1" applyBorder="1" applyAlignment="1" applyProtection="1">
      <alignment horizontal="center" vertical="center" wrapText="1"/>
    </xf>
    <xf numFmtId="165" fontId="9" fillId="4" borderId="8" xfId="1" applyNumberFormat="1" applyFont="1" applyFill="1" applyBorder="1" applyAlignment="1">
      <alignment horizontal="center" vertical="center" wrapText="1"/>
    </xf>
    <xf numFmtId="165" fontId="9" fillId="13" borderId="8" xfId="1" applyNumberFormat="1" applyFont="1" applyFill="1" applyBorder="1" applyAlignment="1">
      <alignment horizontal="center" vertical="center" wrapText="1"/>
    </xf>
    <xf numFmtId="165" fontId="9" fillId="4" borderId="8" xfId="4" applyNumberFormat="1" applyFont="1" applyFill="1" applyBorder="1" applyAlignment="1" applyProtection="1">
      <alignment horizontal="center" vertical="center"/>
    </xf>
    <xf numFmtId="165" fontId="9" fillId="12" borderId="8" xfId="4" applyNumberFormat="1" applyFont="1" applyFill="1" applyBorder="1" applyAlignment="1" applyProtection="1">
      <alignment horizontal="center" vertical="center"/>
    </xf>
    <xf numFmtId="165" fontId="9" fillId="13" borderId="8" xfId="4" applyNumberFormat="1" applyFont="1" applyFill="1" applyBorder="1" applyAlignment="1" applyProtection="1">
      <alignment horizontal="center" vertical="center"/>
    </xf>
    <xf numFmtId="0" fontId="12" fillId="11" borderId="0" xfId="0" applyFont="1" applyFill="1"/>
    <xf numFmtId="164" fontId="9" fillId="4" borderId="2" xfId="10" applyNumberFormat="1" applyFont="1" applyFill="1" applyBorder="1" applyAlignment="1">
      <alignment horizontal="left" vertical="top" wrapText="1"/>
    </xf>
    <xf numFmtId="165" fontId="9" fillId="4" borderId="2" xfId="4" applyNumberFormat="1" applyFont="1" applyFill="1" applyBorder="1" applyAlignment="1">
      <alignment horizontal="center" vertical="center" wrapText="1"/>
    </xf>
    <xf numFmtId="165" fontId="9" fillId="13" borderId="2" xfId="4" applyNumberFormat="1" applyFont="1" applyFill="1" applyBorder="1" applyAlignment="1">
      <alignment horizontal="center" vertical="center" wrapText="1"/>
    </xf>
    <xf numFmtId="165" fontId="9" fillId="4" borderId="2" xfId="11" applyNumberFormat="1" applyFont="1" applyFill="1" applyBorder="1" applyAlignment="1" applyProtection="1">
      <alignment horizontal="center" vertical="center" wrapText="1"/>
    </xf>
    <xf numFmtId="165" fontId="9" fillId="13" borderId="2" xfId="11" applyNumberFormat="1" applyFont="1" applyFill="1" applyBorder="1" applyAlignment="1" applyProtection="1">
      <alignment horizontal="center" vertical="center" wrapText="1"/>
    </xf>
    <xf numFmtId="0" fontId="9" fillId="4" borderId="4" xfId="7" applyNumberFormat="1" applyFont="1" applyFill="1" applyBorder="1" applyAlignment="1" applyProtection="1">
      <alignment horizontal="center" vertical="center" wrapText="1"/>
    </xf>
    <xf numFmtId="49" fontId="9" fillId="4" borderId="26" xfId="2" applyNumberFormat="1" applyFont="1" applyFill="1" applyBorder="1" applyAlignment="1" applyProtection="1">
      <alignment horizontal="center" vertical="top"/>
    </xf>
    <xf numFmtId="0" fontId="9" fillId="4" borderId="2" xfId="2" applyNumberFormat="1" applyFont="1" applyFill="1" applyBorder="1" applyAlignment="1" applyProtection="1">
      <alignment vertical="top" wrapText="1"/>
    </xf>
    <xf numFmtId="49" fontId="9" fillId="4" borderId="2" xfId="2" applyNumberFormat="1" applyFont="1" applyFill="1" applyBorder="1" applyAlignment="1" applyProtection="1">
      <alignment horizontal="center" vertical="center" wrapText="1"/>
    </xf>
    <xf numFmtId="165" fontId="9" fillId="4" borderId="2" xfId="2" applyNumberFormat="1" applyFont="1" applyFill="1" applyBorder="1" applyAlignment="1" applyProtection="1">
      <alignment horizontal="center" vertical="center"/>
    </xf>
    <xf numFmtId="165" fontId="9" fillId="12" borderId="2" xfId="2" applyNumberFormat="1" applyFont="1" applyFill="1" applyBorder="1" applyAlignment="1" applyProtection="1">
      <alignment horizontal="center" vertical="center"/>
    </xf>
    <xf numFmtId="165" fontId="9" fillId="13" borderId="2" xfId="2" applyNumberFormat="1" applyFont="1" applyFill="1" applyBorder="1" applyAlignment="1" applyProtection="1">
      <alignment horizontal="center" vertical="center"/>
    </xf>
    <xf numFmtId="0" fontId="5" fillId="4" borderId="27" xfId="0" applyFont="1" applyFill="1" applyBorder="1" applyAlignment="1">
      <alignment horizontal="center" vertical="center" wrapText="1"/>
    </xf>
    <xf numFmtId="0" fontId="9" fillId="4" borderId="2" xfId="2" applyNumberFormat="1" applyFont="1" applyFill="1" applyBorder="1" applyAlignment="1" applyProtection="1">
      <alignment horizontal="center" vertical="center" wrapText="1"/>
    </xf>
    <xf numFmtId="0" fontId="9" fillId="4" borderId="2" xfId="2" applyNumberFormat="1" applyFont="1" applyFill="1" applyBorder="1" applyAlignment="1" applyProtection="1">
      <alignment horizontal="left" vertical="top" wrapText="1"/>
    </xf>
    <xf numFmtId="49" fontId="9" fillId="4" borderId="16" xfId="2" applyNumberFormat="1" applyFont="1" applyFill="1" applyBorder="1" applyAlignment="1" applyProtection="1">
      <alignment horizontal="center" vertical="top"/>
    </xf>
    <xf numFmtId="0" fontId="9" fillId="4" borderId="8" xfId="2" applyNumberFormat="1" applyFont="1" applyFill="1" applyBorder="1" applyAlignment="1" applyProtection="1">
      <alignment horizontal="left" vertical="top" wrapText="1"/>
    </xf>
    <xf numFmtId="0" fontId="9" fillId="4" borderId="8" xfId="2" applyNumberFormat="1" applyFont="1" applyFill="1" applyBorder="1" applyAlignment="1" applyProtection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top" wrapText="1"/>
    </xf>
    <xf numFmtId="0" fontId="13" fillId="0" borderId="2" xfId="3" applyNumberFormat="1" applyFont="1" applyFill="1" applyBorder="1" applyAlignment="1" applyProtection="1">
      <alignment horizontal="center" vertical="center" wrapText="1"/>
    </xf>
    <xf numFmtId="0" fontId="9" fillId="0" borderId="8" xfId="3" applyNumberFormat="1" applyFont="1" applyFill="1" applyBorder="1" applyAlignment="1" applyProtection="1">
      <alignment horizontal="center" vertical="center" wrapText="1"/>
    </xf>
    <xf numFmtId="49" fontId="9" fillId="0" borderId="2" xfId="2" applyNumberFormat="1" applyFont="1" applyFill="1" applyBorder="1" applyAlignment="1" applyProtection="1">
      <alignment horizontal="center" vertical="center" wrapText="1"/>
    </xf>
    <xf numFmtId="165" fontId="5" fillId="0" borderId="2" xfId="3" applyNumberFormat="1" applyFont="1" applyFill="1" applyBorder="1" applyAlignment="1" applyProtection="1">
      <alignment horizontal="center" vertical="center" wrapText="1"/>
    </xf>
    <xf numFmtId="165" fontId="9" fillId="12" borderId="2" xfId="3" applyNumberFormat="1" applyFont="1" applyFill="1" applyBorder="1" applyAlignment="1" applyProtection="1">
      <alignment horizontal="center" vertical="center" wrapText="1"/>
    </xf>
    <xf numFmtId="165" fontId="5" fillId="13" borderId="2" xfId="3" applyNumberFormat="1" applyFont="1" applyFill="1" applyBorder="1" applyAlignment="1" applyProtection="1">
      <alignment horizontal="center" vertical="center" wrapText="1"/>
    </xf>
    <xf numFmtId="0" fontId="13" fillId="0" borderId="27" xfId="3" applyNumberFormat="1" applyFont="1" applyFill="1" applyBorder="1" applyAlignment="1" applyProtection="1">
      <alignment horizontal="center" vertical="top" wrapText="1"/>
    </xf>
    <xf numFmtId="49" fontId="13" fillId="4" borderId="30" xfId="3" applyNumberFormat="1" applyFont="1" applyFill="1" applyBorder="1" applyAlignment="1" applyProtection="1">
      <alignment horizontal="center" vertical="top" wrapText="1"/>
    </xf>
    <xf numFmtId="0" fontId="13" fillId="4" borderId="2" xfId="3" applyNumberFormat="1" applyFont="1" applyFill="1" applyBorder="1" applyAlignment="1" applyProtection="1">
      <alignment horizontal="left" vertical="top" wrapText="1"/>
    </xf>
    <xf numFmtId="165" fontId="13" fillId="4" borderId="2" xfId="3" applyNumberFormat="1" applyFont="1" applyFill="1" applyBorder="1" applyAlignment="1" applyProtection="1">
      <alignment horizontal="center" vertical="center" wrapText="1"/>
    </xf>
    <xf numFmtId="165" fontId="13" fillId="12" borderId="2" xfId="3" applyNumberFormat="1" applyFont="1" applyFill="1" applyBorder="1" applyAlignment="1" applyProtection="1">
      <alignment horizontal="center" vertical="center" wrapText="1"/>
    </xf>
    <xf numFmtId="165" fontId="13" fillId="13" borderId="2" xfId="3" applyNumberFormat="1" applyFont="1" applyFill="1" applyBorder="1" applyAlignment="1" applyProtection="1">
      <alignment horizontal="center" vertical="center" wrapText="1"/>
    </xf>
    <xf numFmtId="49" fontId="13" fillId="4" borderId="26" xfId="3" applyNumberFormat="1" applyFont="1" applyFill="1" applyBorder="1" applyAlignment="1" applyProtection="1">
      <alignment horizontal="center" vertical="top" wrapText="1"/>
    </xf>
    <xf numFmtId="0" fontId="13" fillId="4" borderId="8" xfId="3" applyNumberFormat="1" applyFont="1" applyFill="1" applyBorder="1" applyAlignment="1" applyProtection="1">
      <alignment horizontal="left" vertical="top" wrapText="1"/>
    </xf>
    <xf numFmtId="165" fontId="13" fillId="4" borderId="8" xfId="3" applyNumberFormat="1" applyFont="1" applyFill="1" applyBorder="1" applyAlignment="1" applyProtection="1">
      <alignment horizontal="center" vertical="center" wrapText="1"/>
    </xf>
    <xf numFmtId="165" fontId="13" fillId="12" borderId="8" xfId="3" applyNumberFormat="1" applyFont="1" applyFill="1" applyBorder="1" applyAlignment="1" applyProtection="1">
      <alignment horizontal="center" vertical="center" wrapText="1"/>
    </xf>
    <xf numFmtId="165" fontId="13" fillId="13" borderId="8" xfId="3" applyNumberFormat="1" applyFont="1" applyFill="1" applyBorder="1" applyAlignment="1" applyProtection="1">
      <alignment horizontal="center" vertical="center" wrapText="1"/>
    </xf>
    <xf numFmtId="0" fontId="9" fillId="0" borderId="2" xfId="1" applyNumberFormat="1" applyFont="1" applyFill="1" applyBorder="1" applyAlignment="1" applyProtection="1">
      <alignment horizontal="center" vertical="center" wrapText="1"/>
    </xf>
    <xf numFmtId="165" fontId="9" fillId="0" borderId="2" xfId="1" applyNumberFormat="1" applyFont="1" applyFill="1" applyBorder="1" applyAlignment="1" applyProtection="1">
      <alignment horizontal="center" vertical="center" wrapText="1"/>
    </xf>
    <xf numFmtId="165" fontId="9" fillId="3" borderId="2" xfId="1" applyNumberFormat="1" applyFont="1" applyFill="1" applyBorder="1" applyAlignment="1" applyProtection="1">
      <alignment horizontal="center" vertical="center" wrapText="1"/>
    </xf>
    <xf numFmtId="165" fontId="9" fillId="13" borderId="2" xfId="1" applyNumberFormat="1" applyFont="1" applyFill="1" applyBorder="1" applyAlignment="1" applyProtection="1">
      <alignment horizontal="center" vertical="center" wrapText="1"/>
    </xf>
    <xf numFmtId="165" fontId="5" fillId="3" borderId="2" xfId="1" applyNumberFormat="1" applyFont="1" applyFill="1" applyBorder="1" applyAlignment="1" applyProtection="1">
      <alignment horizontal="center" vertical="center" wrapText="1"/>
    </xf>
    <xf numFmtId="165" fontId="5" fillId="0" borderId="2" xfId="1" applyNumberFormat="1" applyFont="1" applyFill="1" applyBorder="1" applyAlignment="1" applyProtection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49" fontId="9" fillId="4" borderId="2" xfId="0" applyNumberFormat="1" applyFont="1" applyFill="1" applyBorder="1" applyAlignment="1">
      <alignment horizontal="center" vertical="center" wrapText="1"/>
    </xf>
    <xf numFmtId="165" fontId="5" fillId="4" borderId="2" xfId="0" applyNumberFormat="1" applyFont="1" applyFill="1" applyBorder="1" applyAlignment="1">
      <alignment horizontal="center" vertical="center" wrapText="1"/>
    </xf>
    <xf numFmtId="165" fontId="9" fillId="12" borderId="2" xfId="0" applyNumberFormat="1" applyFont="1" applyFill="1" applyBorder="1" applyAlignment="1">
      <alignment horizontal="center" vertical="center" wrapText="1"/>
    </xf>
    <xf numFmtId="165" fontId="5" fillId="13" borderId="2" xfId="0" applyNumberFormat="1" applyFont="1" applyFill="1" applyBorder="1" applyAlignment="1">
      <alignment horizontal="center" vertical="center" wrapText="1"/>
    </xf>
    <xf numFmtId="0" fontId="12" fillId="0" borderId="0" xfId="0" applyFont="1"/>
    <xf numFmtId="165" fontId="5" fillId="13" borderId="3" xfId="0" applyNumberFormat="1" applyFont="1" applyFill="1" applyBorder="1" applyAlignment="1">
      <alignment horizontal="center" vertical="center" wrapText="1"/>
    </xf>
    <xf numFmtId="165" fontId="5" fillId="4" borderId="3" xfId="0" applyNumberFormat="1" applyFont="1" applyFill="1" applyBorder="1" applyAlignment="1">
      <alignment horizontal="center" vertical="center" wrapText="1"/>
    </xf>
    <xf numFmtId="4" fontId="5" fillId="4" borderId="2" xfId="0" applyNumberFormat="1" applyFont="1" applyFill="1" applyBorder="1" applyAlignment="1">
      <alignment horizontal="center" vertical="center" wrapText="1"/>
    </xf>
    <xf numFmtId="4" fontId="5" fillId="13" borderId="2" xfId="0" applyNumberFormat="1" applyFont="1" applyFill="1" applyBorder="1" applyAlignment="1">
      <alignment horizontal="center" vertical="center" wrapText="1"/>
    </xf>
    <xf numFmtId="165" fontId="5" fillId="4" borderId="6" xfId="0" applyNumberFormat="1" applyFont="1" applyFill="1" applyBorder="1" applyAlignment="1">
      <alignment horizontal="center" vertical="center"/>
    </xf>
    <xf numFmtId="165" fontId="9" fillId="12" borderId="2" xfId="0" applyNumberFormat="1" applyFont="1" applyFill="1" applyBorder="1" applyAlignment="1">
      <alignment horizontal="center" vertical="center"/>
    </xf>
    <xf numFmtId="4" fontId="5" fillId="4" borderId="6" xfId="0" applyNumberFormat="1" applyFont="1" applyFill="1" applyBorder="1" applyAlignment="1">
      <alignment horizontal="center" vertical="center" wrapText="1"/>
    </xf>
    <xf numFmtId="4" fontId="5" fillId="13" borderId="12" xfId="0" applyNumberFormat="1" applyFont="1" applyFill="1" applyBorder="1" applyAlignment="1">
      <alignment horizontal="center" vertical="center" wrapText="1"/>
    </xf>
    <xf numFmtId="4" fontId="5" fillId="4" borderId="12" xfId="0" applyNumberFormat="1" applyFont="1" applyFill="1" applyBorder="1" applyAlignment="1">
      <alignment horizontal="center" vertical="center" wrapText="1"/>
    </xf>
    <xf numFmtId="165" fontId="5" fillId="13" borderId="12" xfId="0" applyNumberFormat="1" applyFont="1" applyFill="1" applyBorder="1" applyAlignment="1">
      <alignment horizontal="center" vertical="center"/>
    </xf>
    <xf numFmtId="165" fontId="5" fillId="4" borderId="12" xfId="0" applyNumberFormat="1" applyFont="1" applyFill="1" applyBorder="1" applyAlignment="1">
      <alignment horizontal="center" vertical="center"/>
    </xf>
    <xf numFmtId="49" fontId="9" fillId="4" borderId="28" xfId="0" applyNumberFormat="1" applyFont="1" applyFill="1" applyBorder="1" applyAlignment="1">
      <alignment horizontal="center" vertical="top"/>
    </xf>
    <xf numFmtId="0" fontId="9" fillId="4" borderId="12" xfId="0" applyFont="1" applyFill="1" applyBorder="1" applyAlignment="1">
      <alignment horizontal="left" vertical="top" wrapText="1"/>
    </xf>
    <xf numFmtId="0" fontId="9" fillId="4" borderId="5" xfId="0" applyFont="1" applyFill="1" applyBorder="1" applyAlignment="1">
      <alignment horizontal="center" vertical="center" wrapText="1"/>
    </xf>
    <xf numFmtId="165" fontId="5" fillId="4" borderId="6" xfId="0" applyNumberFormat="1" applyFont="1" applyFill="1" applyBorder="1" applyAlignment="1">
      <alignment horizontal="center" vertical="center" wrapText="1"/>
    </xf>
    <xf numFmtId="165" fontId="9" fillId="12" borderId="3" xfId="0" applyNumberFormat="1" applyFont="1" applyFill="1" applyBorder="1" applyAlignment="1">
      <alignment horizontal="center" vertical="center"/>
    </xf>
    <xf numFmtId="165" fontId="5" fillId="4" borderId="12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center" vertical="center" wrapText="1"/>
    </xf>
    <xf numFmtId="4" fontId="6" fillId="13" borderId="3" xfId="0" applyNumberFormat="1" applyFont="1" applyFill="1" applyBorder="1" applyAlignment="1">
      <alignment horizontal="center" vertical="center" wrapText="1"/>
    </xf>
    <xf numFmtId="4" fontId="6" fillId="4" borderId="2" xfId="0" applyNumberFormat="1" applyFont="1" applyFill="1" applyBorder="1" applyAlignment="1">
      <alignment horizontal="center" vertical="center" wrapText="1"/>
    </xf>
    <xf numFmtId="4" fontId="6" fillId="4" borderId="3" xfId="0" applyNumberFormat="1" applyFont="1" applyFill="1" applyBorder="1" applyAlignment="1">
      <alignment horizontal="center" vertical="center" wrapText="1"/>
    </xf>
    <xf numFmtId="165" fontId="6" fillId="13" borderId="12" xfId="0" applyNumberFormat="1" applyFont="1" applyFill="1" applyBorder="1" applyAlignment="1">
      <alignment horizontal="center" vertical="center" wrapText="1"/>
    </xf>
    <xf numFmtId="165" fontId="6" fillId="4" borderId="6" xfId="0" applyNumberFormat="1" applyFont="1" applyFill="1" applyBorder="1" applyAlignment="1">
      <alignment horizontal="center" vertical="center" wrapText="1"/>
    </xf>
    <xf numFmtId="165" fontId="9" fillId="5" borderId="2" xfId="4" applyNumberFormat="1" applyFont="1" applyFill="1" applyBorder="1" applyAlignment="1">
      <alignment horizontal="right" vertical="center" wrapText="1"/>
    </xf>
    <xf numFmtId="165" fontId="9" fillId="13" borderId="2" xfId="4" applyNumberFormat="1" applyFont="1" applyFill="1" applyBorder="1" applyAlignment="1">
      <alignment horizontal="right" vertical="center" wrapText="1"/>
    </xf>
    <xf numFmtId="0" fontId="5" fillId="5" borderId="2" xfId="4" applyNumberFormat="1" applyFont="1" applyFill="1" applyBorder="1" applyAlignment="1">
      <alignment horizontal="left" vertical="top" wrapText="1" indent="1"/>
    </xf>
    <xf numFmtId="0" fontId="9" fillId="5" borderId="2" xfId="4" applyNumberFormat="1" applyFont="1" applyFill="1" applyBorder="1" applyAlignment="1">
      <alignment horizontal="left" vertical="top" wrapText="1" indent="1"/>
    </xf>
    <xf numFmtId="165" fontId="9" fillId="0" borderId="2" xfId="4" applyNumberFormat="1" applyFont="1" applyFill="1" applyBorder="1" applyAlignment="1" applyProtection="1">
      <alignment horizontal="right" vertical="center"/>
    </xf>
    <xf numFmtId="165" fontId="9" fillId="13" borderId="2" xfId="4" applyNumberFormat="1" applyFont="1" applyFill="1" applyBorder="1" applyAlignment="1" applyProtection="1">
      <alignment horizontal="right" vertical="center"/>
    </xf>
    <xf numFmtId="0" fontId="5" fillId="0" borderId="2" xfId="4" applyNumberFormat="1" applyFont="1" applyFill="1" applyBorder="1" applyAlignment="1">
      <alignment horizontal="left" vertical="top" wrapText="1" indent="1"/>
    </xf>
    <xf numFmtId="0" fontId="9" fillId="0" borderId="2" xfId="4" applyNumberFormat="1" applyFont="1" applyFill="1" applyBorder="1" applyAlignment="1">
      <alignment horizontal="left" vertical="top" wrapText="1" indent="1"/>
    </xf>
    <xf numFmtId="165" fontId="5" fillId="0" borderId="2" xfId="4" applyNumberFormat="1" applyFont="1" applyFill="1" applyBorder="1" applyAlignment="1">
      <alignment horizontal="left" vertical="top" wrapText="1" indent="1"/>
    </xf>
    <xf numFmtId="0" fontId="8" fillId="0" borderId="0" xfId="1" applyFont="1" applyFill="1" applyBorder="1" applyAlignment="1">
      <alignment horizontal="right" vertical="center"/>
    </xf>
    <xf numFmtId="165" fontId="8" fillId="0" borderId="0" xfId="1" applyNumberFormat="1" applyFont="1" applyFill="1" applyBorder="1" applyAlignment="1">
      <alignment horizontal="right" vertical="center"/>
    </xf>
    <xf numFmtId="165" fontId="8" fillId="12" borderId="0" xfId="4" applyNumberFormat="1" applyFont="1" applyFill="1" applyBorder="1" applyAlignment="1" applyProtection="1">
      <alignment horizontal="right" vertical="center"/>
    </xf>
    <xf numFmtId="0" fontId="6" fillId="0" borderId="0" xfId="1" applyFont="1" applyFill="1" applyBorder="1"/>
    <xf numFmtId="0" fontId="6" fillId="0" borderId="0" xfId="1" applyFont="1" applyBorder="1" applyAlignment="1">
      <alignment vertical="center"/>
    </xf>
    <xf numFmtId="4" fontId="7" fillId="0" borderId="0" xfId="0" applyNumberFormat="1" applyFont="1" applyFill="1"/>
    <xf numFmtId="49" fontId="9" fillId="13" borderId="2" xfId="2" applyNumberFormat="1" applyFont="1" applyFill="1" applyBorder="1" applyAlignment="1" applyProtection="1">
      <alignment horizontal="center" vertical="center" wrapText="1"/>
    </xf>
    <xf numFmtId="165" fontId="5" fillId="0" borderId="2" xfId="2" applyNumberFormat="1" applyFont="1" applyFill="1" applyBorder="1" applyAlignment="1" applyProtection="1">
      <alignment horizontal="center" vertical="center" wrapText="1"/>
    </xf>
    <xf numFmtId="165" fontId="9" fillId="12" borderId="2" xfId="2" applyNumberFormat="1" applyFont="1" applyFill="1" applyBorder="1" applyAlignment="1" applyProtection="1">
      <alignment horizontal="center" vertical="center" wrapText="1"/>
    </xf>
    <xf numFmtId="165" fontId="5" fillId="13" borderId="2" xfId="2" applyNumberFormat="1" applyFont="1" applyFill="1" applyBorder="1" applyAlignment="1" applyProtection="1">
      <alignment horizontal="center" vertical="center" wrapText="1"/>
    </xf>
    <xf numFmtId="165" fontId="9" fillId="4" borderId="8" xfId="2" applyNumberFormat="1" applyFont="1" applyFill="1" applyBorder="1" applyAlignment="1" applyProtection="1">
      <alignment horizontal="center" vertical="center" wrapText="1"/>
    </xf>
    <xf numFmtId="165" fontId="9" fillId="12" borderId="8" xfId="4" applyNumberFormat="1" applyFont="1" applyFill="1" applyBorder="1" applyAlignment="1">
      <alignment horizontal="center" vertical="center" wrapText="1"/>
    </xf>
    <xf numFmtId="165" fontId="9" fillId="13" borderId="8" xfId="2" applyNumberFormat="1" applyFont="1" applyFill="1" applyBorder="1" applyAlignment="1" applyProtection="1">
      <alignment horizontal="center" vertical="center" wrapText="1"/>
    </xf>
    <xf numFmtId="165" fontId="9" fillId="12" borderId="2" xfId="4" applyNumberFormat="1" applyFont="1" applyFill="1" applyBorder="1" applyAlignment="1">
      <alignment horizontal="center" vertical="center" wrapText="1"/>
    </xf>
    <xf numFmtId="165" fontId="9" fillId="4" borderId="8" xfId="4" applyNumberFormat="1" applyFont="1" applyFill="1" applyBorder="1" applyAlignment="1">
      <alignment horizontal="center" vertical="center" wrapText="1"/>
    </xf>
    <xf numFmtId="165" fontId="9" fillId="13" borderId="8" xfId="4" applyNumberFormat="1" applyFont="1" applyFill="1" applyBorder="1" applyAlignment="1">
      <alignment horizontal="center" vertical="center" wrapText="1"/>
    </xf>
    <xf numFmtId="49" fontId="9" fillId="4" borderId="26" xfId="2" applyNumberFormat="1" applyFont="1" applyFill="1" applyBorder="1" applyAlignment="1" applyProtection="1">
      <alignment horizontal="center" vertical="top" wrapText="1"/>
    </xf>
    <xf numFmtId="49" fontId="5" fillId="4" borderId="2" xfId="0" applyNumberFormat="1" applyFont="1" applyFill="1" applyBorder="1" applyAlignment="1">
      <alignment horizontal="center" vertical="center" wrapText="1"/>
    </xf>
    <xf numFmtId="164" fontId="5" fillId="4" borderId="34" xfId="0" applyNumberFormat="1" applyFont="1" applyFill="1" applyBorder="1" applyAlignment="1" applyProtection="1">
      <alignment horizontal="center" vertical="center" wrapText="1"/>
    </xf>
    <xf numFmtId="49" fontId="9" fillId="4" borderId="16" xfId="2" applyNumberFormat="1" applyFont="1" applyFill="1" applyBorder="1" applyAlignment="1" applyProtection="1">
      <alignment horizontal="center" vertical="top" wrapText="1"/>
    </xf>
    <xf numFmtId="164" fontId="9" fillId="4" borderId="2" xfId="0" applyNumberFormat="1" applyFont="1" applyFill="1" applyBorder="1" applyAlignment="1">
      <alignment horizontal="left" vertical="top" wrapText="1"/>
    </xf>
    <xf numFmtId="1" fontId="9" fillId="4" borderId="4" xfId="4" applyNumberFormat="1" applyFont="1" applyFill="1" applyBorder="1" applyAlignment="1">
      <alignment horizontal="left" vertical="top" wrapText="1"/>
    </xf>
    <xf numFmtId="49" fontId="5" fillId="4" borderId="27" xfId="0" applyNumberFormat="1" applyFont="1" applyFill="1" applyBorder="1" applyAlignment="1" applyProtection="1">
      <alignment horizontal="center" vertical="center" wrapText="1"/>
    </xf>
    <xf numFmtId="49" fontId="9" fillId="4" borderId="30" xfId="2" applyNumberFormat="1" applyFont="1" applyFill="1" applyBorder="1" applyAlignment="1" applyProtection="1">
      <alignment horizontal="center" vertical="top" wrapText="1"/>
    </xf>
    <xf numFmtId="49" fontId="9" fillId="4" borderId="6" xfId="2" applyNumberFormat="1" applyFont="1" applyFill="1" applyBorder="1" applyAlignment="1" applyProtection="1">
      <alignment horizontal="left" vertical="top" wrapText="1"/>
    </xf>
    <xf numFmtId="165" fontId="9" fillId="4" borderId="2" xfId="2" applyNumberFormat="1" applyFont="1" applyFill="1" applyBorder="1" applyAlignment="1" applyProtection="1">
      <alignment horizontal="center" vertical="center" wrapText="1"/>
    </xf>
    <xf numFmtId="165" fontId="9" fillId="13" borderId="2" xfId="2" applyNumberFormat="1" applyFont="1" applyFill="1" applyBorder="1" applyAlignment="1" applyProtection="1">
      <alignment horizontal="center" vertical="center" wrapText="1"/>
    </xf>
    <xf numFmtId="0" fontId="5" fillId="4" borderId="6" xfId="2" applyNumberFormat="1" applyFont="1" applyFill="1" applyBorder="1" applyAlignment="1" applyProtection="1">
      <alignment horizontal="center" vertical="center" wrapText="1"/>
    </xf>
    <xf numFmtId="0" fontId="5" fillId="4" borderId="31" xfId="0" applyNumberFormat="1" applyFont="1" applyFill="1" applyBorder="1" applyAlignment="1" applyProtection="1">
      <alignment horizontal="center" vertical="center" wrapText="1"/>
    </xf>
    <xf numFmtId="49" fontId="9" fillId="4" borderId="2" xfId="4" applyNumberFormat="1" applyFont="1" applyFill="1" applyBorder="1" applyAlignment="1" applyProtection="1">
      <alignment vertical="top" wrapText="1"/>
    </xf>
    <xf numFmtId="165" fontId="9" fillId="12" borderId="8" xfId="2" applyNumberFormat="1" applyFont="1" applyFill="1" applyBorder="1" applyAlignment="1" applyProtection="1">
      <alignment horizontal="center" vertical="center" wrapText="1"/>
    </xf>
    <xf numFmtId="0" fontId="5" fillId="4" borderId="27" xfId="0" applyNumberFormat="1" applyFont="1" applyFill="1" applyBorder="1" applyAlignment="1" applyProtection="1">
      <alignment horizontal="center" vertical="center" wrapText="1"/>
    </xf>
    <xf numFmtId="49" fontId="9" fillId="4" borderId="6" xfId="4" applyNumberFormat="1" applyFont="1" applyFill="1" applyBorder="1" applyAlignment="1" applyProtection="1">
      <alignment horizontal="left" vertical="top" wrapText="1"/>
    </xf>
    <xf numFmtId="0" fontId="9" fillId="4" borderId="7" xfId="2" applyNumberFormat="1" applyFont="1" applyFill="1" applyBorder="1" applyAlignment="1" applyProtection="1">
      <alignment horizontal="center" vertical="center" wrapText="1"/>
    </xf>
    <xf numFmtId="49" fontId="9" fillId="4" borderId="8" xfId="2" applyNumberFormat="1" applyFont="1" applyFill="1" applyBorder="1" applyAlignment="1" applyProtection="1">
      <alignment horizontal="center" vertical="center" wrapText="1"/>
    </xf>
    <xf numFmtId="49" fontId="9" fillId="0" borderId="8" xfId="2" applyNumberFormat="1" applyFont="1" applyFill="1" applyBorder="1" applyAlignment="1" applyProtection="1">
      <alignment horizontal="center" vertical="center" wrapText="1"/>
    </xf>
    <xf numFmtId="165" fontId="9" fillId="0" borderId="8" xfId="2" applyNumberFormat="1" applyFont="1" applyFill="1" applyBorder="1" applyAlignment="1" applyProtection="1">
      <alignment horizontal="center" vertical="center" wrapText="1"/>
    </xf>
    <xf numFmtId="165" fontId="5" fillId="0" borderId="8" xfId="2" applyNumberFormat="1" applyFont="1" applyFill="1" applyBorder="1" applyAlignment="1" applyProtection="1">
      <alignment horizontal="center" vertical="center" wrapText="1"/>
    </xf>
    <xf numFmtId="165" fontId="5" fillId="13" borderId="8" xfId="2" applyNumberFormat="1" applyFont="1" applyFill="1" applyBorder="1" applyAlignment="1" applyProtection="1">
      <alignment horizontal="center" vertical="center" wrapText="1"/>
    </xf>
    <xf numFmtId="0" fontId="9" fillId="4" borderId="6" xfId="2" applyNumberFormat="1" applyFont="1" applyFill="1" applyBorder="1" applyAlignment="1" applyProtection="1">
      <alignment horizontal="left" vertical="top" wrapText="1"/>
    </xf>
    <xf numFmtId="0" fontId="9" fillId="4" borderId="6" xfId="2" applyNumberFormat="1" applyFont="1" applyFill="1" applyBorder="1" applyAlignment="1" applyProtection="1">
      <alignment horizontal="center" vertical="center" wrapText="1"/>
    </xf>
    <xf numFmtId="165" fontId="9" fillId="0" borderId="2" xfId="2" applyNumberFormat="1" applyFont="1" applyFill="1" applyBorder="1" applyAlignment="1" applyProtection="1">
      <alignment horizontal="center" vertical="center" wrapText="1"/>
    </xf>
    <xf numFmtId="165" fontId="5" fillId="0" borderId="2" xfId="4" applyNumberFormat="1" applyFont="1" applyFill="1" applyBorder="1" applyAlignment="1" applyProtection="1">
      <alignment horizontal="center" vertical="center" wrapText="1"/>
    </xf>
    <xf numFmtId="165" fontId="5" fillId="13" borderId="2" xfId="4" applyNumberFormat="1" applyFont="1" applyFill="1" applyBorder="1" applyAlignment="1" applyProtection="1">
      <alignment horizontal="center" vertical="center" wrapText="1"/>
    </xf>
    <xf numFmtId="165" fontId="9" fillId="4" borderId="7" xfId="2" applyNumberFormat="1" applyFont="1" applyFill="1" applyBorder="1" applyAlignment="1" applyProtection="1">
      <alignment horizontal="center" vertical="center" wrapText="1"/>
    </xf>
    <xf numFmtId="165" fontId="9" fillId="12" borderId="8" xfId="2" applyNumberFormat="1" applyFont="1" applyFill="1" applyBorder="1" applyAlignment="1" applyProtection="1">
      <alignment horizontal="center" vertical="center"/>
    </xf>
    <xf numFmtId="165" fontId="9" fillId="13" borderId="7" xfId="2" applyNumberFormat="1" applyFont="1" applyFill="1" applyBorder="1" applyAlignment="1" applyProtection="1">
      <alignment horizontal="center" vertical="center" wrapText="1"/>
    </xf>
    <xf numFmtId="165" fontId="9" fillId="5" borderId="2" xfId="4" applyNumberFormat="1" applyFont="1" applyFill="1" applyBorder="1" applyAlignment="1" applyProtection="1">
      <alignment horizontal="right" vertical="center"/>
    </xf>
    <xf numFmtId="0" fontId="18" fillId="5" borderId="2" xfId="4" applyNumberFormat="1" applyFont="1" applyFill="1" applyBorder="1" applyAlignment="1" applyProtection="1">
      <alignment vertical="top"/>
    </xf>
    <xf numFmtId="0" fontId="18" fillId="5" borderId="27" xfId="4" applyNumberFormat="1" applyFont="1" applyFill="1" applyBorder="1" applyAlignment="1" applyProtection="1">
      <alignment vertical="top"/>
    </xf>
    <xf numFmtId="0" fontId="18" fillId="0" borderId="2" xfId="4" applyNumberFormat="1" applyFont="1" applyFill="1" applyBorder="1" applyAlignment="1" applyProtection="1">
      <alignment vertical="top"/>
    </xf>
    <xf numFmtId="0" fontId="18" fillId="0" borderId="27" xfId="4" applyNumberFormat="1" applyFont="1" applyFill="1" applyBorder="1" applyAlignment="1" applyProtection="1">
      <alignment vertical="top"/>
    </xf>
    <xf numFmtId="165" fontId="9" fillId="0" borderId="37" xfId="1" applyNumberFormat="1" applyFont="1" applyFill="1" applyBorder="1" applyAlignment="1">
      <alignment horizontal="right" vertical="center"/>
    </xf>
    <xf numFmtId="165" fontId="9" fillId="5" borderId="37" xfId="4" applyNumberFormat="1" applyFont="1" applyFill="1" applyBorder="1" applyAlignment="1" applyProtection="1">
      <alignment horizontal="right" vertical="center"/>
    </xf>
    <xf numFmtId="165" fontId="9" fillId="13" borderId="37" xfId="1" applyNumberFormat="1" applyFont="1" applyFill="1" applyBorder="1" applyAlignment="1">
      <alignment horizontal="right" vertical="center"/>
    </xf>
    <xf numFmtId="0" fontId="5" fillId="0" borderId="37" xfId="1" applyFont="1" applyFill="1" applyBorder="1"/>
    <xf numFmtId="0" fontId="5" fillId="0" borderId="38" xfId="1" applyFont="1" applyBorder="1" applyAlignment="1">
      <alignment vertical="center"/>
    </xf>
    <xf numFmtId="0" fontId="7" fillId="0" borderId="0" xfId="0" applyFont="1" applyAlignment="1">
      <alignment horizontal="center"/>
    </xf>
    <xf numFmtId="0" fontId="9" fillId="2" borderId="2" xfId="1" applyNumberFormat="1" applyFont="1" applyFill="1" applyBorder="1" applyAlignment="1" applyProtection="1">
      <alignment horizontal="center" vertical="center" wrapText="1"/>
    </xf>
    <xf numFmtId="0" fontId="9" fillId="13" borderId="2" xfId="1" applyNumberFormat="1" applyFont="1" applyFill="1" applyBorder="1" applyAlignment="1" applyProtection="1">
      <alignment horizontal="center" vertical="center" wrapText="1"/>
    </xf>
    <xf numFmtId="49" fontId="5" fillId="0" borderId="26" xfId="5" applyNumberFormat="1" applyFont="1" applyFill="1" applyBorder="1" applyAlignment="1" applyProtection="1">
      <alignment horizontal="center" vertical="top"/>
    </xf>
    <xf numFmtId="0" fontId="13" fillId="0" borderId="2" xfId="3" applyNumberFormat="1" applyFont="1" applyFill="1" applyBorder="1" applyAlignment="1" applyProtection="1">
      <alignment horizontal="center" vertical="top" wrapText="1"/>
    </xf>
    <xf numFmtId="0" fontId="9" fillId="4" borderId="2" xfId="3" applyNumberFormat="1" applyFont="1" applyFill="1" applyBorder="1" applyAlignment="1" applyProtection="1">
      <alignment horizontal="center" vertical="center" wrapText="1"/>
    </xf>
    <xf numFmtId="0" fontId="5" fillId="4" borderId="2" xfId="3" applyFont="1" applyFill="1" applyBorder="1" applyAlignment="1">
      <alignment horizontal="center" vertical="center" wrapText="1"/>
    </xf>
    <xf numFmtId="0" fontId="5" fillId="4" borderId="27" xfId="3" applyFont="1" applyFill="1" applyBorder="1" applyAlignment="1">
      <alignment horizontal="center" vertical="center" wrapText="1"/>
    </xf>
    <xf numFmtId="0" fontId="5" fillId="4" borderId="8" xfId="3" applyFont="1" applyFill="1" applyBorder="1" applyAlignment="1">
      <alignment horizontal="center" vertical="center" wrapText="1"/>
    </xf>
    <xf numFmtId="0" fontId="5" fillId="4" borderId="34" xfId="3" applyFont="1" applyFill="1" applyBorder="1" applyAlignment="1">
      <alignment horizontal="center" vertical="center" wrapText="1"/>
    </xf>
    <xf numFmtId="49" fontId="13" fillId="4" borderId="16" xfId="3" applyNumberFormat="1" applyFont="1" applyFill="1" applyBorder="1" applyAlignment="1" applyProtection="1">
      <alignment horizontal="center" vertical="top" wrapText="1"/>
    </xf>
    <xf numFmtId="0" fontId="13" fillId="4" borderId="8" xfId="3" applyNumberFormat="1" applyFont="1" applyFill="1" applyBorder="1" applyAlignment="1" applyProtection="1">
      <alignment vertical="top" wrapText="1"/>
    </xf>
    <xf numFmtId="49" fontId="9" fillId="4" borderId="26" xfId="3" applyNumberFormat="1" applyFont="1" applyFill="1" applyBorder="1" applyAlignment="1" applyProtection="1">
      <alignment horizontal="center" vertical="top" wrapText="1"/>
    </xf>
    <xf numFmtId="0" fontId="9" fillId="4" borderId="2" xfId="3" applyNumberFormat="1" applyFont="1" applyFill="1" applyBorder="1" applyAlignment="1" applyProtection="1">
      <alignment vertical="top" wrapText="1"/>
    </xf>
    <xf numFmtId="165" fontId="9" fillId="4" borderId="2" xfId="3" applyNumberFormat="1" applyFont="1" applyFill="1" applyBorder="1" applyAlignment="1" applyProtection="1">
      <alignment horizontal="center" vertical="center" wrapText="1"/>
    </xf>
    <xf numFmtId="165" fontId="9" fillId="13" borderId="2" xfId="3" applyNumberFormat="1" applyFont="1" applyFill="1" applyBorder="1" applyAlignment="1" applyProtection="1">
      <alignment horizontal="center" vertical="center" wrapText="1"/>
    </xf>
    <xf numFmtId="0" fontId="9" fillId="4" borderId="3" xfId="2" applyNumberFormat="1" applyFont="1" applyFill="1" applyBorder="1" applyAlignment="1" applyProtection="1">
      <alignment horizontal="left" vertical="top" wrapText="1"/>
    </xf>
    <xf numFmtId="0" fontId="5" fillId="4" borderId="31" xfId="3" applyFont="1" applyFill="1" applyBorder="1" applyAlignment="1">
      <alignment horizontal="center" vertical="center" wrapText="1"/>
    </xf>
    <xf numFmtId="165" fontId="9" fillId="0" borderId="2" xfId="5" applyNumberFormat="1" applyFont="1" applyFill="1" applyBorder="1" applyAlignment="1" applyProtection="1">
      <alignment horizontal="center" vertical="center"/>
    </xf>
    <xf numFmtId="165" fontId="9" fillId="12" borderId="2" xfId="5" applyNumberFormat="1" applyFont="1" applyFill="1" applyBorder="1" applyAlignment="1" applyProtection="1">
      <alignment horizontal="center" vertical="center"/>
    </xf>
    <xf numFmtId="165" fontId="9" fillId="13" borderId="2" xfId="5" applyNumberFormat="1" applyFont="1" applyFill="1" applyBorder="1" applyAlignment="1" applyProtection="1">
      <alignment horizontal="center" vertical="center"/>
    </xf>
    <xf numFmtId="165" fontId="5" fillId="0" borderId="2" xfId="5" applyNumberFormat="1" applyFont="1" applyFill="1" applyBorder="1" applyAlignment="1" applyProtection="1">
      <alignment horizontal="center" vertical="center"/>
    </xf>
    <xf numFmtId="165" fontId="5" fillId="13" borderId="2" xfId="5" applyNumberFormat="1" applyFont="1" applyFill="1" applyBorder="1" applyAlignment="1" applyProtection="1">
      <alignment horizontal="center" vertical="center"/>
    </xf>
    <xf numFmtId="49" fontId="9" fillId="4" borderId="26" xfId="5" applyNumberFormat="1" applyFont="1" applyFill="1" applyBorder="1" applyAlignment="1" applyProtection="1">
      <alignment horizontal="center" vertical="top" wrapText="1"/>
    </xf>
    <xf numFmtId="49" fontId="9" fillId="4" borderId="2" xfId="5" applyNumberFormat="1" applyFont="1" applyFill="1" applyBorder="1" applyAlignment="1" applyProtection="1">
      <alignment horizontal="left" vertical="top" wrapText="1"/>
    </xf>
    <xf numFmtId="49" fontId="9" fillId="4" borderId="2" xfId="5" applyNumberFormat="1" applyFont="1" applyFill="1" applyBorder="1" applyAlignment="1" applyProtection="1">
      <alignment horizontal="center" vertical="center" wrapText="1"/>
    </xf>
    <xf numFmtId="165" fontId="9" fillId="4" borderId="2" xfId="5" applyNumberFormat="1" applyFont="1" applyFill="1" applyBorder="1" applyAlignment="1" applyProtection="1">
      <alignment horizontal="center" vertical="center" wrapText="1"/>
    </xf>
    <xf numFmtId="165" fontId="9" fillId="12" borderId="2" xfId="5" applyNumberFormat="1" applyFont="1" applyFill="1" applyBorder="1" applyAlignment="1" applyProtection="1">
      <alignment horizontal="center" vertical="center" wrapText="1"/>
    </xf>
    <xf numFmtId="165" fontId="9" fillId="13" borderId="2" xfId="5" applyNumberFormat="1" applyFont="1" applyFill="1" applyBorder="1" applyAlignment="1" applyProtection="1">
      <alignment horizontal="center" vertical="center" wrapText="1"/>
    </xf>
    <xf numFmtId="49" fontId="5" fillId="4" borderId="2" xfId="5" applyNumberFormat="1" applyFont="1" applyFill="1" applyBorder="1" applyAlignment="1" applyProtection="1">
      <alignment horizontal="center" vertical="center" wrapText="1"/>
    </xf>
    <xf numFmtId="49" fontId="5" fillId="4" borderId="27" xfId="5" applyNumberFormat="1" applyFont="1" applyFill="1" applyBorder="1" applyAlignment="1" applyProtection="1">
      <alignment horizontal="center" vertical="center" wrapText="1"/>
    </xf>
    <xf numFmtId="49" fontId="9" fillId="4" borderId="2" xfId="5" applyNumberFormat="1" applyFont="1" applyFill="1" applyBorder="1" applyAlignment="1" applyProtection="1">
      <alignment vertical="top" wrapText="1"/>
    </xf>
    <xf numFmtId="49" fontId="5" fillId="4" borderId="6" xfId="5" applyNumberFormat="1" applyFont="1" applyFill="1" applyBorder="1" applyAlignment="1" applyProtection="1">
      <alignment horizontal="center" vertical="center" wrapText="1"/>
    </xf>
    <xf numFmtId="49" fontId="5" fillId="4" borderId="31" xfId="5" applyNumberFormat="1" applyFont="1" applyFill="1" applyBorder="1" applyAlignment="1" applyProtection="1">
      <alignment horizontal="center" vertical="center" wrapText="1"/>
    </xf>
    <xf numFmtId="49" fontId="9" fillId="4" borderId="26" xfId="5" applyNumberFormat="1" applyFont="1" applyFill="1" applyBorder="1" applyAlignment="1" applyProtection="1">
      <alignment horizontal="center" vertical="top"/>
    </xf>
    <xf numFmtId="0" fontId="9" fillId="4" borderId="2" xfId="5" applyNumberFormat="1" applyFont="1" applyFill="1" applyBorder="1" applyAlignment="1" applyProtection="1">
      <alignment horizontal="left" vertical="top" wrapText="1"/>
    </xf>
    <xf numFmtId="0" fontId="5" fillId="4" borderId="27" xfId="5" applyNumberFormat="1" applyFont="1" applyFill="1" applyBorder="1" applyAlignment="1" applyProtection="1">
      <alignment horizontal="center" vertical="center" wrapText="1"/>
    </xf>
    <xf numFmtId="0" fontId="9" fillId="5" borderId="27" xfId="4" applyNumberFormat="1" applyFont="1" applyFill="1" applyBorder="1" applyAlignment="1">
      <alignment horizontal="left" vertical="top" wrapText="1" indent="1"/>
    </xf>
    <xf numFmtId="0" fontId="9" fillId="0" borderId="27" xfId="4" applyNumberFormat="1" applyFont="1" applyFill="1" applyBorder="1" applyAlignment="1">
      <alignment horizontal="left" vertical="top" wrapText="1" indent="1"/>
    </xf>
    <xf numFmtId="165" fontId="9" fillId="0" borderId="37" xfId="4" applyNumberFormat="1" applyFont="1" applyFill="1" applyBorder="1" applyAlignment="1" applyProtection="1">
      <alignment horizontal="right" vertical="center"/>
    </xf>
    <xf numFmtId="165" fontId="9" fillId="13" borderId="37" xfId="4" applyNumberFormat="1" applyFont="1" applyFill="1" applyBorder="1" applyAlignment="1" applyProtection="1">
      <alignment horizontal="right" vertical="center"/>
    </xf>
    <xf numFmtId="0" fontId="3" fillId="0" borderId="0" xfId="5" applyNumberFormat="1" applyFont="1" applyFill="1" applyBorder="1" applyAlignment="1" applyProtection="1">
      <alignment vertical="top"/>
    </xf>
    <xf numFmtId="0" fontId="6" fillId="0" borderId="0" xfId="5" applyNumberFormat="1" applyFont="1" applyFill="1" applyBorder="1" applyAlignment="1" applyProtection="1">
      <alignment horizontal="center" vertical="top" wrapText="1"/>
    </xf>
    <xf numFmtId="0" fontId="6" fillId="12" borderId="0" xfId="5" applyNumberFormat="1" applyFont="1" applyFill="1" applyBorder="1" applyAlignment="1" applyProtection="1">
      <alignment horizontal="center" vertical="top" wrapText="1"/>
    </xf>
    <xf numFmtId="0" fontId="6" fillId="0" borderId="0" xfId="5" applyNumberFormat="1" applyFont="1" applyFill="1" applyBorder="1" applyAlignment="1" applyProtection="1">
      <alignment vertical="top"/>
    </xf>
    <xf numFmtId="165" fontId="6" fillId="0" borderId="0" xfId="5" applyNumberFormat="1" applyFont="1" applyFill="1" applyBorder="1" applyAlignment="1" applyProtection="1">
      <alignment horizontal="left" vertical="top"/>
    </xf>
    <xf numFmtId="0" fontId="6" fillId="0" borderId="0" xfId="5" applyNumberFormat="1" applyFont="1" applyFill="1" applyBorder="1" applyAlignment="1" applyProtection="1">
      <alignment horizontal="left" vertical="top"/>
    </xf>
    <xf numFmtId="165" fontId="6" fillId="0" borderId="0" xfId="5" applyNumberFormat="1" applyFont="1" applyFill="1" applyBorder="1" applyAlignment="1" applyProtection="1">
      <alignment horizontal="center" vertical="top"/>
    </xf>
    <xf numFmtId="0" fontId="10" fillId="12" borderId="0" xfId="0" applyFont="1" applyFill="1"/>
    <xf numFmtId="0" fontId="10" fillId="0" borderId="0" xfId="0" applyFont="1" applyFill="1"/>
    <xf numFmtId="4" fontId="7" fillId="12" borderId="0" xfId="0" applyNumberFormat="1" applyFont="1" applyFill="1"/>
    <xf numFmtId="49" fontId="9" fillId="0" borderId="2" xfId="5" applyNumberFormat="1" applyFont="1" applyFill="1" applyBorder="1" applyAlignment="1" applyProtection="1">
      <alignment horizontal="center" vertical="center" wrapText="1"/>
    </xf>
    <xf numFmtId="165" fontId="5" fillId="0" borderId="2" xfId="5" applyNumberFormat="1" applyFont="1" applyFill="1" applyBorder="1" applyAlignment="1" applyProtection="1">
      <alignment horizontal="center" vertical="center" wrapText="1"/>
    </xf>
    <xf numFmtId="165" fontId="5" fillId="13" borderId="2" xfId="5" applyNumberFormat="1" applyFont="1" applyFill="1" applyBorder="1" applyAlignment="1" applyProtection="1">
      <alignment horizontal="center" vertical="center" wrapText="1"/>
    </xf>
    <xf numFmtId="49" fontId="9" fillId="4" borderId="30" xfId="5" applyNumberFormat="1" applyFont="1" applyFill="1" applyBorder="1" applyAlignment="1" applyProtection="1">
      <alignment horizontal="center" vertical="top"/>
    </xf>
    <xf numFmtId="0" fontId="9" fillId="4" borderId="6" xfId="3" applyNumberFormat="1" applyFont="1" applyFill="1" applyBorder="1" applyAlignment="1" applyProtection="1">
      <alignment horizontal="left" vertical="top" wrapText="1"/>
    </xf>
    <xf numFmtId="49" fontId="9" fillId="4" borderId="6" xfId="5" applyNumberFormat="1" applyFont="1" applyFill="1" applyBorder="1" applyAlignment="1" applyProtection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165" fontId="9" fillId="2" borderId="2" xfId="5" applyNumberFormat="1" applyFont="1" applyFill="1" applyBorder="1" applyAlignment="1" applyProtection="1">
      <alignment horizontal="right" vertical="center"/>
    </xf>
    <xf numFmtId="165" fontId="9" fillId="5" borderId="2" xfId="5" applyNumberFormat="1" applyFont="1" applyFill="1" applyBorder="1" applyAlignment="1" applyProtection="1">
      <alignment horizontal="right" vertical="center"/>
    </xf>
    <xf numFmtId="165" fontId="9" fillId="13" borderId="2" xfId="5" applyNumberFormat="1" applyFont="1" applyFill="1" applyBorder="1" applyAlignment="1" applyProtection="1">
      <alignment horizontal="right" vertical="center"/>
    </xf>
    <xf numFmtId="165" fontId="9" fillId="0" borderId="2" xfId="5" applyNumberFormat="1" applyFont="1" applyFill="1" applyBorder="1" applyAlignment="1" applyProtection="1">
      <alignment horizontal="right" vertical="center"/>
    </xf>
    <xf numFmtId="0" fontId="18" fillId="0" borderId="2" xfId="5" applyNumberFormat="1" applyFont="1" applyFill="1" applyBorder="1" applyAlignment="1" applyProtection="1">
      <alignment vertical="top"/>
    </xf>
    <xf numFmtId="0" fontId="18" fillId="0" borderId="27" xfId="5" applyNumberFormat="1" applyFont="1" applyFill="1" applyBorder="1" applyAlignment="1" applyProtection="1">
      <alignment vertical="top"/>
    </xf>
    <xf numFmtId="0" fontId="5" fillId="0" borderId="27" xfId="1" applyFont="1" applyBorder="1" applyAlignment="1">
      <alignment vertical="center"/>
    </xf>
    <xf numFmtId="165" fontId="9" fillId="9" borderId="20" xfId="5" applyNumberFormat="1" applyFont="1" applyFill="1" applyBorder="1" applyAlignment="1" applyProtection="1">
      <alignment horizontal="center" vertical="center"/>
    </xf>
    <xf numFmtId="165" fontId="9" fillId="13" borderId="20" xfId="5" applyNumberFormat="1" applyFont="1" applyFill="1" applyBorder="1" applyAlignment="1" applyProtection="1">
      <alignment horizontal="center" vertical="center"/>
    </xf>
    <xf numFmtId="0" fontId="18" fillId="9" borderId="20" xfId="5" applyNumberFormat="1" applyFont="1" applyFill="1" applyBorder="1" applyAlignment="1" applyProtection="1">
      <alignment vertical="top"/>
    </xf>
    <xf numFmtId="0" fontId="18" fillId="9" borderId="25" xfId="5" applyNumberFormat="1" applyFont="1" applyFill="1" applyBorder="1" applyAlignment="1" applyProtection="1">
      <alignment vertical="top"/>
    </xf>
    <xf numFmtId="165" fontId="9" fillId="2" borderId="2" xfId="5" applyNumberFormat="1" applyFont="1" applyFill="1" applyBorder="1" applyAlignment="1" applyProtection="1">
      <alignment horizontal="center" vertical="center"/>
    </xf>
    <xf numFmtId="165" fontId="9" fillId="9" borderId="2" xfId="5" applyNumberFormat="1" applyFont="1" applyFill="1" applyBorder="1" applyAlignment="1" applyProtection="1">
      <alignment horizontal="center" vertical="center"/>
    </xf>
    <xf numFmtId="165" fontId="9" fillId="0" borderId="37" xfId="7" applyNumberFormat="1" applyFont="1" applyFill="1" applyBorder="1" applyAlignment="1" applyProtection="1">
      <alignment horizontal="center" vertical="center" wrapText="1"/>
    </xf>
    <xf numFmtId="165" fontId="9" fillId="9" borderId="37" xfId="5" applyNumberFormat="1" applyFont="1" applyFill="1" applyBorder="1" applyAlignment="1" applyProtection="1">
      <alignment horizontal="center" vertical="center"/>
    </xf>
    <xf numFmtId="165" fontId="9" fillId="13" borderId="37" xfId="7" applyNumberFormat="1" applyFont="1" applyFill="1" applyBorder="1" applyAlignment="1" applyProtection="1">
      <alignment horizontal="center" vertical="center" wrapText="1"/>
    </xf>
    <xf numFmtId="0" fontId="18" fillId="0" borderId="0" xfId="5" applyNumberFormat="1" applyFont="1" applyFill="1" applyBorder="1" applyAlignment="1" applyProtection="1">
      <alignment vertical="top"/>
    </xf>
    <xf numFmtId="0" fontId="18" fillId="3" borderId="0" xfId="5" applyNumberFormat="1" applyFont="1" applyFill="1" applyBorder="1" applyAlignment="1" applyProtection="1">
      <alignment vertical="top"/>
    </xf>
    <xf numFmtId="165" fontId="18" fillId="0" borderId="0" xfId="5" applyNumberFormat="1" applyFont="1" applyFill="1" applyBorder="1" applyAlignment="1" applyProtection="1">
      <alignment vertical="top"/>
    </xf>
    <xf numFmtId="0" fontId="18" fillId="0" borderId="0" xfId="5" applyNumberFormat="1" applyFont="1" applyFill="1" applyBorder="1" applyAlignment="1" applyProtection="1">
      <alignment horizontal="right" vertical="top"/>
    </xf>
    <xf numFmtId="0" fontId="5" fillId="0" borderId="0" xfId="5" applyNumberFormat="1" applyFont="1" applyFill="1" applyBorder="1" applyAlignment="1" applyProtection="1">
      <alignment vertical="top"/>
    </xf>
    <xf numFmtId="0" fontId="5" fillId="3" borderId="0" xfId="5" applyNumberFormat="1" applyFont="1" applyFill="1" applyBorder="1" applyAlignment="1" applyProtection="1">
      <alignment horizontal="left" vertical="top"/>
    </xf>
    <xf numFmtId="0" fontId="5" fillId="3" borderId="1" xfId="5" applyNumberFormat="1" applyFont="1" applyFill="1" applyBorder="1" applyAlignment="1" applyProtection="1">
      <alignment vertical="top"/>
    </xf>
    <xf numFmtId="0" fontId="5" fillId="0" borderId="1" xfId="5" applyNumberFormat="1" applyFont="1" applyFill="1" applyBorder="1" applyAlignment="1" applyProtection="1">
      <alignment vertical="top"/>
    </xf>
    <xf numFmtId="165" fontId="5" fillId="0" borderId="0" xfId="5" applyNumberFormat="1" applyFont="1" applyFill="1" applyBorder="1" applyAlignment="1" applyProtection="1">
      <alignment vertical="top"/>
    </xf>
    <xf numFmtId="0" fontId="5" fillId="3" borderId="0" xfId="5" applyNumberFormat="1" applyFont="1" applyFill="1" applyBorder="1" applyAlignment="1" applyProtection="1">
      <alignment horizontal="center" vertical="top"/>
    </xf>
    <xf numFmtId="0" fontId="5" fillId="3" borderId="0" xfId="5" applyNumberFormat="1" applyFont="1" applyFill="1" applyBorder="1" applyAlignment="1" applyProtection="1">
      <alignment horizontal="center" vertical="top" wrapText="1"/>
    </xf>
    <xf numFmtId="0" fontId="5" fillId="0" borderId="0" xfId="5" applyNumberFormat="1" applyFont="1" applyFill="1" applyBorder="1" applyAlignment="1" applyProtection="1">
      <alignment horizontal="center" vertical="top"/>
    </xf>
    <xf numFmtId="165" fontId="5" fillId="0" borderId="0" xfId="5" applyNumberFormat="1" applyFont="1" applyFill="1" applyBorder="1" applyAlignment="1" applyProtection="1">
      <alignment horizontal="center" vertical="top"/>
    </xf>
    <xf numFmtId="0" fontId="5" fillId="3" borderId="0" xfId="5" applyNumberFormat="1" applyFont="1" applyFill="1" applyBorder="1" applyAlignment="1" applyProtection="1">
      <alignment vertical="top"/>
    </xf>
    <xf numFmtId="0" fontId="5" fillId="0" borderId="0" xfId="5" applyNumberFormat="1" applyFont="1" applyFill="1" applyBorder="1" applyAlignment="1" applyProtection="1">
      <alignment horizontal="left" vertical="top"/>
    </xf>
    <xf numFmtId="165" fontId="5" fillId="0" borderId="0" xfId="5" applyNumberFormat="1" applyFont="1" applyFill="1" applyBorder="1" applyAlignment="1" applyProtection="1">
      <alignment horizontal="left" vertical="top"/>
    </xf>
    <xf numFmtId="165" fontId="6" fillId="0" borderId="0" xfId="5" applyNumberFormat="1" applyFont="1" applyFill="1" applyBorder="1" applyAlignment="1" applyProtection="1">
      <alignment vertical="top"/>
    </xf>
    <xf numFmtId="165" fontId="6" fillId="7" borderId="0" xfId="5" applyNumberFormat="1" applyFont="1" applyFill="1" applyBorder="1" applyAlignment="1" applyProtection="1">
      <alignment horizontal="center" vertical="top"/>
    </xf>
    <xf numFmtId="165" fontId="10" fillId="0" borderId="0" xfId="0" applyNumberFormat="1" applyFont="1"/>
    <xf numFmtId="165" fontId="10" fillId="7" borderId="0" xfId="0" applyNumberFormat="1" applyFont="1" applyFill="1"/>
    <xf numFmtId="0" fontId="9" fillId="4" borderId="6" xfId="1" applyFont="1" applyFill="1" applyBorder="1" applyAlignment="1">
      <alignment horizontal="center" vertical="center" wrapText="1"/>
    </xf>
    <xf numFmtId="0" fontId="9" fillId="4" borderId="8" xfId="1" applyFont="1" applyFill="1" applyBorder="1" applyAlignment="1">
      <alignment horizontal="center" vertical="center" wrapText="1"/>
    </xf>
    <xf numFmtId="0" fontId="5" fillId="4" borderId="6" xfId="1" applyFont="1" applyFill="1" applyBorder="1" applyAlignment="1">
      <alignment horizontal="center" vertical="center" wrapText="1" shrinkToFit="1"/>
    </xf>
    <xf numFmtId="0" fontId="5" fillId="4" borderId="8" xfId="1" applyFont="1" applyFill="1" applyBorder="1" applyAlignment="1">
      <alignment horizontal="center" vertical="center" wrapText="1" shrinkToFit="1"/>
    </xf>
    <xf numFmtId="0" fontId="5" fillId="4" borderId="27" xfId="7" applyNumberFormat="1" applyFont="1" applyFill="1" applyBorder="1" applyAlignment="1" applyProtection="1">
      <alignment horizontal="center" vertical="center" wrapText="1"/>
    </xf>
    <xf numFmtId="0" fontId="5" fillId="4" borderId="31" xfId="1" applyFont="1" applyFill="1" applyBorder="1" applyAlignment="1">
      <alignment horizontal="center" vertical="center" wrapText="1"/>
    </xf>
    <xf numFmtId="0" fontId="5" fillId="4" borderId="33" xfId="1" applyFont="1" applyFill="1" applyBorder="1" applyAlignment="1">
      <alignment horizontal="center" vertical="center" wrapText="1"/>
    </xf>
    <xf numFmtId="0" fontId="5" fillId="4" borderId="34" xfId="1" applyFont="1" applyFill="1" applyBorder="1" applyAlignment="1">
      <alignment horizontal="center" vertical="center" wrapText="1"/>
    </xf>
    <xf numFmtId="0" fontId="5" fillId="4" borderId="6" xfId="1" applyFont="1" applyFill="1" applyBorder="1" applyAlignment="1">
      <alignment horizontal="center" vertical="center" wrapText="1"/>
    </xf>
    <xf numFmtId="0" fontId="5" fillId="4" borderId="8" xfId="1" applyFont="1" applyFill="1" applyBorder="1" applyAlignment="1">
      <alignment horizontal="center" vertical="center" wrapText="1"/>
    </xf>
    <xf numFmtId="0" fontId="5" fillId="4" borderId="31" xfId="7" applyNumberFormat="1" applyFont="1" applyFill="1" applyBorder="1" applyAlignment="1" applyProtection="1">
      <alignment horizontal="center" vertical="center" wrapText="1"/>
    </xf>
    <xf numFmtId="0" fontId="5" fillId="4" borderId="34" xfId="7" applyNumberFormat="1" applyFont="1" applyFill="1" applyBorder="1" applyAlignment="1" applyProtection="1">
      <alignment horizontal="center" vertical="center" wrapText="1"/>
    </xf>
    <xf numFmtId="0" fontId="5" fillId="0" borderId="31" xfId="7" applyNumberFormat="1" applyFont="1" applyFill="1" applyBorder="1" applyAlignment="1" applyProtection="1">
      <alignment horizontal="center" vertical="center" wrapText="1"/>
    </xf>
    <xf numFmtId="0" fontId="5" fillId="0" borderId="33" xfId="7" applyNumberFormat="1" applyFont="1" applyFill="1" applyBorder="1" applyAlignment="1" applyProtection="1">
      <alignment horizontal="center" vertical="center" wrapText="1"/>
    </xf>
    <xf numFmtId="0" fontId="5" fillId="0" borderId="34" xfId="7" applyNumberFormat="1" applyFont="1" applyFill="1" applyBorder="1" applyAlignment="1" applyProtection="1">
      <alignment horizontal="center" vertical="center" wrapText="1"/>
    </xf>
    <xf numFmtId="49" fontId="5" fillId="4" borderId="6" xfId="1" applyNumberFormat="1" applyFont="1" applyFill="1" applyBorder="1" applyAlignment="1">
      <alignment horizontal="center" vertical="center" wrapText="1"/>
    </xf>
    <xf numFmtId="49" fontId="5" fillId="4" borderId="7" xfId="1" applyNumberFormat="1" applyFont="1" applyFill="1" applyBorder="1" applyAlignment="1">
      <alignment horizontal="center" vertical="center" wrapText="1"/>
    </xf>
    <xf numFmtId="49" fontId="5" fillId="4" borderId="8" xfId="1" applyNumberFormat="1" applyFont="1" applyFill="1" applyBorder="1" applyAlignment="1">
      <alignment horizontal="center" vertical="center" wrapText="1"/>
    </xf>
    <xf numFmtId="0" fontId="5" fillId="4" borderId="33" xfId="7" applyNumberFormat="1" applyFont="1" applyFill="1" applyBorder="1" applyAlignment="1" applyProtection="1">
      <alignment horizontal="center" vertical="center" wrapText="1"/>
    </xf>
    <xf numFmtId="49" fontId="9" fillId="4" borderId="30" xfId="7" applyNumberFormat="1" applyFont="1" applyFill="1" applyBorder="1" applyAlignment="1" applyProtection="1">
      <alignment horizontal="center" vertical="top" wrapText="1" shrinkToFit="1"/>
    </xf>
    <xf numFmtId="49" fontId="9" fillId="4" borderId="32" xfId="7" applyNumberFormat="1" applyFont="1" applyFill="1" applyBorder="1" applyAlignment="1" applyProtection="1">
      <alignment horizontal="center" vertical="top" wrapText="1" shrinkToFit="1"/>
    </xf>
    <xf numFmtId="49" fontId="9" fillId="4" borderId="16" xfId="7" applyNumberFormat="1" applyFont="1" applyFill="1" applyBorder="1" applyAlignment="1" applyProtection="1">
      <alignment horizontal="center" vertical="top" wrapText="1" shrinkToFit="1"/>
    </xf>
    <xf numFmtId="49" fontId="9" fillId="0" borderId="30" xfId="7" applyNumberFormat="1" applyFont="1" applyFill="1" applyBorder="1" applyAlignment="1" applyProtection="1">
      <alignment horizontal="center" vertical="top"/>
    </xf>
    <xf numFmtId="49" fontId="9" fillId="0" borderId="32" xfId="7" applyNumberFormat="1" applyFont="1" applyFill="1" applyBorder="1" applyAlignment="1" applyProtection="1">
      <alignment horizontal="center" vertical="top"/>
    </xf>
    <xf numFmtId="49" fontId="9" fillId="0" borderId="16" xfId="7" applyNumberFormat="1" applyFont="1" applyFill="1" applyBorder="1" applyAlignment="1" applyProtection="1">
      <alignment horizontal="center" vertical="top"/>
    </xf>
    <xf numFmtId="49" fontId="9" fillId="4" borderId="30" xfId="7" applyNumberFormat="1" applyFont="1" applyFill="1" applyBorder="1" applyAlignment="1" applyProtection="1">
      <alignment horizontal="center" vertical="top"/>
    </xf>
    <xf numFmtId="49" fontId="9" fillId="4" borderId="32" xfId="7" applyNumberFormat="1" applyFont="1" applyFill="1" applyBorder="1" applyAlignment="1" applyProtection="1">
      <alignment horizontal="center" vertical="top"/>
    </xf>
    <xf numFmtId="49" fontId="9" fillId="4" borderId="16" xfId="7" applyNumberFormat="1" applyFont="1" applyFill="1" applyBorder="1" applyAlignment="1" applyProtection="1">
      <alignment horizontal="center" vertical="top"/>
    </xf>
    <xf numFmtId="49" fontId="9" fillId="4" borderId="30" xfId="4" applyNumberFormat="1" applyFont="1" applyFill="1" applyBorder="1" applyAlignment="1" applyProtection="1">
      <alignment horizontal="center" vertical="top"/>
    </xf>
    <xf numFmtId="49" fontId="9" fillId="4" borderId="16" xfId="4" applyNumberFormat="1" applyFont="1" applyFill="1" applyBorder="1" applyAlignment="1" applyProtection="1">
      <alignment horizontal="center" vertical="top"/>
    </xf>
    <xf numFmtId="0" fontId="9" fillId="4" borderId="6" xfId="1" applyFont="1" applyFill="1" applyBorder="1" applyAlignment="1">
      <alignment horizontal="left" vertical="top" wrapText="1"/>
    </xf>
    <xf numFmtId="0" fontId="9" fillId="4" borderId="7" xfId="1" applyFont="1" applyFill="1" applyBorder="1" applyAlignment="1">
      <alignment horizontal="left" vertical="top" wrapText="1"/>
    </xf>
    <xf numFmtId="0" fontId="9" fillId="4" borderId="8" xfId="1" applyFont="1" applyFill="1" applyBorder="1" applyAlignment="1">
      <alignment horizontal="left" vertical="top" wrapText="1"/>
    </xf>
    <xf numFmtId="49" fontId="5" fillId="0" borderId="6" xfId="1" applyNumberFormat="1" applyFont="1" applyFill="1" applyBorder="1" applyAlignment="1">
      <alignment horizontal="center" vertical="center" wrapText="1"/>
    </xf>
    <xf numFmtId="49" fontId="5" fillId="0" borderId="7" xfId="1" applyNumberFormat="1" applyFont="1" applyFill="1" applyBorder="1" applyAlignment="1">
      <alignment horizontal="center" vertical="center" wrapText="1"/>
    </xf>
    <xf numFmtId="49" fontId="5" fillId="0" borderId="8" xfId="1" applyNumberFormat="1" applyFont="1" applyFill="1" applyBorder="1" applyAlignment="1">
      <alignment horizontal="center" vertical="center" wrapText="1"/>
    </xf>
    <xf numFmtId="0" fontId="9" fillId="4" borderId="6" xfId="7" applyNumberFormat="1" applyFont="1" applyFill="1" applyBorder="1" applyAlignment="1" applyProtection="1">
      <alignment horizontal="left" vertical="top" wrapText="1"/>
    </xf>
    <xf numFmtId="0" fontId="9" fillId="4" borderId="7" xfId="7" applyNumberFormat="1" applyFont="1" applyFill="1" applyBorder="1" applyAlignment="1" applyProtection="1">
      <alignment horizontal="left" vertical="top" wrapText="1"/>
    </xf>
    <xf numFmtId="0" fontId="9" fillId="4" borderId="8" xfId="7" applyNumberFormat="1" applyFont="1" applyFill="1" applyBorder="1" applyAlignment="1" applyProtection="1">
      <alignment horizontal="left" vertical="top" wrapText="1"/>
    </xf>
    <xf numFmtId="49" fontId="9" fillId="4" borderId="6" xfId="4" applyNumberFormat="1" applyFont="1" applyFill="1" applyBorder="1" applyAlignment="1" applyProtection="1">
      <alignment horizontal="left" vertical="top" wrapText="1"/>
    </xf>
    <xf numFmtId="49" fontId="9" fillId="4" borderId="8" xfId="4" applyNumberFormat="1" applyFont="1" applyFill="1" applyBorder="1" applyAlignment="1" applyProtection="1">
      <alignment horizontal="left" vertical="top" wrapText="1"/>
    </xf>
    <xf numFmtId="164" fontId="5" fillId="4" borderId="31" xfId="4" applyNumberFormat="1" applyFont="1" applyFill="1" applyBorder="1" applyAlignment="1" applyProtection="1">
      <alignment horizontal="center" vertical="center" wrapText="1"/>
    </xf>
    <xf numFmtId="164" fontId="5" fillId="4" borderId="34" xfId="4" applyNumberFormat="1" applyFont="1" applyFill="1" applyBorder="1" applyAlignment="1" applyProtection="1">
      <alignment horizontal="center" vertical="center" wrapText="1"/>
    </xf>
    <xf numFmtId="49" fontId="5" fillId="4" borderId="6" xfId="4" applyNumberFormat="1" applyFont="1" applyFill="1" applyBorder="1" applyAlignment="1" applyProtection="1">
      <alignment horizontal="center" vertical="center" wrapText="1"/>
    </xf>
    <xf numFmtId="49" fontId="5" fillId="4" borderId="8" xfId="4" applyNumberFormat="1" applyFont="1" applyFill="1" applyBorder="1" applyAlignment="1" applyProtection="1">
      <alignment horizontal="center" vertical="center" wrapText="1"/>
    </xf>
    <xf numFmtId="0" fontId="6" fillId="2" borderId="0" xfId="7" applyNumberFormat="1" applyFont="1" applyFill="1" applyBorder="1" applyAlignment="1" applyProtection="1">
      <alignment horizontal="left" vertical="top" wrapText="1"/>
    </xf>
    <xf numFmtId="0" fontId="5" fillId="4" borderId="7" xfId="1" applyFont="1" applyFill="1" applyBorder="1" applyAlignment="1">
      <alignment horizontal="center" vertical="center" wrapText="1" shrinkToFit="1"/>
    </xf>
    <xf numFmtId="0" fontId="5" fillId="4" borderId="6" xfId="7" applyNumberFormat="1" applyFont="1" applyFill="1" applyBorder="1" applyAlignment="1" applyProtection="1">
      <alignment horizontal="center" vertical="center" wrapText="1"/>
    </xf>
    <xf numFmtId="0" fontId="5" fillId="4" borderId="8" xfId="7" applyNumberFormat="1" applyFont="1" applyFill="1" applyBorder="1" applyAlignment="1" applyProtection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9" fillId="4" borderId="7" xfId="1" applyFont="1" applyFill="1" applyBorder="1" applyAlignment="1">
      <alignment horizontal="center" vertical="center" wrapText="1"/>
    </xf>
    <xf numFmtId="1" fontId="9" fillId="4" borderId="6" xfId="4" applyNumberFormat="1" applyFont="1" applyFill="1" applyBorder="1" applyAlignment="1">
      <alignment horizontal="left" vertical="top" wrapText="1"/>
    </xf>
    <xf numFmtId="1" fontId="9" fillId="4" borderId="8" xfId="4" applyNumberFormat="1" applyFont="1" applyFill="1" applyBorder="1" applyAlignment="1">
      <alignment horizontal="left" vertical="top" wrapText="1"/>
    </xf>
    <xf numFmtId="0" fontId="9" fillId="4" borderId="2" xfId="1" applyNumberFormat="1" applyFont="1" applyFill="1" applyBorder="1" applyAlignment="1" applyProtection="1">
      <alignment horizontal="left" vertical="top" wrapText="1"/>
    </xf>
    <xf numFmtId="2" fontId="9" fillId="4" borderId="2" xfId="1" applyNumberFormat="1" applyFont="1" applyFill="1" applyBorder="1" applyAlignment="1" applyProtection="1">
      <alignment horizontal="center" vertical="center" wrapText="1"/>
    </xf>
    <xf numFmtId="0" fontId="9" fillId="0" borderId="2" xfId="1" applyFont="1" applyFill="1" applyBorder="1" applyAlignment="1">
      <alignment horizontal="right" vertical="center"/>
    </xf>
    <xf numFmtId="0" fontId="9" fillId="5" borderId="28" xfId="7" applyNumberFormat="1" applyFont="1" applyFill="1" applyBorder="1" applyAlignment="1" applyProtection="1">
      <alignment horizontal="right" vertical="center" wrapText="1"/>
    </xf>
    <xf numFmtId="0" fontId="9" fillId="5" borderId="4" xfId="7" applyNumberFormat="1" applyFont="1" applyFill="1" applyBorder="1" applyAlignment="1" applyProtection="1">
      <alignment horizontal="right" vertical="center" wrapText="1"/>
    </xf>
    <xf numFmtId="49" fontId="9" fillId="4" borderId="6" xfId="4" applyNumberFormat="1" applyFont="1" applyFill="1" applyBorder="1" applyAlignment="1" applyProtection="1">
      <alignment horizontal="center" vertical="center" wrapText="1"/>
    </xf>
    <xf numFmtId="49" fontId="9" fillId="4" borderId="8" xfId="4" applyNumberFormat="1" applyFont="1" applyFill="1" applyBorder="1" applyAlignment="1" applyProtection="1">
      <alignment horizontal="center" vertical="center" wrapText="1"/>
    </xf>
    <xf numFmtId="0" fontId="9" fillId="0" borderId="2" xfId="1" applyFont="1" applyFill="1" applyBorder="1" applyAlignment="1">
      <alignment horizontal="right" vertical="center" wrapText="1"/>
    </xf>
    <xf numFmtId="0" fontId="5" fillId="4" borderId="2" xfId="7" applyNumberFormat="1" applyFont="1" applyFill="1" applyBorder="1" applyAlignment="1" applyProtection="1">
      <alignment horizontal="center" vertical="center" wrapText="1"/>
    </xf>
    <xf numFmtId="0" fontId="9" fillId="3" borderId="20" xfId="7" applyNumberFormat="1" applyFont="1" applyFill="1" applyBorder="1" applyAlignment="1" applyProtection="1">
      <alignment horizontal="center" vertical="center" wrapText="1"/>
    </xf>
    <xf numFmtId="0" fontId="9" fillId="3" borderId="2" xfId="7" applyNumberFormat="1" applyFont="1" applyFill="1" applyBorder="1" applyAlignment="1" applyProtection="1">
      <alignment horizontal="center" vertical="center" wrapText="1"/>
    </xf>
    <xf numFmtId="0" fontId="5" fillId="3" borderId="2" xfId="7" applyNumberFormat="1" applyFont="1" applyFill="1" applyBorder="1" applyAlignment="1" applyProtection="1">
      <alignment horizontal="center" vertical="center" wrapText="1"/>
    </xf>
    <xf numFmtId="0" fontId="5" fillId="2" borderId="31" xfId="1" applyFont="1" applyFill="1" applyBorder="1" applyAlignment="1">
      <alignment horizontal="center"/>
    </xf>
    <xf numFmtId="0" fontId="5" fillId="2" borderId="33" xfId="1" applyFont="1" applyFill="1" applyBorder="1" applyAlignment="1">
      <alignment horizontal="center"/>
    </xf>
    <xf numFmtId="0" fontId="5" fillId="2" borderId="34" xfId="1" applyFont="1" applyFill="1" applyBorder="1" applyAlignment="1">
      <alignment horizontal="center"/>
    </xf>
    <xf numFmtId="0" fontId="9" fillId="0" borderId="6" xfId="7" applyNumberFormat="1" applyFont="1" applyFill="1" applyBorder="1" applyAlignment="1" applyProtection="1">
      <alignment horizontal="center" vertical="center" wrapText="1"/>
    </xf>
    <xf numFmtId="0" fontId="9" fillId="0" borderId="7" xfId="7" applyNumberFormat="1" applyFont="1" applyFill="1" applyBorder="1" applyAlignment="1" applyProtection="1">
      <alignment horizontal="center" vertical="center" wrapText="1"/>
    </xf>
    <xf numFmtId="0" fontId="9" fillId="0" borderId="8" xfId="7" applyNumberFormat="1" applyFont="1" applyFill="1" applyBorder="1" applyAlignment="1" applyProtection="1">
      <alignment horizontal="center" vertical="center" wrapText="1"/>
    </xf>
    <xf numFmtId="49" fontId="9" fillId="4" borderId="2" xfId="1" applyNumberFormat="1" applyFont="1" applyFill="1" applyBorder="1" applyAlignment="1" applyProtection="1">
      <alignment horizontal="center" vertical="top" wrapText="1"/>
    </xf>
    <xf numFmtId="49" fontId="9" fillId="3" borderId="30" xfId="7" applyNumberFormat="1" applyFont="1" applyFill="1" applyBorder="1" applyAlignment="1" applyProtection="1">
      <alignment horizontal="center" vertical="top"/>
    </xf>
    <xf numFmtId="49" fontId="9" fillId="3" borderId="32" xfId="7" applyNumberFormat="1" applyFont="1" applyFill="1" applyBorder="1" applyAlignment="1" applyProtection="1">
      <alignment horizontal="center" vertical="top"/>
    </xf>
    <xf numFmtId="49" fontId="9" fillId="3" borderId="16" xfId="7" applyNumberFormat="1" applyFont="1" applyFill="1" applyBorder="1" applyAlignment="1" applyProtection="1">
      <alignment horizontal="center" vertical="top"/>
    </xf>
    <xf numFmtId="0" fontId="9" fillId="3" borderId="6" xfId="7" applyNumberFormat="1" applyFont="1" applyFill="1" applyBorder="1" applyAlignment="1" applyProtection="1">
      <alignment horizontal="center" vertical="center" wrapText="1"/>
    </xf>
    <xf numFmtId="0" fontId="9" fillId="3" borderId="7" xfId="7" applyNumberFormat="1" applyFont="1" applyFill="1" applyBorder="1" applyAlignment="1" applyProtection="1">
      <alignment horizontal="center" vertical="center" wrapText="1"/>
    </xf>
    <xf numFmtId="0" fontId="9" fillId="3" borderId="8" xfId="7" applyNumberFormat="1" applyFont="1" applyFill="1" applyBorder="1" applyAlignment="1" applyProtection="1">
      <alignment horizontal="center" vertical="center" wrapText="1"/>
    </xf>
    <xf numFmtId="0" fontId="9" fillId="3" borderId="28" xfId="7" applyNumberFormat="1" applyFont="1" applyFill="1" applyBorder="1" applyAlignment="1" applyProtection="1">
      <alignment horizontal="center" vertical="center" wrapText="1"/>
    </xf>
    <xf numFmtId="0" fontId="9" fillId="3" borderId="4" xfId="7" applyNumberFormat="1" applyFont="1" applyFill="1" applyBorder="1" applyAlignment="1" applyProtection="1">
      <alignment horizontal="center" vertical="center" wrapText="1"/>
    </xf>
    <xf numFmtId="0" fontId="9" fillId="3" borderId="29" xfId="7" applyNumberFormat="1" applyFont="1" applyFill="1" applyBorder="1" applyAlignment="1" applyProtection="1">
      <alignment horizontal="center" vertical="center" wrapText="1"/>
    </xf>
    <xf numFmtId="0" fontId="5" fillId="2" borderId="6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9" fillId="3" borderId="22" xfId="7" applyNumberFormat="1" applyFont="1" applyFill="1" applyBorder="1" applyAlignment="1" applyProtection="1">
      <alignment horizontal="center" vertical="center" wrapText="1"/>
    </xf>
    <xf numFmtId="0" fontId="9" fillId="3" borderId="23" xfId="7" applyNumberFormat="1" applyFont="1" applyFill="1" applyBorder="1" applyAlignment="1" applyProtection="1">
      <alignment horizontal="center" vertical="center" wrapText="1"/>
    </xf>
    <xf numFmtId="0" fontId="9" fillId="3" borderId="24" xfId="7" applyNumberFormat="1" applyFont="1" applyFill="1" applyBorder="1" applyAlignment="1" applyProtection="1">
      <alignment horizontal="center" vertical="center" wrapText="1"/>
    </xf>
    <xf numFmtId="0" fontId="9" fillId="3" borderId="13" xfId="7" applyNumberFormat="1" applyFont="1" applyFill="1" applyBorder="1" applyAlignment="1" applyProtection="1">
      <alignment horizontal="center" vertical="center" wrapText="1"/>
    </xf>
    <xf numFmtId="0" fontId="9" fillId="3" borderId="0" xfId="7" applyNumberFormat="1" applyFont="1" applyFill="1" applyBorder="1" applyAlignment="1" applyProtection="1">
      <alignment horizontal="center" vertical="center" wrapText="1"/>
    </xf>
    <xf numFmtId="0" fontId="9" fillId="3" borderId="9" xfId="7" applyNumberFormat="1" applyFont="1" applyFill="1" applyBorder="1" applyAlignment="1" applyProtection="1">
      <alignment horizontal="center" vertical="center" wrapText="1"/>
    </xf>
    <xf numFmtId="0" fontId="9" fillId="3" borderId="11" xfId="7" applyNumberFormat="1" applyFont="1" applyFill="1" applyBorder="1" applyAlignment="1" applyProtection="1">
      <alignment horizontal="center" vertical="center" wrapText="1"/>
    </xf>
    <xf numFmtId="0" fontId="9" fillId="3" borderId="1" xfId="7" applyNumberFormat="1" applyFont="1" applyFill="1" applyBorder="1" applyAlignment="1" applyProtection="1">
      <alignment horizontal="center" vertical="center" wrapText="1"/>
    </xf>
    <xf numFmtId="0" fontId="9" fillId="3" borderId="10" xfId="7" applyNumberFormat="1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9" fillId="4" borderId="2" xfId="1" applyNumberFormat="1" applyFont="1" applyFill="1" applyBorder="1" applyAlignment="1" applyProtection="1">
      <alignment horizontal="center" vertical="center" wrapText="1"/>
    </xf>
    <xf numFmtId="0" fontId="6" fillId="2" borderId="0" xfId="7" applyNumberFormat="1" applyFont="1" applyFill="1" applyBorder="1" applyAlignment="1" applyProtection="1">
      <alignment horizontal="center" vertical="top"/>
    </xf>
    <xf numFmtId="0" fontId="9" fillId="2" borderId="0" xfId="7" applyNumberFormat="1" applyFont="1" applyFill="1" applyBorder="1" applyAlignment="1" applyProtection="1">
      <alignment horizontal="center" vertical="top" wrapText="1"/>
    </xf>
    <xf numFmtId="0" fontId="9" fillId="12" borderId="20" xfId="7" applyNumberFormat="1" applyFont="1" applyFill="1" applyBorder="1" applyAlignment="1" applyProtection="1">
      <alignment horizontal="center" vertical="center" wrapText="1"/>
    </xf>
    <xf numFmtId="0" fontId="9" fillId="12" borderId="2" xfId="7" applyNumberFormat="1" applyFont="1" applyFill="1" applyBorder="1" applyAlignment="1" applyProtection="1">
      <alignment horizontal="center" vertical="center" wrapText="1"/>
    </xf>
    <xf numFmtId="0" fontId="5" fillId="12" borderId="2" xfId="7" applyNumberFormat="1" applyFont="1" applyFill="1" applyBorder="1" applyAlignment="1" applyProtection="1">
      <alignment horizontal="center" vertical="center" wrapText="1"/>
    </xf>
    <xf numFmtId="0" fontId="9" fillId="3" borderId="25" xfId="7" applyNumberFormat="1" applyFont="1" applyFill="1" applyBorder="1" applyAlignment="1" applyProtection="1">
      <alignment horizontal="center" vertical="center" wrapText="1"/>
    </xf>
    <xf numFmtId="0" fontId="9" fillId="3" borderId="27" xfId="7" applyNumberFormat="1" applyFont="1" applyFill="1" applyBorder="1" applyAlignment="1" applyProtection="1">
      <alignment horizontal="center" vertical="center" wrapText="1"/>
    </xf>
    <xf numFmtId="0" fontId="9" fillId="3" borderId="21" xfId="7" applyNumberFormat="1" applyFont="1" applyFill="1" applyBorder="1" applyAlignment="1" applyProtection="1">
      <alignment horizontal="center" vertical="center" wrapText="1"/>
    </xf>
    <xf numFmtId="0" fontId="9" fillId="3" borderId="26" xfId="7" applyNumberFormat="1" applyFont="1" applyFill="1" applyBorder="1" applyAlignment="1" applyProtection="1">
      <alignment horizontal="center" vertical="center" wrapText="1"/>
    </xf>
    <xf numFmtId="0" fontId="5" fillId="3" borderId="26" xfId="7" applyNumberFormat="1" applyFont="1" applyFill="1" applyBorder="1" applyAlignment="1" applyProtection="1">
      <alignment horizontal="center" vertical="center" wrapText="1"/>
    </xf>
    <xf numFmtId="0" fontId="9" fillId="0" borderId="2" xfId="4" applyNumberFormat="1" applyFont="1" applyFill="1" applyBorder="1" applyAlignment="1" applyProtection="1">
      <alignment horizontal="right" vertical="center"/>
    </xf>
    <xf numFmtId="0" fontId="5" fillId="4" borderId="2" xfId="0" applyFont="1" applyFill="1" applyBorder="1" applyAlignment="1">
      <alignment horizontal="center" vertical="top" wrapText="1"/>
    </xf>
    <xf numFmtId="0" fontId="9" fillId="4" borderId="6" xfId="0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/>
    </xf>
    <xf numFmtId="0" fontId="9" fillId="4" borderId="8" xfId="0" applyFont="1" applyFill="1" applyBorder="1" applyAlignment="1">
      <alignment horizontal="left" vertical="top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6" xfId="4" applyNumberFormat="1" applyFont="1" applyFill="1" applyBorder="1" applyAlignment="1" applyProtection="1">
      <alignment horizontal="left" vertical="top" wrapText="1"/>
    </xf>
    <xf numFmtId="0" fontId="9" fillId="4" borderId="8" xfId="4" applyNumberFormat="1" applyFont="1" applyFill="1" applyBorder="1" applyAlignment="1" applyProtection="1">
      <alignment horizontal="left" vertical="top" wrapText="1"/>
    </xf>
    <xf numFmtId="1" fontId="9" fillId="4" borderId="7" xfId="4" applyNumberFormat="1" applyFont="1" applyFill="1" applyBorder="1" applyAlignment="1">
      <alignment horizontal="left" vertical="top" wrapText="1"/>
    </xf>
    <xf numFmtId="49" fontId="9" fillId="4" borderId="30" xfId="4" applyNumberFormat="1" applyFont="1" applyFill="1" applyBorder="1" applyAlignment="1">
      <alignment horizontal="center" vertical="top" wrapText="1"/>
    </xf>
    <xf numFmtId="49" fontId="9" fillId="4" borderId="32" xfId="4" applyNumberFormat="1" applyFont="1" applyFill="1" applyBorder="1" applyAlignment="1">
      <alignment horizontal="center" vertical="top" wrapText="1"/>
    </xf>
    <xf numFmtId="49" fontId="9" fillId="4" borderId="16" xfId="4" applyNumberFormat="1" applyFont="1" applyFill="1" applyBorder="1" applyAlignment="1">
      <alignment horizontal="center" vertical="top" wrapText="1"/>
    </xf>
    <xf numFmtId="49" fontId="9" fillId="4" borderId="7" xfId="4" applyNumberFormat="1" applyFont="1" applyFill="1" applyBorder="1" applyAlignment="1" applyProtection="1">
      <alignment horizontal="center" vertical="center" wrapText="1"/>
    </xf>
    <xf numFmtId="0" fontId="5" fillId="4" borderId="6" xfId="4" applyNumberFormat="1" applyFont="1" applyFill="1" applyBorder="1" applyAlignment="1">
      <alignment horizontal="center" vertical="center" wrapText="1"/>
    </xf>
    <xf numFmtId="0" fontId="5" fillId="4" borderId="7" xfId="4" applyNumberFormat="1" applyFont="1" applyFill="1" applyBorder="1" applyAlignment="1">
      <alignment horizontal="center" vertical="center" wrapText="1"/>
    </xf>
    <xf numFmtId="0" fontId="5" fillId="4" borderId="8" xfId="4" applyNumberFormat="1" applyFont="1" applyFill="1" applyBorder="1" applyAlignment="1">
      <alignment horizontal="center" vertical="center" wrapText="1"/>
    </xf>
    <xf numFmtId="0" fontId="5" fillId="4" borderId="31" xfId="4" applyNumberFormat="1" applyFont="1" applyFill="1" applyBorder="1" applyAlignment="1">
      <alignment horizontal="center" vertical="center" wrapText="1"/>
    </xf>
    <xf numFmtId="0" fontId="5" fillId="4" borderId="33" xfId="4" applyNumberFormat="1" applyFont="1" applyFill="1" applyBorder="1" applyAlignment="1">
      <alignment horizontal="center" vertical="center" wrapText="1"/>
    </xf>
    <xf numFmtId="0" fontId="5" fillId="4" borderId="34" xfId="4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5" fillId="4" borderId="31" xfId="0" applyFont="1" applyFill="1" applyBorder="1" applyAlignment="1">
      <alignment horizontal="center" vertical="center" wrapText="1"/>
    </xf>
    <xf numFmtId="0" fontId="15" fillId="4" borderId="34" xfId="0" applyFont="1" applyFill="1" applyBorder="1" applyAlignment="1">
      <alignment horizontal="center" vertical="center" wrapText="1"/>
    </xf>
    <xf numFmtId="0" fontId="9" fillId="0" borderId="6" xfId="1" applyNumberFormat="1" applyFont="1" applyFill="1" applyBorder="1" applyAlignment="1" applyProtection="1">
      <alignment horizontal="center" vertical="center" wrapText="1"/>
    </xf>
    <xf numFmtId="0" fontId="9" fillId="0" borderId="7" xfId="1" applyNumberFormat="1" applyFont="1" applyFill="1" applyBorder="1" applyAlignment="1" applyProtection="1">
      <alignment horizontal="center" vertical="center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164" fontId="5" fillId="4" borderId="6" xfId="4" applyNumberFormat="1" applyFont="1" applyFill="1" applyBorder="1" applyAlignment="1" applyProtection="1">
      <alignment horizontal="center" vertical="center" wrapText="1"/>
    </xf>
    <xf numFmtId="164" fontId="5" fillId="4" borderId="7" xfId="4" applyNumberFormat="1" applyFont="1" applyFill="1" applyBorder="1" applyAlignment="1" applyProtection="1">
      <alignment horizontal="center" vertical="center" wrapText="1"/>
    </xf>
    <xf numFmtId="164" fontId="5" fillId="4" borderId="8" xfId="4" applyNumberFormat="1" applyFont="1" applyFill="1" applyBorder="1" applyAlignment="1" applyProtection="1">
      <alignment horizontal="center" vertical="center" wrapText="1"/>
    </xf>
    <xf numFmtId="49" fontId="5" fillId="2" borderId="30" xfId="1" applyNumberFormat="1" applyFont="1" applyFill="1" applyBorder="1" applyAlignment="1" applyProtection="1">
      <alignment horizontal="center" vertical="top" wrapText="1"/>
    </xf>
    <xf numFmtId="49" fontId="5" fillId="2" borderId="32" xfId="1" applyNumberFormat="1" applyFont="1" applyFill="1" applyBorder="1" applyAlignment="1" applyProtection="1">
      <alignment horizontal="center" vertical="top" wrapText="1"/>
    </xf>
    <xf numFmtId="0" fontId="12" fillId="0" borderId="32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9" fillId="5" borderId="2" xfId="4" applyNumberFormat="1" applyFont="1" applyFill="1" applyBorder="1" applyAlignment="1">
      <alignment horizontal="right" vertical="center" wrapText="1"/>
    </xf>
    <xf numFmtId="0" fontId="16" fillId="5" borderId="2" xfId="10" applyFont="1" applyFill="1" applyBorder="1" applyAlignment="1">
      <alignment horizontal="right" vertical="center" wrapText="1"/>
    </xf>
    <xf numFmtId="49" fontId="9" fillId="4" borderId="30" xfId="0" applyNumberFormat="1" applyFont="1" applyFill="1" applyBorder="1" applyAlignment="1">
      <alignment horizontal="center" vertical="top"/>
    </xf>
    <xf numFmtId="49" fontId="9" fillId="4" borderId="16" xfId="0" applyNumberFormat="1" applyFont="1" applyFill="1" applyBorder="1" applyAlignment="1">
      <alignment horizontal="center" vertical="top"/>
    </xf>
    <xf numFmtId="164" fontId="9" fillId="0" borderId="14" xfId="4" applyNumberFormat="1" applyFont="1" applyFill="1" applyBorder="1" applyAlignment="1" applyProtection="1">
      <alignment horizontal="center" vertical="center" wrapText="1"/>
    </xf>
    <xf numFmtId="164" fontId="9" fillId="0" borderId="7" xfId="4" applyNumberFormat="1" applyFont="1" applyFill="1" applyBorder="1" applyAlignment="1" applyProtection="1">
      <alignment horizontal="center" vertical="center" wrapText="1"/>
    </xf>
    <xf numFmtId="164" fontId="9" fillId="0" borderId="8" xfId="4" applyNumberFormat="1" applyFont="1" applyFill="1" applyBorder="1" applyAlignment="1" applyProtection="1">
      <alignment horizontal="center" vertical="center" wrapText="1"/>
    </xf>
    <xf numFmtId="49" fontId="9" fillId="0" borderId="28" xfId="4" applyNumberFormat="1" applyFont="1" applyFill="1" applyBorder="1" applyAlignment="1" applyProtection="1">
      <alignment horizontal="center" vertical="center"/>
    </xf>
    <xf numFmtId="49" fontId="9" fillId="0" borderId="4" xfId="4" applyNumberFormat="1" applyFont="1" applyFill="1" applyBorder="1" applyAlignment="1" applyProtection="1">
      <alignment horizontal="center" vertical="center"/>
    </xf>
    <xf numFmtId="49" fontId="9" fillId="0" borderId="29" xfId="4" applyNumberFormat="1" applyFont="1" applyFill="1" applyBorder="1" applyAlignment="1" applyProtection="1">
      <alignment horizontal="center" vertical="center"/>
    </xf>
    <xf numFmtId="0" fontId="9" fillId="0" borderId="14" xfId="11" applyNumberFormat="1" applyFont="1" applyFill="1" applyBorder="1" applyAlignment="1" applyProtection="1">
      <alignment horizontal="center" vertical="center" wrapText="1"/>
    </xf>
    <xf numFmtId="0" fontId="9" fillId="0" borderId="7" xfId="11" applyNumberFormat="1" applyFont="1" applyFill="1" applyBorder="1" applyAlignment="1" applyProtection="1">
      <alignment horizontal="center" vertical="center" wrapText="1"/>
    </xf>
    <xf numFmtId="0" fontId="9" fillId="0" borderId="8" xfId="11" applyNumberFormat="1" applyFont="1" applyFill="1" applyBorder="1" applyAlignment="1" applyProtection="1">
      <alignment horizontal="center" vertical="center" wrapText="1"/>
    </xf>
    <xf numFmtId="0" fontId="9" fillId="0" borderId="15" xfId="11" applyNumberFormat="1" applyFont="1" applyFill="1" applyBorder="1" applyAlignment="1" applyProtection="1">
      <alignment horizontal="center" vertical="center" wrapText="1"/>
    </xf>
    <xf numFmtId="0" fontId="9" fillId="0" borderId="32" xfId="11" applyNumberFormat="1" applyFont="1" applyFill="1" applyBorder="1" applyAlignment="1" applyProtection="1">
      <alignment horizontal="center" vertical="center" wrapText="1"/>
    </xf>
    <xf numFmtId="0" fontId="9" fillId="0" borderId="16" xfId="11" applyNumberFormat="1" applyFont="1" applyFill="1" applyBorder="1" applyAlignment="1" applyProtection="1">
      <alignment horizontal="center" vertical="center" wrapText="1"/>
    </xf>
    <xf numFmtId="0" fontId="9" fillId="12" borderId="14" xfId="11" applyNumberFormat="1" applyFont="1" applyFill="1" applyBorder="1" applyAlignment="1" applyProtection="1">
      <alignment horizontal="center" vertical="center" wrapText="1"/>
    </xf>
    <xf numFmtId="0" fontId="9" fillId="12" borderId="7" xfId="11" applyNumberFormat="1" applyFont="1" applyFill="1" applyBorder="1" applyAlignment="1" applyProtection="1">
      <alignment horizontal="center" vertical="center" wrapText="1"/>
    </xf>
    <xf numFmtId="0" fontId="9" fillId="12" borderId="8" xfId="11" applyNumberFormat="1" applyFont="1" applyFill="1" applyBorder="1" applyAlignment="1" applyProtection="1">
      <alignment horizontal="center" vertical="center" wrapText="1"/>
    </xf>
    <xf numFmtId="164" fontId="9" fillId="0" borderId="39" xfId="4" applyNumberFormat="1" applyFont="1" applyFill="1" applyBorder="1" applyAlignment="1" applyProtection="1">
      <alignment horizontal="center" vertical="center" wrapText="1"/>
    </xf>
    <xf numFmtId="164" fontId="9" fillId="0" borderId="33" xfId="4" applyNumberFormat="1" applyFont="1" applyFill="1" applyBorder="1" applyAlignment="1" applyProtection="1">
      <alignment horizontal="center" vertical="center" wrapText="1"/>
    </xf>
    <xf numFmtId="164" fontId="9" fillId="0" borderId="34" xfId="4" applyNumberFormat="1" applyFont="1" applyFill="1" applyBorder="1" applyAlignment="1" applyProtection="1">
      <alignment horizontal="center" vertical="center" wrapText="1"/>
    </xf>
    <xf numFmtId="0" fontId="9" fillId="0" borderId="22" xfId="4" applyNumberFormat="1" applyFont="1" applyFill="1" applyBorder="1" applyAlignment="1" applyProtection="1">
      <alignment horizontal="center" vertical="center" wrapText="1"/>
    </xf>
    <xf numFmtId="0" fontId="9" fillId="0" borderId="23" xfId="4" applyNumberFormat="1" applyFont="1" applyFill="1" applyBorder="1" applyAlignment="1" applyProtection="1">
      <alignment horizontal="center" vertical="center" wrapText="1"/>
    </xf>
    <xf numFmtId="0" fontId="9" fillId="0" borderId="24" xfId="4" applyNumberFormat="1" applyFont="1" applyFill="1" applyBorder="1" applyAlignment="1" applyProtection="1">
      <alignment horizontal="center" vertical="center" wrapText="1"/>
    </xf>
    <xf numFmtId="0" fontId="9" fillId="0" borderId="11" xfId="4" applyNumberFormat="1" applyFont="1" applyFill="1" applyBorder="1" applyAlignment="1" applyProtection="1">
      <alignment horizontal="center" vertical="center" wrapText="1"/>
    </xf>
    <xf numFmtId="0" fontId="9" fillId="0" borderId="1" xfId="4" applyNumberFormat="1" applyFont="1" applyFill="1" applyBorder="1" applyAlignment="1" applyProtection="1">
      <alignment horizontal="center" vertical="center" wrapText="1"/>
    </xf>
    <xf numFmtId="0" fontId="9" fillId="0" borderId="10" xfId="4" applyNumberFormat="1" applyFont="1" applyFill="1" applyBorder="1" applyAlignment="1" applyProtection="1">
      <alignment horizontal="center" vertical="center" wrapText="1"/>
    </xf>
    <xf numFmtId="49" fontId="9" fillId="0" borderId="30" xfId="4" applyNumberFormat="1" applyFont="1" applyFill="1" applyBorder="1" applyAlignment="1" applyProtection="1">
      <alignment horizontal="center" vertical="top"/>
    </xf>
    <xf numFmtId="49" fontId="9" fillId="0" borderId="32" xfId="4" applyNumberFormat="1" applyFont="1" applyFill="1" applyBorder="1" applyAlignment="1" applyProtection="1">
      <alignment horizontal="center" vertical="top"/>
    </xf>
    <xf numFmtId="49" fontId="9" fillId="0" borderId="16" xfId="4" applyNumberFormat="1" applyFont="1" applyFill="1" applyBorder="1" applyAlignment="1" applyProtection="1">
      <alignment horizontal="center" vertical="top"/>
    </xf>
    <xf numFmtId="49" fontId="9" fillId="0" borderId="6" xfId="4" applyNumberFormat="1" applyFont="1" applyFill="1" applyBorder="1" applyAlignment="1" applyProtection="1">
      <alignment horizontal="center" vertical="center" wrapText="1"/>
    </xf>
    <xf numFmtId="49" fontId="9" fillId="0" borderId="7" xfId="4" applyNumberFormat="1" applyFont="1" applyFill="1" applyBorder="1" applyAlignment="1" applyProtection="1">
      <alignment horizontal="center" vertical="center" wrapText="1"/>
    </xf>
    <xf numFmtId="49" fontId="9" fillId="0" borderId="8" xfId="4" applyNumberFormat="1" applyFont="1" applyFill="1" applyBorder="1" applyAlignment="1" applyProtection="1">
      <alignment horizontal="center" vertical="center" wrapText="1"/>
    </xf>
    <xf numFmtId="49" fontId="5" fillId="4" borderId="2" xfId="4" applyNumberFormat="1" applyFont="1" applyFill="1" applyBorder="1" applyAlignment="1" applyProtection="1">
      <alignment horizontal="center" vertical="center" wrapText="1"/>
    </xf>
    <xf numFmtId="49" fontId="9" fillId="0" borderId="6" xfId="4" applyNumberFormat="1" applyFont="1" applyFill="1" applyBorder="1" applyAlignment="1" applyProtection="1">
      <alignment horizontal="center" vertical="top"/>
      <protection locked="0"/>
    </xf>
    <xf numFmtId="49" fontId="9" fillId="0" borderId="7" xfId="4" applyNumberFormat="1" applyFont="1" applyFill="1" applyBorder="1" applyAlignment="1" applyProtection="1">
      <alignment horizontal="center" vertical="top"/>
      <protection locked="0"/>
    </xf>
    <xf numFmtId="49" fontId="9" fillId="0" borderId="8" xfId="4" applyNumberFormat="1" applyFont="1" applyFill="1" applyBorder="1" applyAlignment="1" applyProtection="1">
      <alignment horizontal="center" vertical="top"/>
      <protection locked="0"/>
    </xf>
    <xf numFmtId="0" fontId="9" fillId="0" borderId="31" xfId="4" applyNumberFormat="1" applyFont="1" applyFill="1" applyBorder="1" applyAlignment="1" applyProtection="1">
      <alignment horizontal="center" vertical="top"/>
    </xf>
    <xf numFmtId="0" fontId="9" fillId="0" borderId="33" xfId="4" applyNumberFormat="1" applyFont="1" applyFill="1" applyBorder="1" applyAlignment="1" applyProtection="1">
      <alignment horizontal="center" vertical="top"/>
    </xf>
    <xf numFmtId="0" fontId="9" fillId="0" borderId="34" xfId="4" applyNumberFormat="1" applyFont="1" applyFill="1" applyBorder="1" applyAlignment="1" applyProtection="1">
      <alignment horizontal="center" vertical="top"/>
    </xf>
    <xf numFmtId="49" fontId="9" fillId="4" borderId="30" xfId="4" applyNumberFormat="1" applyFont="1" applyFill="1" applyBorder="1" applyAlignment="1" applyProtection="1">
      <alignment horizontal="center" vertical="top" wrapText="1"/>
    </xf>
    <xf numFmtId="49" fontId="9" fillId="4" borderId="32" xfId="4" applyNumberFormat="1" applyFont="1" applyFill="1" applyBorder="1" applyAlignment="1" applyProtection="1">
      <alignment horizontal="center" vertical="top" wrapText="1"/>
    </xf>
    <xf numFmtId="49" fontId="9" fillId="4" borderId="16" xfId="4" applyNumberFormat="1" applyFont="1" applyFill="1" applyBorder="1" applyAlignment="1" applyProtection="1">
      <alignment horizontal="center" vertical="top" wrapText="1"/>
    </xf>
    <xf numFmtId="49" fontId="9" fillId="4" borderId="7" xfId="4" applyNumberFormat="1" applyFont="1" applyFill="1" applyBorder="1" applyAlignment="1" applyProtection="1">
      <alignment horizontal="left" vertical="top" wrapText="1"/>
    </xf>
    <xf numFmtId="0" fontId="9" fillId="4" borderId="7" xfId="4" applyNumberFormat="1" applyFont="1" applyFill="1" applyBorder="1" applyAlignment="1" applyProtection="1">
      <alignment horizontal="left" vertical="top" wrapText="1"/>
    </xf>
    <xf numFmtId="0" fontId="9" fillId="4" borderId="6" xfId="11" applyNumberFormat="1" applyFont="1" applyFill="1" applyBorder="1" applyAlignment="1" applyProtection="1">
      <alignment horizontal="left" vertical="top" wrapText="1"/>
    </xf>
    <xf numFmtId="0" fontId="9" fillId="4" borderId="8" xfId="11" applyNumberFormat="1" applyFont="1" applyFill="1" applyBorder="1" applyAlignment="1" applyProtection="1">
      <alignment horizontal="left" vertical="top" wrapText="1"/>
    </xf>
    <xf numFmtId="0" fontId="5" fillId="4" borderId="27" xfId="10" applyFont="1" applyFill="1" applyBorder="1" applyAlignment="1">
      <alignment horizontal="center" vertical="center" wrapText="1"/>
    </xf>
    <xf numFmtId="0" fontId="5" fillId="4" borderId="31" xfId="10" applyFont="1" applyFill="1" applyBorder="1" applyAlignment="1">
      <alignment horizontal="center" vertical="center" wrapText="1"/>
    </xf>
    <xf numFmtId="0" fontId="5" fillId="4" borderId="33" xfId="10" applyFont="1" applyFill="1" applyBorder="1" applyAlignment="1">
      <alignment horizontal="center" vertical="center" wrapText="1"/>
    </xf>
    <xf numFmtId="0" fontId="5" fillId="4" borderId="34" xfId="10" applyFont="1" applyFill="1" applyBorder="1" applyAlignment="1">
      <alignment horizontal="center" vertical="center" wrapText="1"/>
    </xf>
    <xf numFmtId="0" fontId="9" fillId="4" borderId="6" xfId="2" applyNumberFormat="1" applyFont="1" applyFill="1" applyBorder="1" applyAlignment="1" applyProtection="1">
      <alignment horizontal="center" vertical="center" wrapText="1"/>
    </xf>
    <xf numFmtId="0" fontId="9" fillId="4" borderId="8" xfId="2" applyNumberFormat="1" applyFont="1" applyFill="1" applyBorder="1" applyAlignment="1" applyProtection="1">
      <alignment horizontal="center" vertical="center" wrapText="1"/>
    </xf>
    <xf numFmtId="0" fontId="14" fillId="4" borderId="31" xfId="3" applyFont="1" applyFill="1" applyBorder="1" applyAlignment="1">
      <alignment horizontal="center" vertical="center" wrapText="1"/>
    </xf>
    <xf numFmtId="0" fontId="14" fillId="4" borderId="34" xfId="3" applyFont="1" applyFill="1" applyBorder="1" applyAlignment="1">
      <alignment horizontal="center" vertical="center" wrapText="1"/>
    </xf>
    <xf numFmtId="49" fontId="9" fillId="4" borderId="30" xfId="2" applyNumberFormat="1" applyFont="1" applyFill="1" applyBorder="1" applyAlignment="1" applyProtection="1">
      <alignment horizontal="center" vertical="top"/>
    </xf>
    <xf numFmtId="49" fontId="9" fillId="4" borderId="16" xfId="2" applyNumberFormat="1" applyFont="1" applyFill="1" applyBorder="1" applyAlignment="1" applyProtection="1">
      <alignment horizontal="center" vertical="top"/>
    </xf>
    <xf numFmtId="49" fontId="9" fillId="4" borderId="32" xfId="4" applyNumberFormat="1" applyFont="1" applyFill="1" applyBorder="1" applyAlignment="1" applyProtection="1">
      <alignment horizontal="center" vertical="top"/>
    </xf>
    <xf numFmtId="0" fontId="9" fillId="4" borderId="6" xfId="2" applyNumberFormat="1" applyFont="1" applyFill="1" applyBorder="1" applyAlignment="1" applyProtection="1">
      <alignment horizontal="left" vertical="top" wrapText="1"/>
    </xf>
    <xf numFmtId="0" fontId="9" fillId="4" borderId="8" xfId="2" applyNumberFormat="1" applyFont="1" applyFill="1" applyBorder="1" applyAlignment="1" applyProtection="1">
      <alignment horizontal="left" vertical="top" wrapText="1"/>
    </xf>
    <xf numFmtId="49" fontId="9" fillId="4" borderId="32" xfId="0" applyNumberFormat="1" applyFont="1" applyFill="1" applyBorder="1" applyAlignment="1">
      <alignment horizontal="center" vertical="top"/>
    </xf>
    <xf numFmtId="49" fontId="9" fillId="4" borderId="32" xfId="2" applyNumberFormat="1" applyFont="1" applyFill="1" applyBorder="1" applyAlignment="1" applyProtection="1">
      <alignment horizontal="center" vertical="top"/>
    </xf>
    <xf numFmtId="0" fontId="9" fillId="4" borderId="7" xfId="2" applyNumberFormat="1" applyFont="1" applyFill="1" applyBorder="1" applyAlignment="1" applyProtection="1">
      <alignment horizontal="left" vertical="top" wrapText="1"/>
    </xf>
    <xf numFmtId="0" fontId="9" fillId="4" borderId="7" xfId="2" applyNumberFormat="1" applyFont="1" applyFill="1" applyBorder="1" applyAlignment="1" applyProtection="1">
      <alignment horizontal="center" vertical="center" wrapText="1"/>
    </xf>
    <xf numFmtId="49" fontId="5" fillId="4" borderId="7" xfId="4" applyNumberFormat="1" applyFont="1" applyFill="1" applyBorder="1" applyAlignment="1" applyProtection="1">
      <alignment horizontal="center" vertical="center" wrapText="1"/>
    </xf>
    <xf numFmtId="0" fontId="5" fillId="4" borderId="6" xfId="3" applyFont="1" applyFill="1" applyBorder="1" applyAlignment="1">
      <alignment horizontal="center" vertical="center" wrapText="1"/>
    </xf>
    <xf numFmtId="0" fontId="5" fillId="4" borderId="8" xfId="3" applyFont="1" applyFill="1" applyBorder="1" applyAlignment="1">
      <alignment horizontal="center" vertical="center" wrapText="1"/>
    </xf>
    <xf numFmtId="0" fontId="9" fillId="0" borderId="31" xfId="1" applyNumberFormat="1" applyFont="1" applyFill="1" applyBorder="1" applyAlignment="1" applyProtection="1">
      <alignment horizontal="center" vertical="center" wrapText="1"/>
    </xf>
    <xf numFmtId="0" fontId="9" fillId="0" borderId="33" xfId="1" applyNumberFormat="1" applyFont="1" applyFill="1" applyBorder="1" applyAlignment="1" applyProtection="1">
      <alignment horizontal="center" vertical="center" wrapText="1"/>
    </xf>
    <xf numFmtId="0" fontId="9" fillId="0" borderId="34" xfId="1" applyNumberFormat="1" applyFont="1" applyFill="1" applyBorder="1" applyAlignment="1" applyProtection="1">
      <alignment horizontal="center" vertical="center" wrapText="1"/>
    </xf>
    <xf numFmtId="0" fontId="9" fillId="4" borderId="6" xfId="3" applyNumberFormat="1" applyFont="1" applyFill="1" applyBorder="1" applyAlignment="1" applyProtection="1">
      <alignment horizontal="center" vertical="center" wrapText="1"/>
    </xf>
    <xf numFmtId="0" fontId="9" fillId="4" borderId="8" xfId="3" applyNumberFormat="1" applyFont="1" applyFill="1" applyBorder="1" applyAlignment="1" applyProtection="1">
      <alignment horizontal="center" vertical="center" wrapText="1"/>
    </xf>
    <xf numFmtId="49" fontId="9" fillId="4" borderId="30" xfId="2" applyNumberFormat="1" applyFont="1" applyFill="1" applyBorder="1" applyAlignment="1" applyProtection="1">
      <alignment horizontal="center" vertical="top" wrapText="1"/>
    </xf>
    <xf numFmtId="49" fontId="9" fillId="4" borderId="32" xfId="2" applyNumberFormat="1" applyFont="1" applyFill="1" applyBorder="1" applyAlignment="1" applyProtection="1">
      <alignment horizontal="center" vertical="top" wrapText="1"/>
    </xf>
    <xf numFmtId="49" fontId="9" fillId="4" borderId="16" xfId="2" applyNumberFormat="1" applyFont="1" applyFill="1" applyBorder="1" applyAlignment="1" applyProtection="1">
      <alignment horizontal="center" vertical="top" wrapText="1"/>
    </xf>
    <xf numFmtId="49" fontId="9" fillId="0" borderId="30" xfId="2" applyNumberFormat="1" applyFont="1" applyFill="1" applyBorder="1" applyAlignment="1" applyProtection="1">
      <alignment horizontal="center" vertical="top" wrapText="1"/>
    </xf>
    <xf numFmtId="49" fontId="9" fillId="0" borderId="32" xfId="2" applyNumberFormat="1" applyFont="1" applyFill="1" applyBorder="1" applyAlignment="1" applyProtection="1">
      <alignment horizontal="center" vertical="top" wrapText="1"/>
    </xf>
    <xf numFmtId="0" fontId="9" fillId="0" borderId="28" xfId="4" applyNumberFormat="1" applyFont="1" applyFill="1" applyBorder="1" applyAlignment="1" applyProtection="1">
      <alignment horizontal="right" vertical="center"/>
    </xf>
    <xf numFmtId="0" fontId="9" fillId="0" borderId="4" xfId="4" applyNumberFormat="1" applyFont="1" applyFill="1" applyBorder="1" applyAlignment="1" applyProtection="1">
      <alignment horizontal="right" vertical="center"/>
    </xf>
    <xf numFmtId="0" fontId="9" fillId="5" borderId="26" xfId="4" applyNumberFormat="1" applyFont="1" applyFill="1" applyBorder="1" applyAlignment="1" applyProtection="1">
      <alignment horizontal="right" vertical="center" wrapText="1"/>
    </xf>
    <xf numFmtId="0" fontId="9" fillId="5" borderId="2" xfId="4" applyNumberFormat="1" applyFont="1" applyFill="1" applyBorder="1" applyAlignment="1" applyProtection="1">
      <alignment horizontal="right" vertical="center" wrapText="1"/>
    </xf>
    <xf numFmtId="49" fontId="9" fillId="0" borderId="6" xfId="2" applyNumberFormat="1" applyFont="1" applyFill="1" applyBorder="1" applyAlignment="1" applyProtection="1">
      <alignment horizontal="center" vertical="center" wrapText="1"/>
    </xf>
    <xf numFmtId="49" fontId="9" fillId="0" borderId="7" xfId="2" applyNumberFormat="1" applyFont="1" applyFill="1" applyBorder="1" applyAlignment="1" applyProtection="1">
      <alignment horizontal="center" vertical="center" wrapText="1"/>
    </xf>
    <xf numFmtId="0" fontId="9" fillId="0" borderId="35" xfId="1" applyFont="1" applyFill="1" applyBorder="1" applyAlignment="1">
      <alignment horizontal="right" vertical="center"/>
    </xf>
    <xf numFmtId="0" fontId="9" fillId="0" borderId="36" xfId="1" applyFont="1" applyFill="1" applyBorder="1" applyAlignment="1">
      <alignment horizontal="right" vertical="center"/>
    </xf>
    <xf numFmtId="0" fontId="9" fillId="0" borderId="6" xfId="2" applyNumberFormat="1" applyFont="1" applyFill="1" applyBorder="1" applyAlignment="1" applyProtection="1">
      <alignment horizontal="center" vertical="center" wrapText="1"/>
    </xf>
    <xf numFmtId="0" fontId="9" fillId="0" borderId="7" xfId="2" applyNumberFormat="1" applyFont="1" applyFill="1" applyBorder="1" applyAlignment="1" applyProtection="1">
      <alignment horizontal="center" vertical="center" wrapText="1"/>
    </xf>
    <xf numFmtId="0" fontId="9" fillId="0" borderId="8" xfId="2" applyNumberFormat="1" applyFont="1" applyFill="1" applyBorder="1" applyAlignment="1" applyProtection="1">
      <alignment horizontal="center" vertical="center" wrapText="1"/>
    </xf>
    <xf numFmtId="0" fontId="9" fillId="0" borderId="6" xfId="4" applyNumberFormat="1" applyFont="1" applyFill="1" applyBorder="1" applyAlignment="1" applyProtection="1">
      <alignment horizontal="center" vertical="center" wrapText="1"/>
    </xf>
    <xf numFmtId="0" fontId="9" fillId="0" borderId="7" xfId="4" applyNumberFormat="1" applyFont="1" applyFill="1" applyBorder="1" applyAlignment="1" applyProtection="1">
      <alignment horizontal="center" vertical="center" wrapText="1"/>
    </xf>
    <xf numFmtId="0" fontId="9" fillId="0" borderId="8" xfId="4" applyNumberFormat="1" applyFont="1" applyFill="1" applyBorder="1" applyAlignment="1" applyProtection="1">
      <alignment horizontal="center" vertical="center" wrapText="1"/>
    </xf>
    <xf numFmtId="49" fontId="9" fillId="0" borderId="16" xfId="2" applyNumberFormat="1" applyFont="1" applyFill="1" applyBorder="1" applyAlignment="1" applyProtection="1">
      <alignment horizontal="center" vertical="top" wrapText="1"/>
    </xf>
    <xf numFmtId="49" fontId="9" fillId="0" borderId="8" xfId="2" applyNumberFormat="1" applyFont="1" applyFill="1" applyBorder="1" applyAlignment="1" applyProtection="1">
      <alignment horizontal="center" vertical="center" wrapText="1"/>
    </xf>
    <xf numFmtId="0" fontId="9" fillId="0" borderId="20" xfId="2" applyNumberFormat="1" applyFont="1" applyFill="1" applyBorder="1" applyAlignment="1" applyProtection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7" fillId="0" borderId="2" xfId="2" applyNumberFormat="1" applyFont="1" applyFill="1" applyBorder="1" applyAlignment="1" applyProtection="1">
      <alignment horizontal="center" vertical="center" wrapText="1"/>
    </xf>
    <xf numFmtId="49" fontId="5" fillId="0" borderId="6" xfId="4" applyNumberFormat="1" applyFont="1" applyFill="1" applyBorder="1" applyAlignment="1" applyProtection="1">
      <alignment horizontal="center" vertical="center" wrapText="1"/>
    </xf>
    <xf numFmtId="49" fontId="5" fillId="0" borderId="7" xfId="4" applyNumberFormat="1" applyFont="1" applyFill="1" applyBorder="1" applyAlignment="1" applyProtection="1">
      <alignment horizontal="center" vertical="center" wrapText="1"/>
    </xf>
    <xf numFmtId="49" fontId="5" fillId="0" borderId="8" xfId="4" applyNumberFormat="1" applyFont="1" applyFill="1" applyBorder="1" applyAlignment="1" applyProtection="1">
      <alignment horizontal="center" vertical="center" wrapText="1"/>
    </xf>
    <xf numFmtId="0" fontId="18" fillId="0" borderId="6" xfId="4" applyNumberFormat="1" applyFont="1" applyFill="1" applyBorder="1" applyAlignment="1" applyProtection="1">
      <alignment horizontal="center" vertical="top" wrapText="1"/>
    </xf>
    <xf numFmtId="0" fontId="18" fillId="0" borderId="7" xfId="4" applyNumberFormat="1" applyFont="1" applyFill="1" applyBorder="1" applyAlignment="1" applyProtection="1">
      <alignment horizontal="center" vertical="top" wrapText="1"/>
    </xf>
    <xf numFmtId="49" fontId="9" fillId="4" borderId="6" xfId="2" applyNumberFormat="1" applyFont="1" applyFill="1" applyBorder="1" applyAlignment="1" applyProtection="1">
      <alignment horizontal="left" vertical="top" wrapText="1"/>
    </xf>
    <xf numFmtId="49" fontId="9" fillId="4" borderId="7" xfId="2" applyNumberFormat="1" applyFont="1" applyFill="1" applyBorder="1" applyAlignment="1" applyProtection="1">
      <alignment horizontal="left" vertical="top" wrapText="1"/>
    </xf>
    <xf numFmtId="49" fontId="9" fillId="4" borderId="8" xfId="2" applyNumberFormat="1" applyFont="1" applyFill="1" applyBorder="1" applyAlignment="1" applyProtection="1">
      <alignment horizontal="left" vertical="top" wrapText="1"/>
    </xf>
    <xf numFmtId="0" fontId="9" fillId="0" borderId="14" xfId="2" applyNumberFormat="1" applyFont="1" applyFill="1" applyBorder="1" applyAlignment="1" applyProtection="1">
      <alignment horizontal="center" vertical="center" wrapText="1"/>
    </xf>
    <xf numFmtId="0" fontId="17" fillId="0" borderId="7" xfId="2" applyNumberFormat="1" applyFont="1" applyFill="1" applyBorder="1" applyAlignment="1" applyProtection="1">
      <alignment horizontal="center" vertical="center" wrapText="1"/>
    </xf>
    <xf numFmtId="0" fontId="17" fillId="0" borderId="8" xfId="2" applyNumberFormat="1" applyFont="1" applyFill="1" applyBorder="1" applyAlignment="1" applyProtection="1">
      <alignment horizontal="center" vertical="center" wrapText="1"/>
    </xf>
    <xf numFmtId="0" fontId="9" fillId="12" borderId="14" xfId="2" applyNumberFormat="1" applyFont="1" applyFill="1" applyBorder="1" applyAlignment="1" applyProtection="1">
      <alignment horizontal="center" vertical="center" wrapText="1"/>
    </xf>
    <xf numFmtId="0" fontId="9" fillId="12" borderId="7" xfId="2" applyNumberFormat="1" applyFont="1" applyFill="1" applyBorder="1" applyAlignment="1" applyProtection="1">
      <alignment horizontal="center" vertical="center" wrapText="1"/>
    </xf>
    <xf numFmtId="0" fontId="9" fillId="12" borderId="8" xfId="2" applyNumberFormat="1" applyFont="1" applyFill="1" applyBorder="1" applyAlignment="1" applyProtection="1">
      <alignment horizontal="center" vertical="center" wrapText="1"/>
    </xf>
    <xf numFmtId="0" fontId="5" fillId="0" borderId="31" xfId="0" applyNumberFormat="1" applyFont="1" applyFill="1" applyBorder="1" applyAlignment="1" applyProtection="1">
      <alignment horizontal="center" vertical="center" wrapText="1"/>
    </xf>
    <xf numFmtId="0" fontId="5" fillId="0" borderId="33" xfId="0" applyNumberFormat="1" applyFont="1" applyFill="1" applyBorder="1" applyAlignment="1" applyProtection="1">
      <alignment horizontal="center" vertical="center" wrapText="1"/>
    </xf>
    <xf numFmtId="0" fontId="5" fillId="0" borderId="34" xfId="0" applyNumberFormat="1" applyFont="1" applyFill="1" applyBorder="1" applyAlignment="1" applyProtection="1">
      <alignment horizontal="center" vertical="center" wrapText="1"/>
    </xf>
    <xf numFmtId="49" fontId="5" fillId="4" borderId="6" xfId="2" applyNumberFormat="1" applyFont="1" applyFill="1" applyBorder="1" applyAlignment="1" applyProtection="1">
      <alignment horizontal="center" vertical="center" wrapText="1"/>
    </xf>
    <xf numFmtId="49" fontId="5" fillId="4" borderId="7" xfId="2" applyNumberFormat="1" applyFont="1" applyFill="1" applyBorder="1" applyAlignment="1" applyProtection="1">
      <alignment horizontal="center" vertical="center" wrapText="1"/>
    </xf>
    <xf numFmtId="49" fontId="5" fillId="4" borderId="8" xfId="2" applyNumberFormat="1" applyFont="1" applyFill="1" applyBorder="1" applyAlignment="1" applyProtection="1">
      <alignment horizontal="center" vertical="center" wrapText="1"/>
    </xf>
    <xf numFmtId="164" fontId="5" fillId="4" borderId="31" xfId="0" applyNumberFormat="1" applyFont="1" applyFill="1" applyBorder="1" applyAlignment="1" applyProtection="1">
      <alignment horizontal="center" vertical="center" wrapText="1"/>
    </xf>
    <xf numFmtId="164" fontId="5" fillId="4" borderId="33" xfId="0" applyNumberFormat="1" applyFont="1" applyFill="1" applyBorder="1" applyAlignment="1" applyProtection="1">
      <alignment horizontal="center" vertical="center" wrapText="1"/>
    </xf>
    <xf numFmtId="164" fontId="5" fillId="4" borderId="34" xfId="0" applyNumberFormat="1" applyFont="1" applyFill="1" applyBorder="1" applyAlignment="1" applyProtection="1">
      <alignment horizontal="center" vertical="center" wrapText="1"/>
    </xf>
    <xf numFmtId="0" fontId="18" fillId="0" borderId="31" xfId="4" applyNumberFormat="1" applyFont="1" applyFill="1" applyBorder="1" applyAlignment="1" applyProtection="1">
      <alignment horizontal="center" vertical="top"/>
    </xf>
    <xf numFmtId="0" fontId="18" fillId="0" borderId="33" xfId="4" applyNumberFormat="1" applyFont="1" applyFill="1" applyBorder="1" applyAlignment="1" applyProtection="1">
      <alignment horizontal="center" vertical="top"/>
    </xf>
    <xf numFmtId="49" fontId="5" fillId="4" borderId="6" xfId="0" applyNumberFormat="1" applyFont="1" applyFill="1" applyBorder="1" applyAlignment="1">
      <alignment horizontal="center" vertical="center" wrapText="1"/>
    </xf>
    <xf numFmtId="49" fontId="5" fillId="4" borderId="8" xfId="0" applyNumberFormat="1" applyFont="1" applyFill="1" applyBorder="1" applyAlignment="1">
      <alignment horizontal="center" vertical="center" wrapText="1"/>
    </xf>
    <xf numFmtId="49" fontId="9" fillId="0" borderId="31" xfId="2" applyNumberFormat="1" applyFont="1" applyFill="1" applyBorder="1" applyAlignment="1" applyProtection="1">
      <alignment horizontal="center" vertical="center" wrapText="1"/>
    </xf>
    <xf numFmtId="49" fontId="9" fillId="0" borderId="33" xfId="2" applyNumberFormat="1" applyFont="1" applyFill="1" applyBorder="1" applyAlignment="1" applyProtection="1">
      <alignment horizontal="center" vertical="center" wrapText="1"/>
    </xf>
    <xf numFmtId="49" fontId="9" fillId="0" borderId="34" xfId="2" applyNumberFormat="1" applyFont="1" applyFill="1" applyBorder="1" applyAlignment="1" applyProtection="1">
      <alignment horizontal="center" vertical="center" wrapText="1"/>
    </xf>
    <xf numFmtId="49" fontId="9" fillId="0" borderId="39" xfId="2" applyNumberFormat="1" applyFont="1" applyFill="1" applyBorder="1" applyAlignment="1" applyProtection="1">
      <alignment horizontal="center" vertical="center" wrapText="1"/>
    </xf>
    <xf numFmtId="49" fontId="9" fillId="0" borderId="28" xfId="2" applyNumberFormat="1" applyFont="1" applyFill="1" applyBorder="1" applyAlignment="1" applyProtection="1">
      <alignment horizontal="center" vertical="center" wrapText="1"/>
    </xf>
    <xf numFmtId="49" fontId="9" fillId="0" borderId="4" xfId="2" applyNumberFormat="1" applyFont="1" applyFill="1" applyBorder="1" applyAlignment="1" applyProtection="1">
      <alignment horizontal="center" vertical="center" wrapText="1"/>
    </xf>
    <xf numFmtId="49" fontId="9" fillId="0" borderId="29" xfId="2" applyNumberFormat="1" applyFont="1" applyFill="1" applyBorder="1" applyAlignment="1" applyProtection="1">
      <alignment horizontal="center" vertical="center" wrapText="1"/>
    </xf>
    <xf numFmtId="49" fontId="9" fillId="0" borderId="14" xfId="2" applyNumberFormat="1" applyFont="1" applyFill="1" applyBorder="1" applyAlignment="1" applyProtection="1">
      <alignment horizontal="center" vertical="center" wrapText="1"/>
    </xf>
    <xf numFmtId="0" fontId="9" fillId="0" borderId="22" xfId="2" applyNumberFormat="1" applyFont="1" applyFill="1" applyBorder="1" applyAlignment="1" applyProtection="1">
      <alignment horizontal="center" vertical="center" wrapText="1"/>
    </xf>
    <xf numFmtId="0" fontId="9" fillId="0" borderId="23" xfId="2" applyNumberFormat="1" applyFont="1" applyFill="1" applyBorder="1" applyAlignment="1" applyProtection="1">
      <alignment horizontal="center" vertical="center" wrapText="1"/>
    </xf>
    <xf numFmtId="0" fontId="9" fillId="0" borderId="24" xfId="2" applyNumberFormat="1" applyFont="1" applyFill="1" applyBorder="1" applyAlignment="1" applyProtection="1">
      <alignment horizontal="center" vertical="center" wrapText="1"/>
    </xf>
    <xf numFmtId="0" fontId="9" fillId="0" borderId="11" xfId="2" applyNumberFormat="1" applyFont="1" applyFill="1" applyBorder="1" applyAlignment="1" applyProtection="1">
      <alignment horizontal="center" vertical="center" wrapText="1"/>
    </xf>
    <xf numFmtId="0" fontId="9" fillId="0" borderId="1" xfId="2" applyNumberFormat="1" applyFont="1" applyFill="1" applyBorder="1" applyAlignment="1" applyProtection="1">
      <alignment horizontal="center" vertical="center" wrapText="1"/>
    </xf>
    <xf numFmtId="0" fontId="9" fillId="0" borderId="10" xfId="2" applyNumberFormat="1" applyFont="1" applyFill="1" applyBorder="1" applyAlignment="1" applyProtection="1">
      <alignment horizontal="center" vertical="center" wrapText="1"/>
    </xf>
    <xf numFmtId="49" fontId="9" fillId="0" borderId="21" xfId="2" applyNumberFormat="1" applyFont="1" applyFill="1" applyBorder="1" applyAlignment="1" applyProtection="1">
      <alignment horizontal="center" vertical="center"/>
    </xf>
    <xf numFmtId="49" fontId="17" fillId="0" borderId="26" xfId="2" applyNumberFormat="1" applyFont="1" applyFill="1" applyBorder="1" applyAlignment="1" applyProtection="1">
      <alignment vertical="center"/>
    </xf>
    <xf numFmtId="49" fontId="9" fillId="0" borderId="30" xfId="2" applyNumberFormat="1" applyFont="1" applyFill="1" applyBorder="1" applyAlignment="1" applyProtection="1">
      <alignment horizontal="center" vertical="center" wrapText="1"/>
    </xf>
    <xf numFmtId="49" fontId="9" fillId="0" borderId="32" xfId="2" applyNumberFormat="1" applyFont="1" applyFill="1" applyBorder="1" applyAlignment="1" applyProtection="1">
      <alignment horizontal="center" vertical="center" wrapText="1"/>
    </xf>
    <xf numFmtId="49" fontId="9" fillId="0" borderId="16" xfId="2" applyNumberFormat="1" applyFont="1" applyFill="1" applyBorder="1" applyAlignment="1" applyProtection="1">
      <alignment horizontal="center" vertical="center" wrapText="1"/>
    </xf>
    <xf numFmtId="49" fontId="9" fillId="0" borderId="31" xfId="5" applyNumberFormat="1" applyFont="1" applyFill="1" applyBorder="1" applyAlignment="1" applyProtection="1">
      <alignment horizontal="center" vertical="top"/>
    </xf>
    <xf numFmtId="49" fontId="9" fillId="0" borderId="33" xfId="5" applyNumberFormat="1" applyFont="1" applyFill="1" applyBorder="1" applyAlignment="1" applyProtection="1">
      <alignment horizontal="center" vertical="top"/>
    </xf>
    <xf numFmtId="49" fontId="9" fillId="0" borderId="34" xfId="5" applyNumberFormat="1" applyFont="1" applyFill="1" applyBorder="1" applyAlignment="1" applyProtection="1">
      <alignment horizontal="center" vertical="top"/>
    </xf>
    <xf numFmtId="0" fontId="9" fillId="2" borderId="25" xfId="1" applyNumberFormat="1" applyFont="1" applyFill="1" applyBorder="1" applyAlignment="1" applyProtection="1">
      <alignment horizontal="center" vertical="center" wrapText="1"/>
    </xf>
    <xf numFmtId="0" fontId="9" fillId="2" borderId="27" xfId="1" applyNumberFormat="1" applyFont="1" applyFill="1" applyBorder="1" applyAlignment="1" applyProtection="1">
      <alignment horizontal="center" vertical="center" wrapText="1"/>
    </xf>
    <xf numFmtId="49" fontId="9" fillId="0" borderId="6" xfId="5" applyNumberFormat="1" applyFont="1" applyFill="1" applyBorder="1" applyAlignment="1" applyProtection="1">
      <alignment horizontal="center" vertical="top"/>
    </xf>
    <xf numFmtId="49" fontId="9" fillId="0" borderId="7" xfId="5" applyNumberFormat="1" applyFont="1" applyFill="1" applyBorder="1" applyAlignment="1" applyProtection="1">
      <alignment horizontal="center" vertical="top"/>
    </xf>
    <xf numFmtId="49" fontId="9" fillId="0" borderId="8" xfId="5" applyNumberFormat="1" applyFont="1" applyFill="1" applyBorder="1" applyAlignment="1" applyProtection="1">
      <alignment horizontal="center" vertical="top"/>
    </xf>
    <xf numFmtId="0" fontId="9" fillId="12" borderId="14" xfId="1" applyNumberFormat="1" applyFont="1" applyFill="1" applyBorder="1" applyAlignment="1" applyProtection="1">
      <alignment horizontal="center" vertical="center" wrapText="1"/>
    </xf>
    <xf numFmtId="0" fontId="9" fillId="12" borderId="8" xfId="1" applyNumberFormat="1" applyFont="1" applyFill="1" applyBorder="1" applyAlignment="1" applyProtection="1">
      <alignment horizontal="center" vertical="center" wrapText="1"/>
    </xf>
    <xf numFmtId="0" fontId="9" fillId="2" borderId="14" xfId="1" applyNumberFormat="1" applyFont="1" applyFill="1" applyBorder="1" applyAlignment="1" applyProtection="1">
      <alignment horizontal="center" vertical="center" wrapText="1"/>
    </xf>
    <xf numFmtId="0" fontId="9" fillId="6" borderId="8" xfId="1" applyNumberFormat="1" applyFont="1" applyFill="1" applyBorder="1" applyAlignment="1" applyProtection="1">
      <alignment horizontal="center" vertical="center" wrapText="1"/>
    </xf>
    <xf numFmtId="0" fontId="9" fillId="2" borderId="17" xfId="1" applyNumberFormat="1" applyFont="1" applyFill="1" applyBorder="1" applyAlignment="1" applyProtection="1">
      <alignment horizontal="center" vertical="center" wrapText="1"/>
    </xf>
    <xf numFmtId="0" fontId="9" fillId="2" borderId="18" xfId="1" applyNumberFormat="1" applyFont="1" applyFill="1" applyBorder="1" applyAlignment="1" applyProtection="1">
      <alignment horizontal="center" vertical="center" wrapText="1"/>
    </xf>
    <xf numFmtId="0" fontId="9" fillId="2" borderId="19" xfId="1" applyNumberFormat="1" applyFont="1" applyFill="1" applyBorder="1" applyAlignment="1" applyProtection="1">
      <alignment horizontal="center" vertical="center" wrapText="1"/>
    </xf>
    <xf numFmtId="0" fontId="9" fillId="0" borderId="2" xfId="3" applyNumberFormat="1" applyFont="1" applyFill="1" applyBorder="1" applyAlignment="1" applyProtection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9" fillId="2" borderId="15" xfId="1" applyNumberFormat="1" applyFont="1" applyFill="1" applyBorder="1" applyAlignment="1" applyProtection="1">
      <alignment horizontal="center" vertical="center" wrapText="1"/>
    </xf>
    <xf numFmtId="0" fontId="9" fillId="2" borderId="16" xfId="1" applyNumberFormat="1" applyFont="1" applyFill="1" applyBorder="1" applyAlignment="1" applyProtection="1">
      <alignment horizontal="center" vertical="center" wrapText="1"/>
    </xf>
    <xf numFmtId="49" fontId="9" fillId="4" borderId="30" xfId="5" applyNumberFormat="1" applyFont="1" applyFill="1" applyBorder="1" applyAlignment="1" applyProtection="1">
      <alignment horizontal="center" vertical="top" wrapText="1"/>
    </xf>
    <xf numFmtId="49" fontId="9" fillId="4" borderId="32" xfId="5" applyNumberFormat="1" applyFont="1" applyFill="1" applyBorder="1" applyAlignment="1" applyProtection="1">
      <alignment horizontal="center" vertical="top" wrapText="1"/>
    </xf>
    <xf numFmtId="49" fontId="9" fillId="4" borderId="16" xfId="5" applyNumberFormat="1" applyFont="1" applyFill="1" applyBorder="1" applyAlignment="1" applyProtection="1">
      <alignment horizontal="center" vertical="top" wrapText="1"/>
    </xf>
    <xf numFmtId="49" fontId="9" fillId="4" borderId="6" xfId="5" applyNumberFormat="1" applyFont="1" applyFill="1" applyBorder="1" applyAlignment="1" applyProtection="1">
      <alignment horizontal="left" vertical="top" wrapText="1"/>
    </xf>
    <xf numFmtId="49" fontId="9" fillId="4" borderId="7" xfId="5" applyNumberFormat="1" applyFont="1" applyFill="1" applyBorder="1" applyAlignment="1" applyProtection="1">
      <alignment horizontal="left" vertical="top" wrapText="1"/>
    </xf>
    <xf numFmtId="49" fontId="9" fillId="4" borderId="8" xfId="5" applyNumberFormat="1" applyFont="1" applyFill="1" applyBorder="1" applyAlignment="1" applyProtection="1">
      <alignment horizontal="left" vertical="top" wrapText="1"/>
    </xf>
    <xf numFmtId="0" fontId="9" fillId="4" borderId="7" xfId="3" applyNumberFormat="1" applyFont="1" applyFill="1" applyBorder="1" applyAlignment="1" applyProtection="1">
      <alignment horizontal="center" vertical="center" wrapText="1"/>
    </xf>
    <xf numFmtId="49" fontId="9" fillId="0" borderId="30" xfId="5" applyNumberFormat="1" applyFont="1" applyFill="1" applyBorder="1" applyAlignment="1" applyProtection="1">
      <alignment horizontal="center" vertical="top"/>
    </xf>
    <xf numFmtId="49" fontId="9" fillId="0" borderId="32" xfId="5" applyNumberFormat="1" applyFont="1" applyFill="1" applyBorder="1" applyAlignment="1" applyProtection="1">
      <alignment horizontal="center" vertical="top"/>
    </xf>
    <xf numFmtId="49" fontId="9" fillId="0" borderId="16" xfId="5" applyNumberFormat="1" applyFont="1" applyFill="1" applyBorder="1" applyAlignment="1" applyProtection="1">
      <alignment horizontal="center" vertical="top"/>
    </xf>
    <xf numFmtId="49" fontId="9" fillId="0" borderId="6" xfId="5" applyNumberFormat="1" applyFont="1" applyFill="1" applyBorder="1" applyAlignment="1" applyProtection="1">
      <alignment horizontal="center" vertical="center" wrapText="1"/>
    </xf>
    <xf numFmtId="49" fontId="9" fillId="0" borderId="7" xfId="5" applyNumberFormat="1" applyFont="1" applyFill="1" applyBorder="1" applyAlignment="1" applyProtection="1">
      <alignment horizontal="center" vertical="center" wrapText="1"/>
    </xf>
    <xf numFmtId="49" fontId="9" fillId="0" borderId="8" xfId="5" applyNumberFormat="1" applyFont="1" applyFill="1" applyBorder="1" applyAlignment="1" applyProtection="1">
      <alignment horizontal="center" vertical="center" wrapText="1"/>
    </xf>
    <xf numFmtId="49" fontId="5" fillId="4" borderId="6" xfId="5" applyNumberFormat="1" applyFont="1" applyFill="1" applyBorder="1" applyAlignment="1" applyProtection="1">
      <alignment horizontal="center" vertical="center" wrapText="1"/>
    </xf>
    <xf numFmtId="49" fontId="5" fillId="4" borderId="8" xfId="5" applyNumberFormat="1" applyFont="1" applyFill="1" applyBorder="1" applyAlignment="1" applyProtection="1">
      <alignment horizontal="center" vertical="center" wrapText="1"/>
    </xf>
    <xf numFmtId="0" fontId="5" fillId="4" borderId="31" xfId="5" applyNumberFormat="1" applyFont="1" applyFill="1" applyBorder="1" applyAlignment="1" applyProtection="1">
      <alignment horizontal="center" vertical="center" wrapText="1"/>
    </xf>
    <xf numFmtId="0" fontId="5" fillId="4" borderId="34" xfId="5" applyNumberFormat="1" applyFont="1" applyFill="1" applyBorder="1" applyAlignment="1" applyProtection="1">
      <alignment horizontal="center" vertical="center" wrapText="1"/>
    </xf>
    <xf numFmtId="0" fontId="9" fillId="0" borderId="35" xfId="1" applyFont="1" applyFill="1" applyBorder="1" applyAlignment="1">
      <alignment horizontal="right" vertical="center" wrapText="1"/>
    </xf>
    <xf numFmtId="0" fontId="9" fillId="0" borderId="36" xfId="1" applyFont="1" applyFill="1" applyBorder="1" applyAlignment="1">
      <alignment horizontal="right" vertical="center" wrapText="1"/>
    </xf>
    <xf numFmtId="0" fontId="9" fillId="0" borderId="26" xfId="4" applyNumberFormat="1" applyFont="1" applyFill="1" applyBorder="1" applyAlignment="1" applyProtection="1">
      <alignment horizontal="right" vertical="center"/>
    </xf>
    <xf numFmtId="49" fontId="5" fillId="4" borderId="7" xfId="5" applyNumberFormat="1" applyFont="1" applyFill="1" applyBorder="1" applyAlignment="1" applyProtection="1">
      <alignment horizontal="center" vertical="center" wrapText="1"/>
    </xf>
    <xf numFmtId="49" fontId="5" fillId="4" borderId="31" xfId="5" applyNumberFormat="1" applyFont="1" applyFill="1" applyBorder="1" applyAlignment="1" applyProtection="1">
      <alignment horizontal="center" vertical="center" wrapText="1"/>
    </xf>
    <xf numFmtId="49" fontId="5" fillId="4" borderId="33" xfId="5" applyNumberFormat="1" applyFont="1" applyFill="1" applyBorder="1" applyAlignment="1" applyProtection="1">
      <alignment horizontal="center" vertical="center" wrapText="1"/>
    </xf>
    <xf numFmtId="49" fontId="5" fillId="4" borderId="34" xfId="5" applyNumberFormat="1" applyFont="1" applyFill="1" applyBorder="1" applyAlignment="1" applyProtection="1">
      <alignment horizontal="center" vertical="center" wrapText="1"/>
    </xf>
    <xf numFmtId="0" fontId="9" fillId="5" borderId="26" xfId="4" applyNumberFormat="1" applyFont="1" applyFill="1" applyBorder="1" applyAlignment="1">
      <alignment horizontal="right" vertical="center" wrapText="1"/>
    </xf>
    <xf numFmtId="49" fontId="9" fillId="4" borderId="6" xfId="5" applyNumberFormat="1" applyFont="1" applyFill="1" applyBorder="1" applyAlignment="1" applyProtection="1">
      <alignment horizontal="center" vertical="top"/>
    </xf>
    <xf numFmtId="49" fontId="9" fillId="4" borderId="8" xfId="5" applyNumberFormat="1" applyFont="1" applyFill="1" applyBorder="1" applyAlignment="1" applyProtection="1">
      <alignment horizontal="center" vertical="top"/>
    </xf>
    <xf numFmtId="0" fontId="9" fillId="0" borderId="26" xfId="5" applyNumberFormat="1" applyFont="1" applyFill="1" applyBorder="1" applyAlignment="1" applyProtection="1">
      <alignment horizontal="right" vertical="center" wrapText="1"/>
    </xf>
    <xf numFmtId="0" fontId="9" fillId="0" borderId="2" xfId="5" applyNumberFormat="1" applyFont="1" applyFill="1" applyBorder="1" applyAlignment="1" applyProtection="1">
      <alignment horizontal="right" vertical="center" wrapText="1"/>
    </xf>
    <xf numFmtId="0" fontId="9" fillId="0" borderId="28" xfId="1" applyFont="1" applyFill="1" applyBorder="1" applyAlignment="1">
      <alignment horizontal="right" vertical="center" wrapText="1"/>
    </xf>
    <xf numFmtId="0" fontId="9" fillId="0" borderId="4" xfId="1" applyFont="1" applyFill="1" applyBorder="1" applyAlignment="1">
      <alignment horizontal="right" vertical="center" wrapText="1"/>
    </xf>
    <xf numFmtId="0" fontId="9" fillId="9" borderId="21" xfId="5" applyNumberFormat="1" applyFont="1" applyFill="1" applyBorder="1" applyAlignment="1" applyProtection="1">
      <alignment horizontal="right" vertical="center" wrapText="1"/>
    </xf>
    <xf numFmtId="0" fontId="9" fillId="9" borderId="20" xfId="5" applyNumberFormat="1" applyFont="1" applyFill="1" applyBorder="1" applyAlignment="1" applyProtection="1">
      <alignment horizontal="right" vertical="center" wrapText="1"/>
    </xf>
    <xf numFmtId="0" fontId="9" fillId="4" borderId="2" xfId="3" applyNumberFormat="1" applyFont="1" applyFill="1" applyBorder="1" applyAlignment="1" applyProtection="1">
      <alignment horizontal="left" vertical="top" wrapText="1"/>
    </xf>
    <xf numFmtId="49" fontId="9" fillId="4" borderId="30" xfId="5" applyNumberFormat="1" applyFont="1" applyFill="1" applyBorder="1" applyAlignment="1" applyProtection="1">
      <alignment horizontal="center" vertical="top"/>
    </xf>
    <xf numFmtId="49" fontId="9" fillId="4" borderId="16" xfId="5" applyNumberFormat="1" applyFont="1" applyFill="1" applyBorder="1" applyAlignment="1" applyProtection="1">
      <alignment horizontal="center" vertical="top"/>
    </xf>
    <xf numFmtId="0" fontId="9" fillId="4" borderId="6" xfId="3" applyNumberFormat="1" applyFont="1" applyFill="1" applyBorder="1" applyAlignment="1" applyProtection="1">
      <alignment horizontal="left" vertical="top" wrapText="1"/>
    </xf>
    <xf numFmtId="0" fontId="9" fillId="4" borderId="8" xfId="3" applyNumberFormat="1" applyFont="1" applyFill="1" applyBorder="1" applyAlignment="1" applyProtection="1">
      <alignment horizontal="left" vertical="top" wrapText="1"/>
    </xf>
    <xf numFmtId="165" fontId="6" fillId="7" borderId="0" xfId="5" applyNumberFormat="1" applyFont="1" applyFill="1" applyBorder="1" applyAlignment="1" applyProtection="1">
      <alignment horizontal="center" vertical="top"/>
    </xf>
    <xf numFmtId="0" fontId="9" fillId="0" borderId="28" xfId="1" applyFont="1" applyFill="1" applyBorder="1" applyAlignment="1">
      <alignment horizontal="right" vertical="center"/>
    </xf>
    <xf numFmtId="0" fontId="9" fillId="0" borderId="4" xfId="1" applyFont="1" applyFill="1" applyBorder="1" applyAlignment="1">
      <alignment horizontal="right" vertical="center"/>
    </xf>
    <xf numFmtId="0" fontId="5" fillId="3" borderId="0" xfId="5" applyNumberFormat="1" applyFont="1" applyFill="1" applyBorder="1" applyAlignment="1" applyProtection="1">
      <alignment horizontal="center" vertical="top"/>
    </xf>
    <xf numFmtId="0" fontId="5" fillId="0" borderId="0" xfId="5" applyNumberFormat="1" applyFont="1" applyFill="1" applyBorder="1" applyAlignment="1" applyProtection="1">
      <alignment horizontal="left" vertical="top"/>
    </xf>
    <xf numFmtId="0" fontId="9" fillId="2" borderId="8" xfId="1" applyNumberFormat="1" applyFont="1" applyFill="1" applyBorder="1" applyAlignment="1" applyProtection="1">
      <alignment horizontal="center" vertical="center" wrapText="1"/>
    </xf>
    <xf numFmtId="0" fontId="5" fillId="4" borderId="6" xfId="3" applyNumberFormat="1" applyFont="1" applyFill="1" applyBorder="1" applyAlignment="1" applyProtection="1">
      <alignment horizontal="center" vertical="center" wrapText="1"/>
    </xf>
    <xf numFmtId="0" fontId="5" fillId="4" borderId="7" xfId="3" applyNumberFormat="1" applyFont="1" applyFill="1" applyBorder="1" applyAlignment="1" applyProtection="1">
      <alignment horizontal="center" vertical="center" wrapText="1"/>
    </xf>
    <xf numFmtId="0" fontId="5" fillId="4" borderId="8" xfId="3" applyNumberFormat="1" applyFont="1" applyFill="1" applyBorder="1" applyAlignment="1" applyProtection="1">
      <alignment horizontal="center" vertical="center" wrapText="1"/>
    </xf>
    <xf numFmtId="0" fontId="5" fillId="4" borderId="31" xfId="3" applyNumberFormat="1" applyFont="1" applyFill="1" applyBorder="1" applyAlignment="1" applyProtection="1">
      <alignment horizontal="center" vertical="center" wrapText="1"/>
    </xf>
    <xf numFmtId="0" fontId="5" fillId="4" borderId="33" xfId="3" applyNumberFormat="1" applyFont="1" applyFill="1" applyBorder="1" applyAlignment="1" applyProtection="1">
      <alignment horizontal="center" vertical="center" wrapText="1"/>
    </xf>
    <xf numFmtId="0" fontId="5" fillId="4" borderId="34" xfId="3" applyNumberFormat="1" applyFont="1" applyFill="1" applyBorder="1" applyAlignment="1" applyProtection="1">
      <alignment horizontal="center" vertical="center" wrapText="1"/>
    </xf>
  </cellXfs>
  <cellStyles count="12"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 6" xfId="6"/>
    <cellStyle name="Обычный 7" xfId="9"/>
    <cellStyle name="Обычный_Лист1" xfId="1"/>
    <cellStyle name="Обычный_Лист1_1" xfId="7"/>
    <cellStyle name="Обычный_Лист1_Лист2" xfId="11"/>
    <cellStyle name="Обычный_Лист2" xfId="10"/>
    <cellStyle name="Процентный 2" xfId="8"/>
  </cellStyles>
  <dxfs count="0"/>
  <tableStyles count="0" defaultTableStyle="TableStyleMedium2" defaultPivotStyle="PivotStyleLight16"/>
  <colors>
    <mruColors>
      <color rgb="FF00FFFF"/>
      <color rgb="FF99FF99"/>
      <color rgb="FFFFFFCC"/>
      <color rgb="FF99CCFF"/>
      <color rgb="FFFFCC00"/>
      <color rgb="FFFF9999"/>
      <color rgb="FF00FF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87"/>
  <sheetViews>
    <sheetView view="pageBreakPreview" zoomScale="70" zoomScaleNormal="70" zoomScaleSheetLayoutView="70" workbookViewId="0">
      <pane ySplit="11" topLeftCell="A60" activePane="bottomLeft" state="frozen"/>
      <selection activeCell="F60" sqref="F60"/>
      <selection pane="bottomLeft" activeCell="N22" sqref="N22"/>
    </sheetView>
  </sheetViews>
  <sheetFormatPr defaultRowHeight="15" x14ac:dyDescent="0.25"/>
  <cols>
    <col min="1" max="1" width="9.140625" style="8"/>
    <col min="2" max="2" width="57.28515625" style="8" customWidth="1"/>
    <col min="3" max="3" width="18.28515625" style="8" customWidth="1"/>
    <col min="4" max="4" width="33.42578125" style="8" customWidth="1"/>
    <col min="5" max="5" width="19.42578125" style="8" customWidth="1"/>
    <col min="6" max="6" width="19.28515625" style="119" customWidth="1"/>
    <col min="7" max="7" width="18.140625" style="8" customWidth="1"/>
    <col min="8" max="9" width="19" style="120" customWidth="1"/>
    <col min="10" max="10" width="19" style="8" customWidth="1"/>
    <col min="11" max="11" width="18.140625" style="8" customWidth="1"/>
    <col min="12" max="12" width="20.42578125" style="8" customWidth="1"/>
    <col min="13" max="13" width="28.42578125" style="8" customWidth="1"/>
    <col min="14" max="14" width="14.85546875" style="8" customWidth="1"/>
    <col min="15" max="15" width="11.5703125" style="8" bestFit="1" customWidth="1"/>
    <col min="16" max="18" width="11.140625" style="8" bestFit="1" customWidth="1"/>
    <col min="19" max="16384" width="9.140625" style="8"/>
  </cols>
  <sheetData>
    <row r="1" spans="1:14" ht="15.75" customHeight="1" x14ac:dyDescent="0.25">
      <c r="A1" s="2"/>
      <c r="B1" s="3"/>
      <c r="C1" s="4"/>
      <c r="D1" s="3"/>
      <c r="E1" s="3"/>
      <c r="F1" s="5"/>
      <c r="G1" s="3"/>
      <c r="H1" s="6"/>
      <c r="I1" s="6"/>
      <c r="J1" s="7"/>
      <c r="K1" s="443" t="s">
        <v>326</v>
      </c>
      <c r="L1" s="443"/>
      <c r="M1" s="443"/>
    </row>
    <row r="2" spans="1:14" ht="15.75" customHeight="1" x14ac:dyDescent="0.25">
      <c r="A2" s="2"/>
      <c r="B2" s="9"/>
      <c r="C2" s="10"/>
      <c r="D2" s="11"/>
      <c r="E2" s="11"/>
      <c r="F2" s="12"/>
      <c r="G2" s="13"/>
      <c r="H2" s="14"/>
      <c r="I2" s="14"/>
      <c r="J2" s="13"/>
      <c r="K2" s="443"/>
      <c r="L2" s="443"/>
      <c r="M2" s="443"/>
    </row>
    <row r="3" spans="1:14" ht="32.25" customHeight="1" x14ac:dyDescent="0.25">
      <c r="A3" s="2"/>
      <c r="B3" s="9"/>
      <c r="C3" s="10"/>
      <c r="D3" s="11"/>
      <c r="E3" s="11"/>
      <c r="F3" s="15"/>
      <c r="G3" s="13"/>
      <c r="H3" s="14"/>
      <c r="I3" s="14"/>
      <c r="J3" s="13"/>
      <c r="K3" s="443"/>
      <c r="L3" s="443"/>
      <c r="M3" s="443"/>
    </row>
    <row r="4" spans="1:14" ht="15.75" x14ac:dyDescent="0.25">
      <c r="A4" s="2"/>
      <c r="B4" s="9"/>
      <c r="C4" s="10"/>
      <c r="D4" s="11"/>
      <c r="E4" s="11"/>
      <c r="F4" s="15"/>
      <c r="G4" s="13"/>
      <c r="H4" s="14"/>
      <c r="I4" s="14"/>
      <c r="J4" s="13"/>
      <c r="K4" s="443" t="s">
        <v>316</v>
      </c>
      <c r="L4" s="443"/>
      <c r="M4" s="443"/>
    </row>
    <row r="5" spans="1:14" ht="18.75" x14ac:dyDescent="0.25">
      <c r="A5" s="16"/>
      <c r="B5" s="501" t="s">
        <v>133</v>
      </c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1"/>
    </row>
    <row r="6" spans="1:14" ht="16.5" thickBot="1" x14ac:dyDescent="0.3">
      <c r="A6" s="16"/>
      <c r="B6" s="11"/>
      <c r="C6" s="10"/>
      <c r="D6" s="11"/>
      <c r="E6" s="11"/>
      <c r="F6" s="15"/>
      <c r="G6" s="500"/>
      <c r="H6" s="500"/>
      <c r="I6" s="500"/>
      <c r="J6" s="500"/>
      <c r="K6" s="500"/>
      <c r="L6" s="500"/>
      <c r="M6" s="500"/>
    </row>
    <row r="7" spans="1:14" ht="15" customHeight="1" x14ac:dyDescent="0.25">
      <c r="A7" s="507" t="s">
        <v>1</v>
      </c>
      <c r="B7" s="462" t="s">
        <v>6</v>
      </c>
      <c r="C7" s="462" t="s">
        <v>0</v>
      </c>
      <c r="D7" s="462" t="s">
        <v>2</v>
      </c>
      <c r="E7" s="462" t="s">
        <v>148</v>
      </c>
      <c r="F7" s="502" t="s">
        <v>3</v>
      </c>
      <c r="G7" s="484" t="s">
        <v>48</v>
      </c>
      <c r="H7" s="485"/>
      <c r="I7" s="485"/>
      <c r="J7" s="485"/>
      <c r="K7" s="486"/>
      <c r="L7" s="462" t="s">
        <v>17</v>
      </c>
      <c r="M7" s="505" t="s">
        <v>7</v>
      </c>
    </row>
    <row r="8" spans="1:14" x14ac:dyDescent="0.25">
      <c r="A8" s="508"/>
      <c r="B8" s="463"/>
      <c r="C8" s="463"/>
      <c r="D8" s="463"/>
      <c r="E8" s="463"/>
      <c r="F8" s="503"/>
      <c r="G8" s="487"/>
      <c r="H8" s="488"/>
      <c r="I8" s="488"/>
      <c r="J8" s="488"/>
      <c r="K8" s="489"/>
      <c r="L8" s="463"/>
      <c r="M8" s="506"/>
    </row>
    <row r="9" spans="1:14" ht="27.75" customHeight="1" x14ac:dyDescent="0.25">
      <c r="A9" s="509"/>
      <c r="B9" s="464"/>
      <c r="C9" s="464"/>
      <c r="D9" s="464"/>
      <c r="E9" s="463"/>
      <c r="F9" s="504"/>
      <c r="G9" s="490"/>
      <c r="H9" s="491"/>
      <c r="I9" s="491"/>
      <c r="J9" s="491"/>
      <c r="K9" s="492"/>
      <c r="L9" s="463"/>
      <c r="M9" s="506"/>
    </row>
    <row r="10" spans="1:14" ht="73.5" customHeight="1" x14ac:dyDescent="0.25">
      <c r="A10" s="509"/>
      <c r="B10" s="464"/>
      <c r="C10" s="464"/>
      <c r="D10" s="464"/>
      <c r="E10" s="463"/>
      <c r="F10" s="504"/>
      <c r="G10" s="17" t="s">
        <v>46</v>
      </c>
      <c r="H10" s="18" t="s">
        <v>47</v>
      </c>
      <c r="I10" s="19" t="s">
        <v>150</v>
      </c>
      <c r="J10" s="17" t="s">
        <v>151</v>
      </c>
      <c r="K10" s="17" t="s">
        <v>152</v>
      </c>
      <c r="L10" s="463"/>
      <c r="M10" s="506"/>
    </row>
    <row r="11" spans="1:14" ht="18" customHeight="1" x14ac:dyDescent="0.25">
      <c r="A11" s="20">
        <v>1</v>
      </c>
      <c r="B11" s="21">
        <v>2</v>
      </c>
      <c r="C11" s="21" t="s">
        <v>18</v>
      </c>
      <c r="D11" s="21">
        <v>4</v>
      </c>
      <c r="E11" s="21" t="s">
        <v>19</v>
      </c>
      <c r="F11" s="22" t="s">
        <v>134</v>
      </c>
      <c r="G11" s="21" t="s">
        <v>20</v>
      </c>
      <c r="H11" s="23" t="s">
        <v>135</v>
      </c>
      <c r="I11" s="21" t="s">
        <v>21</v>
      </c>
      <c r="J11" s="21" t="s">
        <v>22</v>
      </c>
      <c r="K11" s="21" t="s">
        <v>30</v>
      </c>
      <c r="L11" s="21" t="s">
        <v>31</v>
      </c>
      <c r="M11" s="24" t="s">
        <v>50</v>
      </c>
    </row>
    <row r="12" spans="1:14" ht="35.25" customHeight="1" x14ac:dyDescent="0.25">
      <c r="A12" s="478" t="s">
        <v>61</v>
      </c>
      <c r="B12" s="479"/>
      <c r="C12" s="479"/>
      <c r="D12" s="479"/>
      <c r="E12" s="479"/>
      <c r="F12" s="479"/>
      <c r="G12" s="479"/>
      <c r="H12" s="479"/>
      <c r="I12" s="479"/>
      <c r="J12" s="479"/>
      <c r="K12" s="479"/>
      <c r="L12" s="479"/>
      <c r="M12" s="480"/>
    </row>
    <row r="13" spans="1:14" ht="31.5" customHeight="1" x14ac:dyDescent="0.25">
      <c r="A13" s="472"/>
      <c r="B13" s="475" t="s">
        <v>261</v>
      </c>
      <c r="C13" s="447" t="s">
        <v>149</v>
      </c>
      <c r="D13" s="25" t="s">
        <v>10</v>
      </c>
      <c r="E13" s="26">
        <f t="shared" ref="E13:K13" si="0">SUM(E14:E18)</f>
        <v>2336141.8930000002</v>
      </c>
      <c r="F13" s="27">
        <f t="shared" si="0"/>
        <v>12008858.118999999</v>
      </c>
      <c r="G13" s="26">
        <f t="shared" si="0"/>
        <v>2616864.3339999998</v>
      </c>
      <c r="H13" s="28">
        <f t="shared" si="0"/>
        <v>2752888.6489999997</v>
      </c>
      <c r="I13" s="26">
        <f t="shared" si="0"/>
        <v>2749437.7119999998</v>
      </c>
      <c r="J13" s="26">
        <f t="shared" si="0"/>
        <v>2749437.7119999998</v>
      </c>
      <c r="K13" s="26">
        <f t="shared" si="0"/>
        <v>1140229.7120000001</v>
      </c>
      <c r="L13" s="481"/>
      <c r="M13" s="465"/>
    </row>
    <row r="14" spans="1:14" ht="37.5" x14ac:dyDescent="0.25">
      <c r="A14" s="473"/>
      <c r="B14" s="476"/>
      <c r="C14" s="448"/>
      <c r="D14" s="29" t="s">
        <v>5</v>
      </c>
      <c r="E14" s="30">
        <f>E23+E24+E25+E34+E38+E42+E43+E44</f>
        <v>1302780</v>
      </c>
      <c r="F14" s="31">
        <f t="shared" ref="F14:F17" si="1">SUM(G14:K14)</f>
        <v>6311466</v>
      </c>
      <c r="G14" s="30">
        <f>G23+G24+G25+G34+G38+G42+G43+G44</f>
        <v>1531991</v>
      </c>
      <c r="H14" s="32">
        <f>H23+H24+H25+H34+H38+H42+H43+H44</f>
        <v>1593925</v>
      </c>
      <c r="I14" s="30">
        <f>I23+I24+I25+I34+I38+I42+I43+I44</f>
        <v>1592775</v>
      </c>
      <c r="J14" s="30">
        <f>J23+J24+J25+J34+J38+J42+J43+J44</f>
        <v>1592775</v>
      </c>
      <c r="K14" s="30">
        <f>K23+K24+K25+K34+K38+K42+K43+K44</f>
        <v>0</v>
      </c>
      <c r="L14" s="482"/>
      <c r="M14" s="466"/>
      <c r="N14" s="33"/>
    </row>
    <row r="15" spans="1:14" ht="56.25" x14ac:dyDescent="0.25">
      <c r="A15" s="473"/>
      <c r="B15" s="476"/>
      <c r="C15" s="448"/>
      <c r="D15" s="29" t="s">
        <v>12</v>
      </c>
      <c r="E15" s="34">
        <f>E19+E22+E26+E28+E31+E32+E33+E35+E37+E40+E45+E46</f>
        <v>731334.36599999992</v>
      </c>
      <c r="F15" s="31">
        <f t="shared" si="1"/>
        <v>3937579.4920000006</v>
      </c>
      <c r="G15" s="34">
        <f>G19+G22+G26+G28+G31+G32+G33+G35+G37+G40+G45+G46+G48</f>
        <v>746450.82100000011</v>
      </c>
      <c r="H15" s="35">
        <f t="shared" ref="H15:K15" si="2">H19+H22+H26+H28+H31+H32+H33+H35+H37+H40+H45+H46+H48</f>
        <v>796623.18199999991</v>
      </c>
      <c r="I15" s="34">
        <f t="shared" si="2"/>
        <v>803646.16300000006</v>
      </c>
      <c r="J15" s="34">
        <f t="shared" si="2"/>
        <v>803646.16300000006</v>
      </c>
      <c r="K15" s="34">
        <f t="shared" si="2"/>
        <v>787213.16300000006</v>
      </c>
      <c r="L15" s="482"/>
      <c r="M15" s="466"/>
      <c r="N15" s="33"/>
    </row>
    <row r="16" spans="1:14" ht="123" customHeight="1" x14ac:dyDescent="0.25">
      <c r="A16" s="473"/>
      <c r="B16" s="476"/>
      <c r="C16" s="448"/>
      <c r="D16" s="29" t="s">
        <v>91</v>
      </c>
      <c r="E16" s="36">
        <f>E39+E29+E41+E47+E36</f>
        <v>13678.833999999999</v>
      </c>
      <c r="F16" s="31">
        <f>SUM(G16:K16)</f>
        <v>11188.791999999999</v>
      </c>
      <c r="G16" s="36">
        <f>G39+G29+G41+G47+G36</f>
        <v>8216.7669999999998</v>
      </c>
      <c r="H16" s="35">
        <f>H39+H29+H41+H47+H36</f>
        <v>2972.0250000000001</v>
      </c>
      <c r="I16" s="36">
        <f t="shared" ref="I16:K16" si="3">I39+I29+I41+I47+I36</f>
        <v>0</v>
      </c>
      <c r="J16" s="36">
        <f t="shared" si="3"/>
        <v>0</v>
      </c>
      <c r="K16" s="36">
        <f t="shared" si="3"/>
        <v>0</v>
      </c>
      <c r="L16" s="482"/>
      <c r="M16" s="466"/>
      <c r="N16" s="33"/>
    </row>
    <row r="17" spans="1:20" ht="75" x14ac:dyDescent="0.25">
      <c r="A17" s="473"/>
      <c r="B17" s="476"/>
      <c r="C17" s="448"/>
      <c r="D17" s="19" t="s">
        <v>51</v>
      </c>
      <c r="E17" s="30">
        <f>E20+E30</f>
        <v>36793.925999999999</v>
      </c>
      <c r="F17" s="31">
        <f t="shared" si="1"/>
        <v>222222.23499999999</v>
      </c>
      <c r="G17" s="30">
        <f>G20+G30</f>
        <v>38885.425999999999</v>
      </c>
      <c r="H17" s="32">
        <f>H20+H30</f>
        <v>50598.122000000003</v>
      </c>
      <c r="I17" s="30">
        <f>I20+I30</f>
        <v>44246.228999999999</v>
      </c>
      <c r="J17" s="30">
        <f>J20+J30</f>
        <v>44246.228999999999</v>
      </c>
      <c r="K17" s="30">
        <f>K20+K30</f>
        <v>44246.228999999999</v>
      </c>
      <c r="L17" s="482"/>
      <c r="M17" s="466"/>
      <c r="O17" s="33"/>
      <c r="P17" s="37"/>
      <c r="Q17" s="37"/>
    </row>
    <row r="18" spans="1:20" ht="56.25" x14ac:dyDescent="0.25">
      <c r="A18" s="474"/>
      <c r="B18" s="477"/>
      <c r="C18" s="449"/>
      <c r="D18" s="19" t="s">
        <v>64</v>
      </c>
      <c r="E18" s="30">
        <f t="shared" ref="E18" si="4">E21</f>
        <v>251554.76699999999</v>
      </c>
      <c r="F18" s="31">
        <f t="shared" ref="F18" si="5">SUM(G18:K18)</f>
        <v>1526401.6</v>
      </c>
      <c r="G18" s="30">
        <f>G21</f>
        <v>291320.32000000001</v>
      </c>
      <c r="H18" s="32">
        <f t="shared" ref="H18:K18" si="6">H21</f>
        <v>308770.32</v>
      </c>
      <c r="I18" s="30">
        <f t="shared" si="6"/>
        <v>308770.32</v>
      </c>
      <c r="J18" s="30">
        <f t="shared" si="6"/>
        <v>308770.32</v>
      </c>
      <c r="K18" s="30">
        <f t="shared" si="6"/>
        <v>308770.32</v>
      </c>
      <c r="L18" s="483"/>
      <c r="M18" s="467"/>
      <c r="P18" s="37"/>
      <c r="Q18" s="37"/>
      <c r="R18" s="37"/>
    </row>
    <row r="19" spans="1:20" ht="66" customHeight="1" x14ac:dyDescent="0.25">
      <c r="A19" s="423" t="s">
        <v>93</v>
      </c>
      <c r="B19" s="434" t="s">
        <v>65</v>
      </c>
      <c r="C19" s="398" t="s">
        <v>149</v>
      </c>
      <c r="D19" s="38" t="s">
        <v>12</v>
      </c>
      <c r="E19" s="39">
        <v>607188.58499999996</v>
      </c>
      <c r="F19" s="40">
        <f>SUM(G19:K19)</f>
        <v>2971961.8730000001</v>
      </c>
      <c r="G19" s="39">
        <v>587406.33700000006</v>
      </c>
      <c r="H19" s="41">
        <f>597396.384-1300-10332.413+5402.413+1200</f>
        <v>592366.38399999985</v>
      </c>
      <c r="I19" s="39">
        <v>597396.38399999996</v>
      </c>
      <c r="J19" s="39">
        <v>597396.38399999996</v>
      </c>
      <c r="K19" s="39">
        <v>597396.38399999996</v>
      </c>
      <c r="L19" s="461" t="s">
        <v>11</v>
      </c>
      <c r="M19" s="402" t="s">
        <v>66</v>
      </c>
      <c r="N19" s="42"/>
    </row>
    <row r="20" spans="1:20" ht="75" x14ac:dyDescent="0.25">
      <c r="A20" s="424"/>
      <c r="B20" s="435"/>
      <c r="C20" s="450"/>
      <c r="D20" s="43" t="s">
        <v>51</v>
      </c>
      <c r="E20" s="44">
        <v>25069.506000000001</v>
      </c>
      <c r="F20" s="40">
        <f t="shared" ref="F20:F22" si="7">SUM(G20:K20)</f>
        <v>173082.598</v>
      </c>
      <c r="G20" s="44">
        <v>31072.702000000001</v>
      </c>
      <c r="H20" s="45">
        <f>30488.556+5013.918</f>
        <v>35502.474000000002</v>
      </c>
      <c r="I20" s="44">
        <f>H20</f>
        <v>35502.474000000002</v>
      </c>
      <c r="J20" s="44">
        <f t="shared" ref="J20:K20" si="8">I20</f>
        <v>35502.474000000002</v>
      </c>
      <c r="K20" s="44">
        <f t="shared" si="8"/>
        <v>35502.474000000002</v>
      </c>
      <c r="L20" s="461"/>
      <c r="M20" s="402"/>
      <c r="O20" s="46"/>
      <c r="P20" s="46"/>
      <c r="Q20" s="46"/>
    </row>
    <row r="21" spans="1:20" ht="56.25" x14ac:dyDescent="0.25">
      <c r="A21" s="425"/>
      <c r="B21" s="436"/>
      <c r="C21" s="450"/>
      <c r="D21" s="43" t="s">
        <v>64</v>
      </c>
      <c r="E21" s="44">
        <v>251554.76699999999</v>
      </c>
      <c r="F21" s="40">
        <f t="shared" si="7"/>
        <v>1526401.6</v>
      </c>
      <c r="G21" s="44">
        <f>286338.82+4981.5</f>
        <v>291320.32000000001</v>
      </c>
      <c r="H21" s="45">
        <v>308770.32</v>
      </c>
      <c r="I21" s="44">
        <v>308770.32</v>
      </c>
      <c r="J21" s="44">
        <v>308770.32</v>
      </c>
      <c r="K21" s="44">
        <v>308770.32</v>
      </c>
      <c r="L21" s="461"/>
      <c r="M21" s="402"/>
      <c r="O21" s="46"/>
      <c r="P21" s="46"/>
      <c r="Q21" s="46"/>
    </row>
    <row r="22" spans="1:20" ht="99" customHeight="1" x14ac:dyDescent="0.3">
      <c r="A22" s="47" t="s">
        <v>94</v>
      </c>
      <c r="B22" s="48" t="s">
        <v>71</v>
      </c>
      <c r="C22" s="43" t="s">
        <v>149</v>
      </c>
      <c r="D22" s="43" t="s">
        <v>12</v>
      </c>
      <c r="E22" s="44">
        <v>97943.71</v>
      </c>
      <c r="F22" s="40">
        <f t="shared" si="7"/>
        <v>478504.28699999995</v>
      </c>
      <c r="G22" s="44">
        <v>123994.07</v>
      </c>
      <c r="H22" s="45">
        <f>89999.219-3900-1586.659</f>
        <v>84512.56</v>
      </c>
      <c r="I22" s="44">
        <v>89999.218999999997</v>
      </c>
      <c r="J22" s="44">
        <v>89999.218999999997</v>
      </c>
      <c r="K22" s="44">
        <v>89999.218999999997</v>
      </c>
      <c r="L22" s="49" t="s">
        <v>11</v>
      </c>
      <c r="M22" s="50" t="s">
        <v>66</v>
      </c>
      <c r="N22" s="42"/>
      <c r="O22" s="46"/>
      <c r="P22" s="46"/>
      <c r="Q22" s="46"/>
    </row>
    <row r="23" spans="1:20" ht="223.5" customHeight="1" x14ac:dyDescent="0.25">
      <c r="A23" s="51" t="s">
        <v>95</v>
      </c>
      <c r="B23" s="52" t="s">
        <v>67</v>
      </c>
      <c r="C23" s="43" t="s">
        <v>149</v>
      </c>
      <c r="D23" s="38" t="s">
        <v>5</v>
      </c>
      <c r="E23" s="44">
        <v>1114065</v>
      </c>
      <c r="F23" s="40">
        <f>SUM(G23:K23)</f>
        <v>5439532</v>
      </c>
      <c r="G23" s="39">
        <v>1330105</v>
      </c>
      <c r="H23" s="45">
        <v>1369809</v>
      </c>
      <c r="I23" s="44">
        <v>1369809</v>
      </c>
      <c r="J23" s="44">
        <v>1369809</v>
      </c>
      <c r="K23" s="44">
        <v>0</v>
      </c>
      <c r="L23" s="49" t="s">
        <v>11</v>
      </c>
      <c r="M23" s="53" t="s">
        <v>222</v>
      </c>
      <c r="O23" s="54"/>
      <c r="P23" s="54"/>
      <c r="Q23" s="46"/>
      <c r="R23" s="46"/>
      <c r="S23" s="55"/>
      <c r="T23" s="55"/>
    </row>
    <row r="24" spans="1:20" ht="183.75" customHeight="1" x14ac:dyDescent="0.25">
      <c r="A24" s="47" t="s">
        <v>96</v>
      </c>
      <c r="B24" s="52" t="s">
        <v>68</v>
      </c>
      <c r="C24" s="43" t="s">
        <v>149</v>
      </c>
      <c r="D24" s="43" t="s">
        <v>5</v>
      </c>
      <c r="E24" s="44">
        <v>76694</v>
      </c>
      <c r="F24" s="40">
        <f t="shared" ref="F24:F27" si="9">SUM(G24:K24)</f>
        <v>292214</v>
      </c>
      <c r="G24" s="44">
        <v>64520</v>
      </c>
      <c r="H24" s="45">
        <v>75898</v>
      </c>
      <c r="I24" s="44">
        <v>75898</v>
      </c>
      <c r="J24" s="44">
        <v>75898</v>
      </c>
      <c r="K24" s="44">
        <v>0</v>
      </c>
      <c r="L24" s="56" t="s">
        <v>11</v>
      </c>
      <c r="M24" s="57" t="s">
        <v>218</v>
      </c>
      <c r="O24" s="55"/>
      <c r="P24" s="55"/>
      <c r="Q24" s="55"/>
    </row>
    <row r="25" spans="1:20" ht="63.75" customHeight="1" x14ac:dyDescent="0.25">
      <c r="A25" s="423" t="s">
        <v>97</v>
      </c>
      <c r="B25" s="434" t="s">
        <v>153</v>
      </c>
      <c r="C25" s="398" t="s">
        <v>149</v>
      </c>
      <c r="D25" s="43" t="s">
        <v>5</v>
      </c>
      <c r="E25" s="44">
        <v>31013</v>
      </c>
      <c r="F25" s="40">
        <f t="shared" si="9"/>
        <v>108994</v>
      </c>
      <c r="G25" s="44">
        <v>28213</v>
      </c>
      <c r="H25" s="45">
        <v>26927</v>
      </c>
      <c r="I25" s="44">
        <v>26927</v>
      </c>
      <c r="J25" s="44">
        <v>26927</v>
      </c>
      <c r="K25" s="44">
        <v>0</v>
      </c>
      <c r="L25" s="413" t="s">
        <v>11</v>
      </c>
      <c r="M25" s="408" t="s">
        <v>212</v>
      </c>
      <c r="O25" s="46"/>
      <c r="P25" s="46"/>
      <c r="Q25" s="46"/>
    </row>
    <row r="26" spans="1:20" ht="63.75" customHeight="1" x14ac:dyDescent="0.25">
      <c r="A26" s="424"/>
      <c r="B26" s="435"/>
      <c r="C26" s="450"/>
      <c r="D26" s="43" t="s">
        <v>12</v>
      </c>
      <c r="E26" s="44">
        <v>6352</v>
      </c>
      <c r="F26" s="40">
        <f t="shared" si="9"/>
        <v>58704</v>
      </c>
      <c r="G26" s="44">
        <v>9405</v>
      </c>
      <c r="H26" s="45">
        <v>16433</v>
      </c>
      <c r="I26" s="44">
        <v>16433</v>
      </c>
      <c r="J26" s="44">
        <v>16433</v>
      </c>
      <c r="K26" s="44">
        <v>0</v>
      </c>
      <c r="L26" s="414"/>
      <c r="M26" s="416"/>
    </row>
    <row r="27" spans="1:20" ht="93.75" x14ac:dyDescent="0.25">
      <c r="A27" s="425"/>
      <c r="B27" s="436"/>
      <c r="C27" s="399"/>
      <c r="D27" s="43" t="s">
        <v>315</v>
      </c>
      <c r="E27" s="44">
        <v>0</v>
      </c>
      <c r="F27" s="40">
        <f t="shared" si="9"/>
        <v>16433</v>
      </c>
      <c r="G27" s="44">
        <v>0</v>
      </c>
      <c r="H27" s="45">
        <v>16433</v>
      </c>
      <c r="I27" s="44">
        <v>0</v>
      </c>
      <c r="J27" s="44">
        <v>0</v>
      </c>
      <c r="K27" s="44">
        <v>0</v>
      </c>
      <c r="L27" s="415"/>
      <c r="M27" s="409"/>
    </row>
    <row r="28" spans="1:20" ht="68.25" customHeight="1" x14ac:dyDescent="0.25">
      <c r="A28" s="423" t="s">
        <v>98</v>
      </c>
      <c r="B28" s="428" t="s">
        <v>154</v>
      </c>
      <c r="C28" s="398" t="s">
        <v>149</v>
      </c>
      <c r="D28" s="38" t="s">
        <v>12</v>
      </c>
      <c r="E28" s="44">
        <v>2739.2159999999999</v>
      </c>
      <c r="F28" s="40">
        <f>SUM(G28:K28)</f>
        <v>10459.5</v>
      </c>
      <c r="G28" s="44">
        <f>4200+185+2601+236.5+2237+1000</f>
        <v>10459.5</v>
      </c>
      <c r="H28" s="45">
        <v>0</v>
      </c>
      <c r="I28" s="44">
        <v>0</v>
      </c>
      <c r="J28" s="44">
        <v>0</v>
      </c>
      <c r="K28" s="44">
        <v>0</v>
      </c>
      <c r="L28" s="413" t="s">
        <v>41</v>
      </c>
      <c r="M28" s="403" t="s">
        <v>213</v>
      </c>
      <c r="N28" s="58"/>
      <c r="O28" s="54"/>
      <c r="P28" s="54"/>
      <c r="Q28" s="54"/>
      <c r="R28" s="54"/>
    </row>
    <row r="29" spans="1:20" ht="117.75" customHeight="1" x14ac:dyDescent="0.25">
      <c r="A29" s="424"/>
      <c r="B29" s="429"/>
      <c r="C29" s="450"/>
      <c r="D29" s="38" t="s">
        <v>91</v>
      </c>
      <c r="E29" s="44">
        <f>6845.601+4543.233</f>
        <v>11388.833999999999</v>
      </c>
      <c r="F29" s="40">
        <f t="shared" ref="F29:F32" si="10">SUM(G29:K29)</f>
        <v>8934.1890000000003</v>
      </c>
      <c r="G29" s="44">
        <f>4426.868+1634.4+300</f>
        <v>6361.268</v>
      </c>
      <c r="H29" s="45">
        <f>652.921+1920</f>
        <v>2572.9210000000003</v>
      </c>
      <c r="I29" s="44">
        <v>0</v>
      </c>
      <c r="J29" s="44">
        <v>0</v>
      </c>
      <c r="K29" s="44">
        <v>0</v>
      </c>
      <c r="L29" s="414"/>
      <c r="M29" s="404"/>
      <c r="N29" s="58"/>
      <c r="O29" s="54"/>
      <c r="P29" s="54"/>
      <c r="Q29" s="54"/>
      <c r="R29" s="54"/>
      <c r="S29" s="54"/>
    </row>
    <row r="30" spans="1:20" ht="75" customHeight="1" x14ac:dyDescent="0.25">
      <c r="A30" s="425"/>
      <c r="B30" s="430"/>
      <c r="C30" s="399"/>
      <c r="D30" s="43" t="s">
        <v>51</v>
      </c>
      <c r="E30" s="44">
        <v>11724.42</v>
      </c>
      <c r="F30" s="40">
        <f t="shared" si="10"/>
        <v>49139.636999999995</v>
      </c>
      <c r="G30" s="44">
        <f>8743.755-931.031</f>
        <v>7812.7239999999993</v>
      </c>
      <c r="H30" s="45">
        <f>8743.755+6351.893</f>
        <v>15095.647999999999</v>
      </c>
      <c r="I30" s="44">
        <v>8743.7549999999992</v>
      </c>
      <c r="J30" s="44">
        <v>8743.7549999999992</v>
      </c>
      <c r="K30" s="44">
        <v>8743.7549999999992</v>
      </c>
      <c r="L30" s="415"/>
      <c r="M30" s="405"/>
      <c r="N30" s="33"/>
      <c r="O30" s="59"/>
      <c r="P30" s="46"/>
      <c r="Q30" s="46"/>
    </row>
    <row r="31" spans="1:20" ht="117" customHeight="1" x14ac:dyDescent="0.25">
      <c r="A31" s="60" t="s">
        <v>99</v>
      </c>
      <c r="B31" s="61" t="s">
        <v>159</v>
      </c>
      <c r="C31" s="43" t="s">
        <v>149</v>
      </c>
      <c r="D31" s="38" t="s">
        <v>12</v>
      </c>
      <c r="E31" s="44">
        <v>4800</v>
      </c>
      <c r="F31" s="40">
        <f t="shared" si="10"/>
        <v>2925.3140000000003</v>
      </c>
      <c r="G31" s="44">
        <f>1135.422-184.356</f>
        <v>951.06600000000003</v>
      </c>
      <c r="H31" s="45">
        <v>1974.248</v>
      </c>
      <c r="I31" s="44">
        <v>0</v>
      </c>
      <c r="J31" s="44">
        <v>0</v>
      </c>
      <c r="K31" s="44">
        <v>0</v>
      </c>
      <c r="L31" s="62" t="s">
        <v>8</v>
      </c>
      <c r="M31" s="63" t="s">
        <v>217</v>
      </c>
      <c r="N31" s="33"/>
    </row>
    <row r="32" spans="1:20" ht="89.25" customHeight="1" x14ac:dyDescent="0.25">
      <c r="A32" s="64" t="s">
        <v>100</v>
      </c>
      <c r="B32" s="65" t="s">
        <v>160</v>
      </c>
      <c r="C32" s="43" t="s">
        <v>149</v>
      </c>
      <c r="D32" s="38" t="s">
        <v>12</v>
      </c>
      <c r="E32" s="39">
        <v>490</v>
      </c>
      <c r="F32" s="40">
        <f t="shared" si="10"/>
        <v>0</v>
      </c>
      <c r="G32" s="39">
        <f>1000-1000</f>
        <v>0</v>
      </c>
      <c r="H32" s="41">
        <v>0</v>
      </c>
      <c r="I32" s="39">
        <v>0</v>
      </c>
      <c r="J32" s="39">
        <v>0</v>
      </c>
      <c r="K32" s="39">
        <v>0</v>
      </c>
      <c r="L32" s="66" t="s">
        <v>11</v>
      </c>
      <c r="M32" s="63" t="s">
        <v>214</v>
      </c>
      <c r="O32" s="46"/>
      <c r="P32" s="46"/>
      <c r="Q32" s="46"/>
    </row>
    <row r="33" spans="1:20" ht="97.5" customHeight="1" x14ac:dyDescent="0.25">
      <c r="A33" s="423" t="s">
        <v>101</v>
      </c>
      <c r="B33" s="434" t="s">
        <v>288</v>
      </c>
      <c r="C33" s="398" t="s">
        <v>149</v>
      </c>
      <c r="D33" s="38" t="s">
        <v>12</v>
      </c>
      <c r="E33" s="39">
        <v>500</v>
      </c>
      <c r="F33" s="40">
        <f t="shared" ref="F33:F34" si="11">SUM(G33:K33)</f>
        <v>500</v>
      </c>
      <c r="G33" s="39">
        <f>1000-500</f>
        <v>500</v>
      </c>
      <c r="H33" s="41">
        <v>0</v>
      </c>
      <c r="I33" s="39">
        <v>0</v>
      </c>
      <c r="J33" s="39">
        <v>0</v>
      </c>
      <c r="K33" s="39">
        <v>0</v>
      </c>
      <c r="L33" s="445" t="s">
        <v>11</v>
      </c>
      <c r="M33" s="408" t="s">
        <v>215</v>
      </c>
      <c r="O33" s="46"/>
      <c r="P33" s="46"/>
      <c r="Q33" s="46"/>
    </row>
    <row r="34" spans="1:20" ht="80.25" customHeight="1" x14ac:dyDescent="0.25">
      <c r="A34" s="425"/>
      <c r="B34" s="436"/>
      <c r="C34" s="399"/>
      <c r="D34" s="38" t="s">
        <v>5</v>
      </c>
      <c r="E34" s="39">
        <v>500</v>
      </c>
      <c r="F34" s="40">
        <f t="shared" si="11"/>
        <v>500</v>
      </c>
      <c r="G34" s="39">
        <f>500</f>
        <v>500</v>
      </c>
      <c r="H34" s="41">
        <v>0</v>
      </c>
      <c r="I34" s="39">
        <v>0</v>
      </c>
      <c r="J34" s="39">
        <v>0</v>
      </c>
      <c r="K34" s="39">
        <v>0</v>
      </c>
      <c r="L34" s="446"/>
      <c r="M34" s="409"/>
      <c r="N34" s="54"/>
    </row>
    <row r="35" spans="1:20" ht="56.25" x14ac:dyDescent="0.25">
      <c r="A35" s="423" t="s">
        <v>102</v>
      </c>
      <c r="B35" s="451" t="s">
        <v>161</v>
      </c>
      <c r="C35" s="398" t="s">
        <v>149</v>
      </c>
      <c r="D35" s="38" t="s">
        <v>12</v>
      </c>
      <c r="E35" s="44">
        <f>389.25+1263.75</f>
        <v>1653</v>
      </c>
      <c r="F35" s="40">
        <f t="shared" ref="F35:F42" si="12">SUM(G35:K35)</f>
        <v>1642.23</v>
      </c>
      <c r="G35" s="44">
        <v>800</v>
      </c>
      <c r="H35" s="45">
        <v>842.23</v>
      </c>
      <c r="I35" s="44">
        <v>0</v>
      </c>
      <c r="J35" s="44">
        <v>0</v>
      </c>
      <c r="K35" s="44">
        <v>0</v>
      </c>
      <c r="L35" s="406" t="s">
        <v>8</v>
      </c>
      <c r="M35" s="408" t="s">
        <v>216</v>
      </c>
      <c r="O35" s="54"/>
      <c r="P35" s="54"/>
      <c r="Q35" s="54"/>
      <c r="R35" s="54"/>
      <c r="S35" s="54"/>
      <c r="T35" s="54"/>
    </row>
    <row r="36" spans="1:20" ht="119.25" customHeight="1" x14ac:dyDescent="0.25">
      <c r="A36" s="425"/>
      <c r="B36" s="452"/>
      <c r="C36" s="399"/>
      <c r="D36" s="38" t="s">
        <v>91</v>
      </c>
      <c r="E36" s="44">
        <v>0</v>
      </c>
      <c r="F36" s="40">
        <f t="shared" si="12"/>
        <v>399.10399999999998</v>
      </c>
      <c r="G36" s="44">
        <v>0</v>
      </c>
      <c r="H36" s="45">
        <v>399.10399999999998</v>
      </c>
      <c r="I36" s="44">
        <v>0</v>
      </c>
      <c r="J36" s="44">
        <v>0</v>
      </c>
      <c r="K36" s="44">
        <v>0</v>
      </c>
      <c r="L36" s="407"/>
      <c r="M36" s="409"/>
      <c r="O36" s="54"/>
      <c r="P36" s="54"/>
      <c r="Q36" s="54"/>
      <c r="R36" s="54"/>
      <c r="S36" s="54"/>
      <c r="T36" s="54"/>
    </row>
    <row r="37" spans="1:20" ht="61.5" customHeight="1" x14ac:dyDescent="0.25">
      <c r="A37" s="417" t="s">
        <v>103</v>
      </c>
      <c r="B37" s="434" t="s">
        <v>162</v>
      </c>
      <c r="C37" s="398" t="s">
        <v>149</v>
      </c>
      <c r="D37" s="38" t="s">
        <v>12</v>
      </c>
      <c r="E37" s="39">
        <v>3722.1550000000002</v>
      </c>
      <c r="F37" s="40">
        <f t="shared" si="12"/>
        <v>7862.66</v>
      </c>
      <c r="G37" s="39">
        <f>7366.42+496.24</f>
        <v>7862.66</v>
      </c>
      <c r="H37" s="41">
        <v>0</v>
      </c>
      <c r="I37" s="39">
        <v>0</v>
      </c>
      <c r="J37" s="39">
        <v>0</v>
      </c>
      <c r="K37" s="39">
        <v>0</v>
      </c>
      <c r="L37" s="400" t="s">
        <v>143</v>
      </c>
      <c r="M37" s="408" t="s">
        <v>219</v>
      </c>
      <c r="N37" s="54"/>
    </row>
    <row r="38" spans="1:20" ht="40.5" customHeight="1" x14ac:dyDescent="0.25">
      <c r="A38" s="418"/>
      <c r="B38" s="435"/>
      <c r="C38" s="450"/>
      <c r="D38" s="38" t="s">
        <v>5</v>
      </c>
      <c r="E38" s="39">
        <v>0</v>
      </c>
      <c r="F38" s="40">
        <f t="shared" si="12"/>
        <v>0</v>
      </c>
      <c r="G38" s="39">
        <v>0</v>
      </c>
      <c r="H38" s="41">
        <v>0</v>
      </c>
      <c r="I38" s="39">
        <v>0</v>
      </c>
      <c r="J38" s="39">
        <v>0</v>
      </c>
      <c r="K38" s="39">
        <v>0</v>
      </c>
      <c r="L38" s="444"/>
      <c r="M38" s="416"/>
      <c r="N38" s="58"/>
    </row>
    <row r="39" spans="1:20" ht="113.25" customHeight="1" x14ac:dyDescent="0.25">
      <c r="A39" s="419"/>
      <c r="B39" s="436"/>
      <c r="C39" s="399"/>
      <c r="D39" s="38" t="s">
        <v>91</v>
      </c>
      <c r="E39" s="39">
        <f>2400-110</f>
        <v>2290</v>
      </c>
      <c r="F39" s="40">
        <f t="shared" si="12"/>
        <v>1355.499</v>
      </c>
      <c r="G39" s="39">
        <v>1355.499</v>
      </c>
      <c r="H39" s="41">
        <v>0</v>
      </c>
      <c r="I39" s="39">
        <v>0</v>
      </c>
      <c r="J39" s="39">
        <v>0</v>
      </c>
      <c r="K39" s="39">
        <v>0</v>
      </c>
      <c r="L39" s="401"/>
      <c r="M39" s="409"/>
      <c r="N39" s="67"/>
      <c r="O39" s="54"/>
      <c r="P39" s="54"/>
      <c r="Q39" s="54"/>
    </row>
    <row r="40" spans="1:20" ht="55.5" customHeight="1" x14ac:dyDescent="0.25">
      <c r="A40" s="417" t="s">
        <v>104</v>
      </c>
      <c r="B40" s="434" t="s">
        <v>163</v>
      </c>
      <c r="C40" s="398" t="s">
        <v>149</v>
      </c>
      <c r="D40" s="38" t="s">
        <v>12</v>
      </c>
      <c r="E40" s="39">
        <v>0</v>
      </c>
      <c r="F40" s="40">
        <f t="shared" si="12"/>
        <v>0</v>
      </c>
      <c r="G40" s="39">
        <v>0</v>
      </c>
      <c r="H40" s="41">
        <v>0</v>
      </c>
      <c r="I40" s="39">
        <v>0</v>
      </c>
      <c r="J40" s="39">
        <v>0</v>
      </c>
      <c r="K40" s="39">
        <v>0</v>
      </c>
      <c r="L40" s="400" t="s">
        <v>143</v>
      </c>
      <c r="M40" s="408" t="s">
        <v>287</v>
      </c>
      <c r="N40" s="54"/>
      <c r="O40" s="54"/>
      <c r="P40" s="54"/>
      <c r="Q40" s="54"/>
    </row>
    <row r="41" spans="1:20" ht="121.5" customHeight="1" x14ac:dyDescent="0.25">
      <c r="A41" s="419"/>
      <c r="B41" s="436"/>
      <c r="C41" s="399"/>
      <c r="D41" s="38" t="s">
        <v>91</v>
      </c>
      <c r="E41" s="39">
        <v>0</v>
      </c>
      <c r="F41" s="40">
        <f t="shared" si="12"/>
        <v>0</v>
      </c>
      <c r="G41" s="39">
        <v>0</v>
      </c>
      <c r="H41" s="41">
        <f>20000-20000</f>
        <v>0</v>
      </c>
      <c r="I41" s="39">
        <v>0</v>
      </c>
      <c r="J41" s="39">
        <f>20000-20000</f>
        <v>0</v>
      </c>
      <c r="K41" s="39">
        <v>0</v>
      </c>
      <c r="L41" s="401"/>
      <c r="M41" s="409"/>
      <c r="N41" s="54"/>
      <c r="O41" s="54"/>
      <c r="P41" s="54"/>
      <c r="Q41" s="54"/>
    </row>
    <row r="42" spans="1:20" ht="198" customHeight="1" x14ac:dyDescent="0.25">
      <c r="A42" s="51" t="s">
        <v>105</v>
      </c>
      <c r="B42" s="68" t="s">
        <v>164</v>
      </c>
      <c r="C42" s="43" t="s">
        <v>149</v>
      </c>
      <c r="D42" s="43" t="s">
        <v>5</v>
      </c>
      <c r="E42" s="44">
        <f>5440+250+100</f>
        <v>5790</v>
      </c>
      <c r="F42" s="40">
        <f t="shared" si="12"/>
        <v>4238</v>
      </c>
      <c r="G42" s="44">
        <f>900+500+100+100+319+20+600+271+150+128</f>
        <v>3088</v>
      </c>
      <c r="H42" s="45">
        <f>1000+150</f>
        <v>1150</v>
      </c>
      <c r="I42" s="44">
        <v>0</v>
      </c>
      <c r="J42" s="44">
        <v>0</v>
      </c>
      <c r="K42" s="44">
        <v>0</v>
      </c>
      <c r="L42" s="69" t="s">
        <v>8</v>
      </c>
      <c r="M42" s="53" t="s">
        <v>281</v>
      </c>
      <c r="N42" s="46"/>
    </row>
    <row r="43" spans="1:20" ht="164.25" customHeight="1" x14ac:dyDescent="0.25">
      <c r="A43" s="70" t="s">
        <v>106</v>
      </c>
      <c r="B43" s="71" t="s">
        <v>179</v>
      </c>
      <c r="C43" s="72" t="s">
        <v>149</v>
      </c>
      <c r="D43" s="73" t="s">
        <v>5</v>
      </c>
      <c r="E43" s="39">
        <v>74718</v>
      </c>
      <c r="F43" s="40">
        <f>SUM(G43:K43)</f>
        <v>465988</v>
      </c>
      <c r="G43" s="74">
        <f>101366+4199</f>
        <v>105565</v>
      </c>
      <c r="H43" s="41">
        <f>115822+4319</f>
        <v>120141</v>
      </c>
      <c r="I43" s="39">
        <f t="shared" ref="I43:J43" si="13">115822+4319</f>
        <v>120141</v>
      </c>
      <c r="J43" s="39">
        <f t="shared" si="13"/>
        <v>120141</v>
      </c>
      <c r="K43" s="39">
        <v>0</v>
      </c>
      <c r="L43" s="75" t="s">
        <v>44</v>
      </c>
      <c r="M43" s="53" t="s">
        <v>82</v>
      </c>
      <c r="O43" s="46"/>
      <c r="P43" s="46"/>
    </row>
    <row r="44" spans="1:20" ht="45" customHeight="1" x14ac:dyDescent="0.25">
      <c r="A44" s="426" t="s">
        <v>107</v>
      </c>
      <c r="B44" s="437" t="s">
        <v>180</v>
      </c>
      <c r="C44" s="458" t="s">
        <v>149</v>
      </c>
      <c r="D44" s="76" t="s">
        <v>5</v>
      </c>
      <c r="E44" s="77">
        <v>0</v>
      </c>
      <c r="F44" s="78">
        <f t="shared" ref="F44:F47" si="14">SUM(G44:K44)</f>
        <v>0</v>
      </c>
      <c r="G44" s="77">
        <v>0</v>
      </c>
      <c r="H44" s="79">
        <v>0</v>
      </c>
      <c r="I44" s="77">
        <v>0</v>
      </c>
      <c r="J44" s="77">
        <v>0</v>
      </c>
      <c r="K44" s="77">
        <v>0</v>
      </c>
      <c r="L44" s="441" t="s">
        <v>11</v>
      </c>
      <c r="M44" s="439" t="s">
        <v>83</v>
      </c>
    </row>
    <row r="45" spans="1:20" ht="63" customHeight="1" x14ac:dyDescent="0.25">
      <c r="A45" s="427"/>
      <c r="B45" s="438"/>
      <c r="C45" s="459"/>
      <c r="D45" s="76" t="s">
        <v>23</v>
      </c>
      <c r="E45" s="80">
        <v>4445.7</v>
      </c>
      <c r="F45" s="78">
        <f t="shared" si="14"/>
        <v>23772.128000000004</v>
      </c>
      <c r="G45" s="80">
        <f>4398.288+286.4</f>
        <v>4684.6879999999992</v>
      </c>
      <c r="H45" s="81">
        <f>4777.56-22.8</f>
        <v>4754.76</v>
      </c>
      <c r="I45" s="80">
        <v>4777.5600000000004</v>
      </c>
      <c r="J45" s="80">
        <v>4777.5600000000004</v>
      </c>
      <c r="K45" s="80">
        <v>4777.5600000000004</v>
      </c>
      <c r="L45" s="442"/>
      <c r="M45" s="440"/>
      <c r="N45" s="54"/>
    </row>
    <row r="46" spans="1:20" ht="87.75" customHeight="1" x14ac:dyDescent="0.25">
      <c r="A46" s="82" t="s">
        <v>108</v>
      </c>
      <c r="B46" s="83" t="s">
        <v>181</v>
      </c>
      <c r="C46" s="84" t="s">
        <v>149</v>
      </c>
      <c r="D46" s="76" t="s">
        <v>12</v>
      </c>
      <c r="E46" s="80">
        <v>1500</v>
      </c>
      <c r="F46" s="78">
        <f t="shared" si="14"/>
        <v>1087.5</v>
      </c>
      <c r="G46" s="80">
        <v>387.5</v>
      </c>
      <c r="H46" s="81">
        <v>700</v>
      </c>
      <c r="I46" s="80">
        <v>0</v>
      </c>
      <c r="J46" s="80">
        <v>0</v>
      </c>
      <c r="K46" s="80">
        <v>0</v>
      </c>
      <c r="L46" s="85" t="s">
        <v>11</v>
      </c>
      <c r="M46" s="86" t="s">
        <v>227</v>
      </c>
      <c r="N46" s="54"/>
    </row>
    <row r="47" spans="1:20" ht="121.5" customHeight="1" x14ac:dyDescent="0.25">
      <c r="A47" s="87" t="s">
        <v>109</v>
      </c>
      <c r="B47" s="88" t="s">
        <v>268</v>
      </c>
      <c r="C47" s="76" t="s">
        <v>149</v>
      </c>
      <c r="D47" s="76" t="s">
        <v>91</v>
      </c>
      <c r="E47" s="80">
        <v>0</v>
      </c>
      <c r="F47" s="78">
        <f t="shared" si="14"/>
        <v>500</v>
      </c>
      <c r="G47" s="80">
        <f>450+50</f>
        <v>500</v>
      </c>
      <c r="H47" s="81">
        <v>0</v>
      </c>
      <c r="I47" s="80">
        <v>0</v>
      </c>
      <c r="J47" s="80">
        <v>0</v>
      </c>
      <c r="K47" s="80">
        <v>0</v>
      </c>
      <c r="L47" s="85" t="s">
        <v>11</v>
      </c>
      <c r="M47" s="89" t="s">
        <v>279</v>
      </c>
      <c r="N47" s="54"/>
    </row>
    <row r="48" spans="1:20" ht="120.75" customHeight="1" x14ac:dyDescent="0.25">
      <c r="A48" s="87" t="s">
        <v>110</v>
      </c>
      <c r="B48" s="88" t="s">
        <v>299</v>
      </c>
      <c r="C48" s="76" t="s">
        <v>149</v>
      </c>
      <c r="D48" s="76" t="s">
        <v>12</v>
      </c>
      <c r="E48" s="80">
        <v>0</v>
      </c>
      <c r="F48" s="78">
        <v>380160</v>
      </c>
      <c r="G48" s="80">
        <v>0</v>
      </c>
      <c r="H48" s="81">
        <v>95040</v>
      </c>
      <c r="I48" s="80">
        <v>95040</v>
      </c>
      <c r="J48" s="80">
        <v>95040</v>
      </c>
      <c r="K48" s="80">
        <v>95040</v>
      </c>
      <c r="L48" s="85" t="s">
        <v>11</v>
      </c>
      <c r="M48" s="89" t="s">
        <v>300</v>
      </c>
      <c r="N48" s="54"/>
    </row>
    <row r="49" spans="1:15" ht="27" customHeight="1" x14ac:dyDescent="0.25">
      <c r="A49" s="420"/>
      <c r="B49" s="468" t="s">
        <v>247</v>
      </c>
      <c r="C49" s="447" t="s">
        <v>149</v>
      </c>
      <c r="D49" s="25" t="s">
        <v>10</v>
      </c>
      <c r="E49" s="26">
        <f>SUM(E50:E53)</f>
        <v>2347.585</v>
      </c>
      <c r="F49" s="27">
        <f>SUM(F50:F53)</f>
        <v>711753.68699999992</v>
      </c>
      <c r="G49" s="26">
        <f>SUM(G50:G53)</f>
        <v>298753.99200000003</v>
      </c>
      <c r="H49" s="28">
        <f t="shared" ref="H49:K49" si="15">SUM(H50:H53)</f>
        <v>412999.69499999995</v>
      </c>
      <c r="I49" s="26">
        <f t="shared" si="15"/>
        <v>0</v>
      </c>
      <c r="J49" s="26">
        <f t="shared" si="15"/>
        <v>0</v>
      </c>
      <c r="K49" s="26">
        <f t="shared" si="15"/>
        <v>0</v>
      </c>
      <c r="L49" s="431"/>
      <c r="M49" s="410"/>
    </row>
    <row r="50" spans="1:15" ht="36.75" customHeight="1" x14ac:dyDescent="0.25">
      <c r="A50" s="421"/>
      <c r="B50" s="469"/>
      <c r="C50" s="448"/>
      <c r="D50" s="29" t="s">
        <v>5</v>
      </c>
      <c r="E50" s="36">
        <f>E56</f>
        <v>0</v>
      </c>
      <c r="F50" s="31">
        <f t="shared" ref="F50:F51" si="16">SUM(G50:K50)</f>
        <v>25193</v>
      </c>
      <c r="G50" s="36">
        <f>G56</f>
        <v>0</v>
      </c>
      <c r="H50" s="35">
        <f>H56+H57</f>
        <v>25193</v>
      </c>
      <c r="I50" s="36">
        <f>I57+I60</f>
        <v>0</v>
      </c>
      <c r="J50" s="36">
        <f>J57+J60</f>
        <v>0</v>
      </c>
      <c r="K50" s="36">
        <f>K60</f>
        <v>0</v>
      </c>
      <c r="L50" s="432"/>
      <c r="M50" s="411"/>
    </row>
    <row r="51" spans="1:15" ht="57" customHeight="1" x14ac:dyDescent="0.25">
      <c r="A51" s="421"/>
      <c r="B51" s="469"/>
      <c r="C51" s="448"/>
      <c r="D51" s="29" t="s">
        <v>12</v>
      </c>
      <c r="E51" s="30">
        <f>E54</f>
        <v>0</v>
      </c>
      <c r="F51" s="31">
        <f t="shared" si="16"/>
        <v>1326</v>
      </c>
      <c r="G51" s="30">
        <f>G54</f>
        <v>0</v>
      </c>
      <c r="H51" s="32">
        <f>H54+H58</f>
        <v>1326</v>
      </c>
      <c r="I51" s="30">
        <f>I58+I61</f>
        <v>0</v>
      </c>
      <c r="J51" s="30">
        <f>I58+I61</f>
        <v>0</v>
      </c>
      <c r="K51" s="30">
        <f>K61</f>
        <v>0</v>
      </c>
      <c r="L51" s="432"/>
      <c r="M51" s="411"/>
    </row>
    <row r="52" spans="1:15" ht="117" customHeight="1" x14ac:dyDescent="0.25">
      <c r="A52" s="421"/>
      <c r="B52" s="469"/>
      <c r="C52" s="448"/>
      <c r="D52" s="90" t="s">
        <v>91</v>
      </c>
      <c r="E52" s="91">
        <f>E55</f>
        <v>2347.585</v>
      </c>
      <c r="F52" s="31">
        <f>SUM(G52:K52)</f>
        <v>397234.68699999998</v>
      </c>
      <c r="G52" s="91">
        <f t="shared" ref="G52:J52" si="17">G55</f>
        <v>10753.992</v>
      </c>
      <c r="H52" s="92">
        <f>H55</f>
        <v>386480.69499999995</v>
      </c>
      <c r="I52" s="91" t="str">
        <f t="shared" si="17"/>
        <v xml:space="preserve"> -</v>
      </c>
      <c r="J52" s="91" t="str">
        <f t="shared" si="17"/>
        <v xml:space="preserve"> -</v>
      </c>
      <c r="K52" s="91" t="s">
        <v>248</v>
      </c>
      <c r="L52" s="432"/>
      <c r="M52" s="411"/>
    </row>
    <row r="53" spans="1:15" ht="18.75" x14ac:dyDescent="0.25">
      <c r="A53" s="422"/>
      <c r="B53" s="470"/>
      <c r="C53" s="449"/>
      <c r="D53" s="90" t="s">
        <v>4</v>
      </c>
      <c r="E53" s="91">
        <f>E60</f>
        <v>0</v>
      </c>
      <c r="F53" s="31">
        <f>SUM(G53:K53)</f>
        <v>288000</v>
      </c>
      <c r="G53" s="93">
        <f>G62</f>
        <v>288000</v>
      </c>
      <c r="H53" s="92">
        <f>H62</f>
        <v>0</v>
      </c>
      <c r="I53" s="91">
        <v>0</v>
      </c>
      <c r="J53" s="91">
        <v>0</v>
      </c>
      <c r="K53" s="91">
        <v>0</v>
      </c>
      <c r="L53" s="433"/>
      <c r="M53" s="412"/>
    </row>
    <row r="54" spans="1:15" ht="56.25" customHeight="1" x14ac:dyDescent="0.25">
      <c r="A54" s="471" t="s">
        <v>111</v>
      </c>
      <c r="B54" s="453" t="s">
        <v>276</v>
      </c>
      <c r="C54" s="454" t="s">
        <v>280</v>
      </c>
      <c r="D54" s="94" t="s">
        <v>9</v>
      </c>
      <c r="E54" s="95">
        <v>0</v>
      </c>
      <c r="F54" s="96">
        <f>SUM(G54:K54)</f>
        <v>0</v>
      </c>
      <c r="G54" s="95">
        <v>0</v>
      </c>
      <c r="H54" s="97">
        <v>0</v>
      </c>
      <c r="I54" s="98" t="s">
        <v>248</v>
      </c>
      <c r="J54" s="98" t="s">
        <v>42</v>
      </c>
      <c r="K54" s="98" t="s">
        <v>42</v>
      </c>
      <c r="L54" s="493" t="s">
        <v>43</v>
      </c>
      <c r="M54" s="496" t="s">
        <v>325</v>
      </c>
      <c r="N54" s="33"/>
      <c r="O54" s="33"/>
    </row>
    <row r="55" spans="1:15" ht="115.5" customHeight="1" x14ac:dyDescent="0.25">
      <c r="A55" s="471"/>
      <c r="B55" s="453"/>
      <c r="C55" s="454"/>
      <c r="D55" s="94" t="s">
        <v>91</v>
      </c>
      <c r="E55" s="95">
        <v>2347.585</v>
      </c>
      <c r="F55" s="96">
        <f>SUM(G55:J55)</f>
        <v>397234.68699999998</v>
      </c>
      <c r="G55" s="95">
        <v>10753.992</v>
      </c>
      <c r="H55" s="97">
        <f>36312.49+295712.4+9957.382-2347.585+46846.008</f>
        <v>386480.69499999995</v>
      </c>
      <c r="I55" s="95" t="s">
        <v>248</v>
      </c>
      <c r="J55" s="98" t="s">
        <v>248</v>
      </c>
      <c r="K55" s="98" t="s">
        <v>42</v>
      </c>
      <c r="L55" s="494"/>
      <c r="M55" s="497"/>
      <c r="N55" s="33"/>
      <c r="O55" s="33"/>
    </row>
    <row r="56" spans="1:15" ht="37.5" x14ac:dyDescent="0.25">
      <c r="A56" s="471"/>
      <c r="B56" s="453"/>
      <c r="C56" s="454"/>
      <c r="D56" s="94" t="s">
        <v>5</v>
      </c>
      <c r="E56" s="95">
        <f>55440-55440</f>
        <v>0</v>
      </c>
      <c r="F56" s="96">
        <f>SUM(G56:J56)</f>
        <v>0</v>
      </c>
      <c r="G56" s="95">
        <v>0</v>
      </c>
      <c r="H56" s="97">
        <v>0</v>
      </c>
      <c r="I56" s="95" t="s">
        <v>42</v>
      </c>
      <c r="J56" s="98" t="s">
        <v>42</v>
      </c>
      <c r="K56" s="98" t="s">
        <v>42</v>
      </c>
      <c r="L56" s="494"/>
      <c r="M56" s="497"/>
      <c r="N56" s="33"/>
      <c r="O56" s="33"/>
    </row>
    <row r="57" spans="1:15" ht="42.75" customHeight="1" x14ac:dyDescent="0.25">
      <c r="A57" s="471" t="s">
        <v>112</v>
      </c>
      <c r="B57" s="453" t="s">
        <v>301</v>
      </c>
      <c r="C57" s="499" t="s">
        <v>302</v>
      </c>
      <c r="D57" s="94" t="s">
        <v>5</v>
      </c>
      <c r="E57" s="95">
        <v>0</v>
      </c>
      <c r="F57" s="96">
        <f t="shared" ref="F57:F60" si="18">SUM(G57:K57)</f>
        <v>25193</v>
      </c>
      <c r="G57" s="99" t="s">
        <v>42</v>
      </c>
      <c r="H57" s="97">
        <f>25193</f>
        <v>25193</v>
      </c>
      <c r="I57" s="95">
        <v>0</v>
      </c>
      <c r="J57" s="95">
        <v>0</v>
      </c>
      <c r="K57" s="95" t="s">
        <v>303</v>
      </c>
      <c r="L57" s="494"/>
      <c r="M57" s="497"/>
    </row>
    <row r="58" spans="1:15" ht="60" customHeight="1" x14ac:dyDescent="0.25">
      <c r="A58" s="471"/>
      <c r="B58" s="453"/>
      <c r="C58" s="499"/>
      <c r="D58" s="94" t="s">
        <v>9</v>
      </c>
      <c r="E58" s="95">
        <v>0</v>
      </c>
      <c r="F58" s="96">
        <f t="shared" si="18"/>
        <v>1326</v>
      </c>
      <c r="G58" s="99" t="s">
        <v>42</v>
      </c>
      <c r="H58" s="97">
        <v>1326</v>
      </c>
      <c r="I58" s="95">
        <v>0</v>
      </c>
      <c r="J58" s="95">
        <v>0</v>
      </c>
      <c r="K58" s="95" t="s">
        <v>303</v>
      </c>
      <c r="L58" s="494"/>
      <c r="M58" s="497"/>
    </row>
    <row r="59" spans="1:15" ht="93.75" x14ac:dyDescent="0.25">
      <c r="A59" s="471"/>
      <c r="B59" s="453"/>
      <c r="C59" s="499"/>
      <c r="D59" s="94" t="s">
        <v>315</v>
      </c>
      <c r="E59" s="95">
        <v>0</v>
      </c>
      <c r="F59" s="96">
        <f t="shared" si="18"/>
        <v>1326</v>
      </c>
      <c r="G59" s="99" t="s">
        <v>248</v>
      </c>
      <c r="H59" s="97">
        <v>1326</v>
      </c>
      <c r="I59" s="95">
        <v>0</v>
      </c>
      <c r="J59" s="95">
        <v>0</v>
      </c>
      <c r="K59" s="95" t="s">
        <v>248</v>
      </c>
      <c r="L59" s="494"/>
      <c r="M59" s="497"/>
    </row>
    <row r="60" spans="1:15" ht="37.5" customHeight="1" x14ac:dyDescent="0.25">
      <c r="A60" s="471" t="s">
        <v>113</v>
      </c>
      <c r="B60" s="453" t="s">
        <v>304</v>
      </c>
      <c r="C60" s="499" t="s">
        <v>305</v>
      </c>
      <c r="D60" s="94" t="s">
        <v>5</v>
      </c>
      <c r="E60" s="95">
        <v>0</v>
      </c>
      <c r="F60" s="96">
        <f t="shared" si="18"/>
        <v>0</v>
      </c>
      <c r="G60" s="99" t="s">
        <v>303</v>
      </c>
      <c r="H60" s="97" t="s">
        <v>303</v>
      </c>
      <c r="I60" s="95">
        <v>0</v>
      </c>
      <c r="J60" s="95">
        <v>0</v>
      </c>
      <c r="K60" s="95">
        <v>0</v>
      </c>
      <c r="L60" s="494"/>
      <c r="M60" s="497"/>
    </row>
    <row r="61" spans="1:15" ht="56.25" x14ac:dyDescent="0.25">
      <c r="A61" s="471"/>
      <c r="B61" s="453"/>
      <c r="C61" s="499"/>
      <c r="D61" s="94" t="s">
        <v>9</v>
      </c>
      <c r="E61" s="95">
        <v>0</v>
      </c>
      <c r="F61" s="96">
        <f>SUM(G61:K61)</f>
        <v>0</v>
      </c>
      <c r="G61" s="99" t="s">
        <v>303</v>
      </c>
      <c r="H61" s="97" t="s">
        <v>303</v>
      </c>
      <c r="I61" s="95">
        <v>0</v>
      </c>
      <c r="J61" s="95">
        <v>0</v>
      </c>
      <c r="K61" s="95">
        <v>0</v>
      </c>
      <c r="L61" s="494"/>
      <c r="M61" s="497"/>
    </row>
    <row r="62" spans="1:15" ht="56.25" x14ac:dyDescent="0.25">
      <c r="A62" s="100" t="s">
        <v>114</v>
      </c>
      <c r="B62" s="101" t="s">
        <v>306</v>
      </c>
      <c r="C62" s="102" t="s">
        <v>257</v>
      </c>
      <c r="D62" s="94" t="s">
        <v>4</v>
      </c>
      <c r="E62" s="95">
        <v>20000</v>
      </c>
      <c r="F62" s="103">
        <f t="shared" ref="F62" si="19">SUM(G62:J62)</f>
        <v>288000</v>
      </c>
      <c r="G62" s="95">
        <f>40000+248000</f>
        <v>288000</v>
      </c>
      <c r="H62" s="97">
        <v>0</v>
      </c>
      <c r="I62" s="95" t="s">
        <v>42</v>
      </c>
      <c r="J62" s="95" t="s">
        <v>42</v>
      </c>
      <c r="K62" s="104" t="s">
        <v>42</v>
      </c>
      <c r="L62" s="495"/>
      <c r="M62" s="498"/>
    </row>
    <row r="63" spans="1:15" ht="18.75" x14ac:dyDescent="0.3">
      <c r="A63" s="456" t="s">
        <v>56</v>
      </c>
      <c r="B63" s="457"/>
      <c r="C63" s="457"/>
      <c r="D63" s="457"/>
      <c r="E63" s="105">
        <f>SUM(E64:E70)-E66</f>
        <v>2338489.4780000001</v>
      </c>
      <c r="F63" s="105">
        <f t="shared" ref="F63:K63" si="20">SUM(F64:F70)-F66</f>
        <v>12720611.806</v>
      </c>
      <c r="G63" s="105">
        <f t="shared" si="20"/>
        <v>2915618.3259999999</v>
      </c>
      <c r="H63" s="106">
        <f t="shared" si="20"/>
        <v>3165888.3439999996</v>
      </c>
      <c r="I63" s="105">
        <f t="shared" si="20"/>
        <v>2749437.7119999998</v>
      </c>
      <c r="J63" s="105">
        <f t="shared" si="20"/>
        <v>2749437.7119999998</v>
      </c>
      <c r="K63" s="105">
        <f t="shared" si="20"/>
        <v>1140229.7120000001</v>
      </c>
      <c r="L63" s="107"/>
      <c r="M63" s="108"/>
    </row>
    <row r="64" spans="1:15" ht="18.75" x14ac:dyDescent="0.3">
      <c r="A64" s="455" t="s">
        <v>5</v>
      </c>
      <c r="B64" s="455"/>
      <c r="C64" s="455"/>
      <c r="D64" s="455"/>
      <c r="E64" s="109">
        <f>E14+E50</f>
        <v>1302780</v>
      </c>
      <c r="F64" s="105">
        <f>SUM(G64:K64)</f>
        <v>6336659</v>
      </c>
      <c r="G64" s="109">
        <f>G14+G50</f>
        <v>1531991</v>
      </c>
      <c r="H64" s="106">
        <f>H14+H50</f>
        <v>1619118</v>
      </c>
      <c r="I64" s="109">
        <f>I14+I50</f>
        <v>1592775</v>
      </c>
      <c r="J64" s="109">
        <f>J14+J50</f>
        <v>1592775</v>
      </c>
      <c r="K64" s="109">
        <f>K14+K50</f>
        <v>0</v>
      </c>
      <c r="L64" s="110"/>
      <c r="M64" s="111"/>
    </row>
    <row r="65" spans="1:13" ht="18.75" x14ac:dyDescent="0.3">
      <c r="A65" s="455" t="s">
        <v>9</v>
      </c>
      <c r="B65" s="455"/>
      <c r="C65" s="455"/>
      <c r="D65" s="455"/>
      <c r="E65" s="112">
        <f>E15+E51</f>
        <v>731334.36599999992</v>
      </c>
      <c r="F65" s="105">
        <f t="shared" ref="F65:F70" si="21">SUM(G65:K65)</f>
        <v>3938905.4920000006</v>
      </c>
      <c r="G65" s="112">
        <f>G15+G51</f>
        <v>746450.82100000011</v>
      </c>
      <c r="H65" s="113">
        <f>H15+H51</f>
        <v>797949.18199999991</v>
      </c>
      <c r="I65" s="112">
        <f>I15</f>
        <v>803646.16300000006</v>
      </c>
      <c r="J65" s="112">
        <f>J15+J51</f>
        <v>803646.16300000006</v>
      </c>
      <c r="K65" s="112">
        <f>K15+K51</f>
        <v>787213.16300000006</v>
      </c>
      <c r="L65" s="110"/>
      <c r="M65" s="111"/>
    </row>
    <row r="66" spans="1:13" ht="18.75" x14ac:dyDescent="0.3">
      <c r="A66" s="455" t="s">
        <v>315</v>
      </c>
      <c r="B66" s="455"/>
      <c r="C66" s="455"/>
      <c r="D66" s="455"/>
      <c r="E66" s="112">
        <v>0</v>
      </c>
      <c r="F66" s="105">
        <f t="shared" si="21"/>
        <v>17759</v>
      </c>
      <c r="G66" s="112">
        <v>0</v>
      </c>
      <c r="H66" s="113">
        <f>H27+H59</f>
        <v>17759</v>
      </c>
      <c r="I66" s="112">
        <v>0</v>
      </c>
      <c r="J66" s="112">
        <v>0</v>
      </c>
      <c r="K66" s="112">
        <v>0</v>
      </c>
      <c r="L66" s="110"/>
      <c r="M66" s="111"/>
    </row>
    <row r="67" spans="1:13" ht="36" customHeight="1" x14ac:dyDescent="0.3">
      <c r="A67" s="460" t="s">
        <v>91</v>
      </c>
      <c r="B67" s="460"/>
      <c r="C67" s="460"/>
      <c r="D67" s="460"/>
      <c r="E67" s="112">
        <f>E16+E52</f>
        <v>16026.418999999998</v>
      </c>
      <c r="F67" s="105">
        <f t="shared" si="21"/>
        <v>408423.47899999999</v>
      </c>
      <c r="G67" s="112">
        <f>G16+G52</f>
        <v>18970.758999999998</v>
      </c>
      <c r="H67" s="113">
        <f>H16+H52</f>
        <v>389452.72</v>
      </c>
      <c r="I67" s="112">
        <f t="shared" ref="I67:K69" si="22">I16</f>
        <v>0</v>
      </c>
      <c r="J67" s="112">
        <f t="shared" si="22"/>
        <v>0</v>
      </c>
      <c r="K67" s="112">
        <f t="shared" si="22"/>
        <v>0</v>
      </c>
      <c r="L67" s="110"/>
      <c r="M67" s="111"/>
    </row>
    <row r="68" spans="1:13" ht="18.75" x14ac:dyDescent="0.3">
      <c r="A68" s="455" t="s">
        <v>51</v>
      </c>
      <c r="B68" s="455"/>
      <c r="C68" s="455"/>
      <c r="D68" s="455"/>
      <c r="E68" s="112">
        <f>E17</f>
        <v>36793.925999999999</v>
      </c>
      <c r="F68" s="105">
        <f t="shared" si="21"/>
        <v>222222.23499999999</v>
      </c>
      <c r="G68" s="112">
        <f>G17</f>
        <v>38885.425999999999</v>
      </c>
      <c r="H68" s="113">
        <f>H17</f>
        <v>50598.122000000003</v>
      </c>
      <c r="I68" s="112">
        <f t="shared" si="22"/>
        <v>44246.228999999999</v>
      </c>
      <c r="J68" s="112">
        <f t="shared" si="22"/>
        <v>44246.228999999999</v>
      </c>
      <c r="K68" s="112">
        <f t="shared" si="22"/>
        <v>44246.228999999999</v>
      </c>
      <c r="L68" s="110"/>
      <c r="M68" s="111"/>
    </row>
    <row r="69" spans="1:13" ht="18.75" x14ac:dyDescent="0.3">
      <c r="A69" s="455" t="s">
        <v>64</v>
      </c>
      <c r="B69" s="455"/>
      <c r="C69" s="455"/>
      <c r="D69" s="455"/>
      <c r="E69" s="112">
        <f>E18</f>
        <v>251554.76699999999</v>
      </c>
      <c r="F69" s="105">
        <f t="shared" si="21"/>
        <v>1526401.6</v>
      </c>
      <c r="G69" s="112">
        <f>G18</f>
        <v>291320.32000000001</v>
      </c>
      <c r="H69" s="113">
        <f>H18</f>
        <v>308770.32</v>
      </c>
      <c r="I69" s="112">
        <f t="shared" si="22"/>
        <v>308770.32</v>
      </c>
      <c r="J69" s="112">
        <f t="shared" si="22"/>
        <v>308770.32</v>
      </c>
      <c r="K69" s="112">
        <f t="shared" si="22"/>
        <v>308770.32</v>
      </c>
      <c r="L69" s="110"/>
      <c r="M69" s="111"/>
    </row>
    <row r="70" spans="1:13" ht="18.75" x14ac:dyDescent="0.3">
      <c r="A70" s="455" t="s">
        <v>4</v>
      </c>
      <c r="B70" s="455"/>
      <c r="C70" s="455"/>
      <c r="D70" s="455"/>
      <c r="E70" s="109">
        <f>E53</f>
        <v>0</v>
      </c>
      <c r="F70" s="105">
        <f t="shared" si="21"/>
        <v>288000</v>
      </c>
      <c r="G70" s="109">
        <f>G53</f>
        <v>288000</v>
      </c>
      <c r="H70" s="106">
        <f>H53</f>
        <v>0</v>
      </c>
      <c r="I70" s="109">
        <f>I53</f>
        <v>0</v>
      </c>
      <c r="J70" s="109">
        <f>J53</f>
        <v>0</v>
      </c>
      <c r="K70" s="109">
        <f>K53</f>
        <v>0</v>
      </c>
      <c r="L70" s="110"/>
      <c r="M70" s="111"/>
    </row>
    <row r="72" spans="1:13" x14ac:dyDescent="0.25">
      <c r="E72" s="33"/>
      <c r="F72" s="115"/>
      <c r="G72" s="33"/>
      <c r="H72" s="116"/>
      <c r="I72" s="116"/>
      <c r="J72" s="58"/>
      <c r="K72" s="58"/>
    </row>
    <row r="73" spans="1:13" ht="15.75" x14ac:dyDescent="0.25">
      <c r="E73" s="117"/>
      <c r="F73" s="118"/>
      <c r="G73" s="117"/>
      <c r="H73" s="117"/>
      <c r="I73" s="117"/>
      <c r="J73" s="117"/>
      <c r="K73" s="117"/>
    </row>
    <row r="74" spans="1:13" ht="15.75" x14ac:dyDescent="0.25">
      <c r="F74" s="115"/>
      <c r="G74" s="33"/>
      <c r="H74" s="117"/>
      <c r="I74" s="116"/>
      <c r="J74" s="33"/>
      <c r="K74" s="33"/>
    </row>
    <row r="75" spans="1:13" ht="15.75" x14ac:dyDescent="0.25">
      <c r="G75" s="33"/>
      <c r="H75" s="117"/>
      <c r="I75" s="116"/>
      <c r="J75" s="33"/>
      <c r="K75" s="33"/>
    </row>
    <row r="76" spans="1:13" ht="15.75" x14ac:dyDescent="0.25">
      <c r="H76" s="117"/>
      <c r="I76" s="116"/>
      <c r="J76" s="33"/>
    </row>
    <row r="77" spans="1:13" x14ac:dyDescent="0.25">
      <c r="G77" s="33"/>
      <c r="H77" s="116"/>
      <c r="I77" s="116"/>
      <c r="J77" s="33"/>
      <c r="K77" s="33"/>
    </row>
    <row r="84" spans="5:11" x14ac:dyDescent="0.25">
      <c r="E84" s="33"/>
      <c r="F84" s="115"/>
      <c r="G84" s="33"/>
      <c r="H84" s="33"/>
      <c r="I84" s="116"/>
      <c r="J84" s="33"/>
      <c r="K84" s="33"/>
    </row>
    <row r="86" spans="5:11" x14ac:dyDescent="0.25">
      <c r="H86" s="116"/>
    </row>
    <row r="87" spans="5:11" x14ac:dyDescent="0.25">
      <c r="H87" s="116"/>
    </row>
  </sheetData>
  <sheetProtection formatCells="0" formatColumns="0" formatRows="0" insertColumns="0" insertRows="0" insertHyperlinks="0" deleteColumns="0" deleteRows="0" sort="0" autoFilter="0" pivotTables="0"/>
  <mergeCells count="83">
    <mergeCell ref="K1:M3"/>
    <mergeCell ref="A54:A56"/>
    <mergeCell ref="L54:L62"/>
    <mergeCell ref="M54:M62"/>
    <mergeCell ref="A57:A59"/>
    <mergeCell ref="B57:B59"/>
    <mergeCell ref="C57:C59"/>
    <mergeCell ref="C60:C61"/>
    <mergeCell ref="G6:M6"/>
    <mergeCell ref="B5:M5"/>
    <mergeCell ref="F7:F10"/>
    <mergeCell ref="A19:A21"/>
    <mergeCell ref="M7:M10"/>
    <mergeCell ref="A7:A10"/>
    <mergeCell ref="B7:B10"/>
    <mergeCell ref="B19:B21"/>
    <mergeCell ref="B13:B18"/>
    <mergeCell ref="A12:M12"/>
    <mergeCell ref="L13:L18"/>
    <mergeCell ref="L7:L10"/>
    <mergeCell ref="E7:E10"/>
    <mergeCell ref="D7:D10"/>
    <mergeCell ref="G7:K9"/>
    <mergeCell ref="C7:C10"/>
    <mergeCell ref="M13:M18"/>
    <mergeCell ref="C37:C39"/>
    <mergeCell ref="C49:C53"/>
    <mergeCell ref="B49:B53"/>
    <mergeCell ref="A70:D70"/>
    <mergeCell ref="A60:A61"/>
    <mergeCell ref="B60:B61"/>
    <mergeCell ref="A13:A18"/>
    <mergeCell ref="A64:D64"/>
    <mergeCell ref="A65:D65"/>
    <mergeCell ref="A67:D67"/>
    <mergeCell ref="B54:B56"/>
    <mergeCell ref="C54:C56"/>
    <mergeCell ref="A69:D69"/>
    <mergeCell ref="A68:D68"/>
    <mergeCell ref="A40:A41"/>
    <mergeCell ref="B40:B41"/>
    <mergeCell ref="A66:D66"/>
    <mergeCell ref="A63:D63"/>
    <mergeCell ref="C44:C45"/>
    <mergeCell ref="K4:M4"/>
    <mergeCell ref="A28:A30"/>
    <mergeCell ref="A33:A34"/>
    <mergeCell ref="B33:B34"/>
    <mergeCell ref="L37:L39"/>
    <mergeCell ref="M37:M39"/>
    <mergeCell ref="M33:M34"/>
    <mergeCell ref="C33:C34"/>
    <mergeCell ref="L33:L34"/>
    <mergeCell ref="C13:C18"/>
    <mergeCell ref="C19:C21"/>
    <mergeCell ref="C28:C30"/>
    <mergeCell ref="B25:B27"/>
    <mergeCell ref="C25:C27"/>
    <mergeCell ref="A35:A36"/>
    <mergeCell ref="B35:B36"/>
    <mergeCell ref="M49:M53"/>
    <mergeCell ref="L25:L27"/>
    <mergeCell ref="M25:M27"/>
    <mergeCell ref="A37:A39"/>
    <mergeCell ref="A49:A53"/>
    <mergeCell ref="A25:A27"/>
    <mergeCell ref="A44:A45"/>
    <mergeCell ref="L28:L30"/>
    <mergeCell ref="B28:B30"/>
    <mergeCell ref="L49:L53"/>
    <mergeCell ref="C40:C41"/>
    <mergeCell ref="B37:B39"/>
    <mergeCell ref="B44:B45"/>
    <mergeCell ref="M44:M45"/>
    <mergeCell ref="L44:L45"/>
    <mergeCell ref="M40:M41"/>
    <mergeCell ref="C35:C36"/>
    <mergeCell ref="L40:L41"/>
    <mergeCell ref="M19:M21"/>
    <mergeCell ref="M28:M30"/>
    <mergeCell ref="L35:L36"/>
    <mergeCell ref="M35:M36"/>
    <mergeCell ref="L19:L21"/>
  </mergeCells>
  <pageMargins left="0.19685039370078741" right="0.19685039370078741" top="0.19685039370078741" bottom="0.19685039370078741" header="0" footer="0"/>
  <pageSetup paperSize="9" scale="48" fitToHeight="0" orientation="landscape" r:id="rId1"/>
  <rowBreaks count="4" manualBreakCount="4">
    <brk id="23" max="12" man="1"/>
    <brk id="34" max="16383" man="1"/>
    <brk id="45" max="12" man="1"/>
    <brk id="5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121"/>
  <sheetViews>
    <sheetView view="pageBreakPreview" zoomScale="70" zoomScaleNormal="70" zoomScaleSheetLayoutView="70" workbookViewId="0">
      <pane ySplit="8" topLeftCell="A9" activePane="bottomLeft" state="frozen"/>
      <selection activeCell="F60" sqref="F60"/>
      <selection pane="bottomLeft" activeCell="N21" sqref="N21"/>
    </sheetView>
  </sheetViews>
  <sheetFormatPr defaultRowHeight="15" x14ac:dyDescent="0.25"/>
  <cols>
    <col min="1" max="1" width="9.140625" style="8"/>
    <col min="2" max="2" width="59.7109375" style="8" customWidth="1"/>
    <col min="3" max="3" width="17.85546875" style="8" customWidth="1"/>
    <col min="4" max="4" width="31.5703125" style="8" customWidth="1"/>
    <col min="5" max="5" width="19.28515625" style="8" customWidth="1"/>
    <col min="6" max="6" width="19.28515625" style="119" customWidth="1"/>
    <col min="7" max="7" width="19.28515625" style="8" customWidth="1"/>
    <col min="8" max="9" width="19.28515625" style="120" customWidth="1"/>
    <col min="10" max="11" width="19.28515625" style="8" customWidth="1"/>
    <col min="12" max="12" width="21.140625" style="8" customWidth="1"/>
    <col min="13" max="13" width="24.5703125" style="8" customWidth="1"/>
    <col min="14" max="14" width="18.140625" style="8" customWidth="1"/>
    <col min="15" max="15" width="14.28515625" style="8" customWidth="1"/>
    <col min="16" max="18" width="9.140625" style="8"/>
    <col min="19" max="19" width="10.140625" style="8" bestFit="1" customWidth="1"/>
    <col min="20" max="16384" width="9.140625" style="8"/>
  </cols>
  <sheetData>
    <row r="1" spans="1:19" ht="15.75" x14ac:dyDescent="0.25">
      <c r="A1" s="2"/>
      <c r="B1" s="3"/>
      <c r="C1" s="4"/>
      <c r="D1" s="3"/>
      <c r="E1" s="3"/>
      <c r="F1" s="121"/>
      <c r="G1" s="3"/>
      <c r="H1" s="6"/>
      <c r="I1" s="6"/>
      <c r="J1" s="7"/>
      <c r="K1" s="7"/>
      <c r="L1" s="7"/>
      <c r="M1" s="7"/>
    </row>
    <row r="2" spans="1:19" ht="15.75" customHeight="1" x14ac:dyDescent="0.25">
      <c r="A2" s="2"/>
      <c r="B2" s="9"/>
      <c r="C2" s="10"/>
      <c r="D2" s="11"/>
      <c r="E2" s="11"/>
      <c r="F2" s="122"/>
      <c r="G2" s="13"/>
      <c r="H2" s="14"/>
      <c r="I2" s="14"/>
      <c r="J2" s="13"/>
      <c r="K2" s="13"/>
      <c r="L2" s="443"/>
      <c r="M2" s="443"/>
    </row>
    <row r="3" spans="1:19" ht="15.75" customHeight="1" thickBot="1" x14ac:dyDescent="0.3">
      <c r="A3" s="2"/>
      <c r="B3" s="9"/>
      <c r="C3" s="10"/>
      <c r="D3" s="11"/>
      <c r="E3" s="11"/>
      <c r="F3" s="122"/>
      <c r="G3" s="13"/>
      <c r="H3" s="14"/>
      <c r="I3" s="14"/>
      <c r="J3" s="13"/>
      <c r="K3" s="13"/>
      <c r="L3" s="123"/>
      <c r="M3" s="123"/>
    </row>
    <row r="4" spans="1:19" ht="15" customHeight="1" x14ac:dyDescent="0.25">
      <c r="A4" s="557" t="s">
        <v>13</v>
      </c>
      <c r="B4" s="554" t="s">
        <v>14</v>
      </c>
      <c r="C4" s="554" t="s">
        <v>0</v>
      </c>
      <c r="D4" s="554" t="s">
        <v>15</v>
      </c>
      <c r="E4" s="554" t="s">
        <v>148</v>
      </c>
      <c r="F4" s="560" t="s">
        <v>16</v>
      </c>
      <c r="G4" s="566" t="s">
        <v>49</v>
      </c>
      <c r="H4" s="567"/>
      <c r="I4" s="567"/>
      <c r="J4" s="567"/>
      <c r="K4" s="568"/>
      <c r="L4" s="548" t="s">
        <v>17</v>
      </c>
      <c r="M4" s="563" t="s">
        <v>7</v>
      </c>
    </row>
    <row r="5" spans="1:19" x14ac:dyDescent="0.25">
      <c r="A5" s="558"/>
      <c r="B5" s="555"/>
      <c r="C5" s="555"/>
      <c r="D5" s="555"/>
      <c r="E5" s="555"/>
      <c r="F5" s="561"/>
      <c r="G5" s="569"/>
      <c r="H5" s="570"/>
      <c r="I5" s="570"/>
      <c r="J5" s="570"/>
      <c r="K5" s="571"/>
      <c r="L5" s="549"/>
      <c r="M5" s="564"/>
    </row>
    <row r="6" spans="1:19" ht="45.75" customHeight="1" x14ac:dyDescent="0.25">
      <c r="A6" s="559"/>
      <c r="B6" s="556"/>
      <c r="C6" s="556"/>
      <c r="D6" s="556"/>
      <c r="E6" s="556"/>
      <c r="F6" s="562"/>
      <c r="G6" s="124" t="s">
        <v>46</v>
      </c>
      <c r="H6" s="125" t="s">
        <v>47</v>
      </c>
      <c r="I6" s="124" t="s">
        <v>150</v>
      </c>
      <c r="J6" s="124" t="s">
        <v>151</v>
      </c>
      <c r="K6" s="124" t="s">
        <v>152</v>
      </c>
      <c r="L6" s="550"/>
      <c r="M6" s="565"/>
    </row>
    <row r="7" spans="1:19" ht="17.25" customHeight="1" x14ac:dyDescent="0.25">
      <c r="A7" s="20" t="s">
        <v>29</v>
      </c>
      <c r="B7" s="21">
        <v>2</v>
      </c>
      <c r="C7" s="21" t="s">
        <v>18</v>
      </c>
      <c r="D7" s="21" t="s">
        <v>137</v>
      </c>
      <c r="E7" s="21" t="s">
        <v>19</v>
      </c>
      <c r="F7" s="22" t="s">
        <v>134</v>
      </c>
      <c r="G7" s="21" t="s">
        <v>20</v>
      </c>
      <c r="H7" s="23" t="s">
        <v>135</v>
      </c>
      <c r="I7" s="21" t="s">
        <v>21</v>
      </c>
      <c r="J7" s="21" t="s">
        <v>22</v>
      </c>
      <c r="K7" s="21" t="s">
        <v>30</v>
      </c>
      <c r="L7" s="21" t="s">
        <v>31</v>
      </c>
      <c r="M7" s="24" t="s">
        <v>50</v>
      </c>
    </row>
    <row r="8" spans="1:19" ht="10.5" customHeight="1" x14ac:dyDescent="0.25">
      <c r="A8" s="551"/>
      <c r="B8" s="552"/>
      <c r="C8" s="552"/>
      <c r="D8" s="552"/>
      <c r="E8" s="552"/>
      <c r="F8" s="552"/>
      <c r="G8" s="552"/>
      <c r="H8" s="552"/>
      <c r="I8" s="552"/>
      <c r="J8" s="552"/>
      <c r="K8" s="552"/>
      <c r="L8" s="552"/>
      <c r="M8" s="553"/>
    </row>
    <row r="9" spans="1:19" s="127" customFormat="1" ht="25.5" customHeight="1" x14ac:dyDescent="0.25">
      <c r="A9" s="551" t="s">
        <v>62</v>
      </c>
      <c r="B9" s="552"/>
      <c r="C9" s="552"/>
      <c r="D9" s="552"/>
      <c r="E9" s="552"/>
      <c r="F9" s="552"/>
      <c r="G9" s="552"/>
      <c r="H9" s="552"/>
      <c r="I9" s="552"/>
      <c r="J9" s="552"/>
      <c r="K9" s="552"/>
      <c r="L9" s="552"/>
      <c r="M9" s="553"/>
      <c r="N9" s="126"/>
      <c r="O9" s="126"/>
    </row>
    <row r="10" spans="1:19" ht="37.5" customHeight="1" x14ac:dyDescent="0.25">
      <c r="A10" s="572"/>
      <c r="B10" s="575" t="s">
        <v>139</v>
      </c>
      <c r="C10" s="575" t="s">
        <v>149</v>
      </c>
      <c r="D10" s="128" t="s">
        <v>10</v>
      </c>
      <c r="E10" s="129">
        <f>SUM(E11:E15)</f>
        <v>3599009.6299999994</v>
      </c>
      <c r="F10" s="78">
        <f t="shared" ref="F10:F15" si="0">SUM(G10:K10)</f>
        <v>17629694.383489996</v>
      </c>
      <c r="G10" s="129">
        <f>SUM(G11:G15)</f>
        <v>4134110.0259999996</v>
      </c>
      <c r="H10" s="79">
        <f>SUM(H11:H15)</f>
        <v>4395662.0734899994</v>
      </c>
      <c r="I10" s="129">
        <f>SUM(I11:I15)</f>
        <v>4058590.6079999995</v>
      </c>
      <c r="J10" s="129">
        <f>SUM(J11:J15)</f>
        <v>4058590.6079999995</v>
      </c>
      <c r="K10" s="129">
        <f>SUM(K11:K15)</f>
        <v>982741.06799999997</v>
      </c>
      <c r="L10" s="579"/>
      <c r="M10" s="582"/>
    </row>
    <row r="11" spans="1:19" ht="39.75" customHeight="1" x14ac:dyDescent="0.25">
      <c r="A11" s="573"/>
      <c r="B11" s="576"/>
      <c r="C11" s="576"/>
      <c r="D11" s="130" t="s">
        <v>5</v>
      </c>
      <c r="E11" s="131">
        <f>E23+E24+E25+E27+E28+E30+E35+E37+E39+E41+E43+E61+E62+E63+E67</f>
        <v>2579269.7999999998</v>
      </c>
      <c r="F11" s="78">
        <f t="shared" si="0"/>
        <v>12456894.43049</v>
      </c>
      <c r="G11" s="131">
        <f>G23+G24+G25+G27+G28+G30+G35+G37+G39+G41+G43+G61+G62+G63+G67+G51</f>
        <v>3092216.1409999998</v>
      </c>
      <c r="H11" s="132">
        <f t="shared" ref="H11:K11" si="1">H23+H24+H25+H27+H28+H30+H35+H37+H39+H41+H43+H61+H62+H63+H67+H51</f>
        <v>3229780.2894899999</v>
      </c>
      <c r="I11" s="131">
        <f t="shared" si="1"/>
        <v>3067449</v>
      </c>
      <c r="J11" s="131">
        <f t="shared" si="1"/>
        <v>3067449</v>
      </c>
      <c r="K11" s="131">
        <f t="shared" si="1"/>
        <v>0</v>
      </c>
      <c r="L11" s="580"/>
      <c r="M11" s="583"/>
    </row>
    <row r="12" spans="1:19" ht="58.5" customHeight="1" x14ac:dyDescent="0.25">
      <c r="A12" s="573"/>
      <c r="B12" s="576"/>
      <c r="C12" s="576"/>
      <c r="D12" s="128" t="s">
        <v>9</v>
      </c>
      <c r="E12" s="133">
        <f>E16+E19+E21+E22+E29+E31+E36+E38+E40+E42+E44+E45+E46+E49+E52+E64+E65+E66+E68</f>
        <v>834761.21700000006</v>
      </c>
      <c r="F12" s="78">
        <f t="shared" si="0"/>
        <v>4004125.9359999988</v>
      </c>
      <c r="G12" s="133">
        <f>G16+G19+G21+G22+G29+G31+G36+G38+G40+G42+G44+G45+G46+G49+G52+G64+G65+G66+G68+G70+G26+G72</f>
        <v>818200.09799999988</v>
      </c>
      <c r="H12" s="134">
        <f t="shared" ref="H12:K12" si="2">H16+H19+H21+H22+H29+H31+H36+H38+H40+H42+H44+H45+H46+H49+H52+H64+H65+H66+H68+H70+H26+H72</f>
        <v>878538.83799999999</v>
      </c>
      <c r="I12" s="133">
        <f t="shared" si="2"/>
        <v>771929.17999999993</v>
      </c>
      <c r="J12" s="133">
        <f t="shared" si="2"/>
        <v>771929.17999999993</v>
      </c>
      <c r="K12" s="133">
        <f t="shared" si="2"/>
        <v>763528.6399999999</v>
      </c>
      <c r="L12" s="580"/>
      <c r="M12" s="583"/>
    </row>
    <row r="13" spans="1:19" ht="119.25" customHeight="1" x14ac:dyDescent="0.25">
      <c r="A13" s="573"/>
      <c r="B13" s="576"/>
      <c r="C13" s="576"/>
      <c r="D13" s="135" t="s">
        <v>91</v>
      </c>
      <c r="E13" s="30">
        <f>E33+E50+E54+E71</f>
        <v>11834.492999999999</v>
      </c>
      <c r="F13" s="78">
        <f t="shared" si="0"/>
        <v>30483.603999999999</v>
      </c>
      <c r="G13" s="30">
        <f>G33+G50+G54+G71+G20+G48</f>
        <v>20005.952000000001</v>
      </c>
      <c r="H13" s="32">
        <f t="shared" ref="H13:K13" si="3">H33+H50+H54+H71+H20+H48</f>
        <v>10477.652</v>
      </c>
      <c r="I13" s="30">
        <f t="shared" si="3"/>
        <v>0</v>
      </c>
      <c r="J13" s="30">
        <f t="shared" si="3"/>
        <v>0</v>
      </c>
      <c r="K13" s="30">
        <f t="shared" si="3"/>
        <v>0</v>
      </c>
      <c r="L13" s="580"/>
      <c r="M13" s="583"/>
    </row>
    <row r="14" spans="1:19" ht="81" customHeight="1" x14ac:dyDescent="0.25">
      <c r="A14" s="573"/>
      <c r="B14" s="576"/>
      <c r="C14" s="576"/>
      <c r="D14" s="135" t="s">
        <v>51</v>
      </c>
      <c r="E14" s="30">
        <f>E17+E34</f>
        <v>168767.12400000001</v>
      </c>
      <c r="F14" s="78">
        <f t="shared" si="0"/>
        <v>1110707.7880000002</v>
      </c>
      <c r="G14" s="30">
        <f>G17+G34</f>
        <v>198466.71000000002</v>
      </c>
      <c r="H14" s="32">
        <f>H17+H34</f>
        <v>271299.91899999999</v>
      </c>
      <c r="I14" s="30">
        <f>I17+I34</f>
        <v>213647.05300000001</v>
      </c>
      <c r="J14" s="30">
        <f>J17+J34</f>
        <v>213647.05300000001</v>
      </c>
      <c r="K14" s="30">
        <f>K17+K34</f>
        <v>213647.05300000001</v>
      </c>
      <c r="L14" s="580"/>
      <c r="M14" s="583"/>
      <c r="S14" s="33"/>
    </row>
    <row r="15" spans="1:19" ht="68.25" customHeight="1" x14ac:dyDescent="0.25">
      <c r="A15" s="574"/>
      <c r="B15" s="577"/>
      <c r="C15" s="577"/>
      <c r="D15" s="135" t="s">
        <v>64</v>
      </c>
      <c r="E15" s="30">
        <f>E18</f>
        <v>4376.9960000000001</v>
      </c>
      <c r="F15" s="78">
        <f t="shared" si="0"/>
        <v>27482.625</v>
      </c>
      <c r="G15" s="30">
        <f t="shared" ref="G15:K15" si="4">G18</f>
        <v>5221.125</v>
      </c>
      <c r="H15" s="32">
        <f t="shared" si="4"/>
        <v>5565.375</v>
      </c>
      <c r="I15" s="30">
        <f t="shared" si="4"/>
        <v>5565.375</v>
      </c>
      <c r="J15" s="30">
        <f t="shared" si="4"/>
        <v>5565.375</v>
      </c>
      <c r="K15" s="30">
        <f t="shared" si="4"/>
        <v>5565.375</v>
      </c>
      <c r="L15" s="581"/>
      <c r="M15" s="584"/>
      <c r="S15" s="33"/>
    </row>
    <row r="16" spans="1:19" ht="67.5" customHeight="1" x14ac:dyDescent="0.25">
      <c r="A16" s="585" t="s">
        <v>93</v>
      </c>
      <c r="B16" s="437" t="s">
        <v>69</v>
      </c>
      <c r="C16" s="458" t="s">
        <v>149</v>
      </c>
      <c r="D16" s="76" t="s">
        <v>24</v>
      </c>
      <c r="E16" s="77">
        <v>438987.25900000002</v>
      </c>
      <c r="F16" s="78">
        <f>SUM(G16:K16)</f>
        <v>1889300.0920000002</v>
      </c>
      <c r="G16" s="77">
        <v>465168</v>
      </c>
      <c r="H16" s="79">
        <v>354533.02299999999</v>
      </c>
      <c r="I16" s="77">
        <v>356533.02299999999</v>
      </c>
      <c r="J16" s="77">
        <v>356533.02299999999</v>
      </c>
      <c r="K16" s="77">
        <v>356533.02299999999</v>
      </c>
      <c r="L16" s="578" t="s">
        <v>11</v>
      </c>
      <c r="M16" s="592" t="s">
        <v>72</v>
      </c>
      <c r="O16" s="54"/>
      <c r="P16" s="54"/>
      <c r="Q16" s="54"/>
    </row>
    <row r="17" spans="1:22" ht="83.25" customHeight="1" x14ac:dyDescent="0.25">
      <c r="A17" s="586"/>
      <c r="B17" s="588"/>
      <c r="C17" s="524"/>
      <c r="D17" s="136" t="s">
        <v>51</v>
      </c>
      <c r="E17" s="77">
        <v>119767.406</v>
      </c>
      <c r="F17" s="78">
        <f t="shared" ref="F17:F61" si="5">SUM(G17:K17)</f>
        <v>905374.83000000007</v>
      </c>
      <c r="G17" s="77">
        <f>175878.271+67.2-12504.798</f>
        <v>163440.67300000001</v>
      </c>
      <c r="H17" s="79">
        <f>175878.271+67.2+38152.273</f>
        <v>214097.74400000001</v>
      </c>
      <c r="I17" s="77">
        <f>175878.271+67.2</f>
        <v>175945.47100000002</v>
      </c>
      <c r="J17" s="77">
        <f>175878.271+67.2</f>
        <v>175945.47100000002</v>
      </c>
      <c r="K17" s="77">
        <f>175878.271+67.2</f>
        <v>175945.47100000002</v>
      </c>
      <c r="L17" s="578"/>
      <c r="M17" s="592"/>
      <c r="O17" s="46"/>
      <c r="P17" s="46"/>
      <c r="Q17" s="46"/>
    </row>
    <row r="18" spans="1:22" ht="61.5" customHeight="1" x14ac:dyDescent="0.25">
      <c r="A18" s="587"/>
      <c r="B18" s="438"/>
      <c r="C18" s="459"/>
      <c r="D18" s="136" t="s">
        <v>64</v>
      </c>
      <c r="E18" s="77">
        <v>4376.9960000000001</v>
      </c>
      <c r="F18" s="78">
        <f t="shared" si="5"/>
        <v>27482.625</v>
      </c>
      <c r="G18" s="77">
        <v>5221.125</v>
      </c>
      <c r="H18" s="79">
        <v>5565.375</v>
      </c>
      <c r="I18" s="77">
        <v>5565.375</v>
      </c>
      <c r="J18" s="77">
        <v>5565.375</v>
      </c>
      <c r="K18" s="77">
        <v>5565.375</v>
      </c>
      <c r="L18" s="578"/>
      <c r="M18" s="592"/>
      <c r="O18" s="46"/>
      <c r="P18" s="46"/>
      <c r="Q18" s="46"/>
    </row>
    <row r="19" spans="1:22" ht="65.25" customHeight="1" x14ac:dyDescent="0.25">
      <c r="A19" s="585" t="s">
        <v>94</v>
      </c>
      <c r="B19" s="437" t="s">
        <v>70</v>
      </c>
      <c r="C19" s="458" t="s">
        <v>149</v>
      </c>
      <c r="D19" s="136" t="s">
        <v>24</v>
      </c>
      <c r="E19" s="77">
        <v>128460.2</v>
      </c>
      <c r="F19" s="78">
        <f t="shared" si="5"/>
        <v>626863.75399999996</v>
      </c>
      <c r="G19" s="77">
        <v>173058.86</v>
      </c>
      <c r="H19" s="79">
        <f>114995.386-6176.65</f>
        <v>108818.736</v>
      </c>
      <c r="I19" s="77">
        <v>114995.386</v>
      </c>
      <c r="J19" s="77">
        <v>114995.386</v>
      </c>
      <c r="K19" s="77">
        <v>114995.386</v>
      </c>
      <c r="L19" s="441" t="s">
        <v>11</v>
      </c>
      <c r="M19" s="593" t="s">
        <v>72</v>
      </c>
      <c r="N19" s="137"/>
      <c r="O19" s="46"/>
      <c r="P19" s="46"/>
      <c r="Q19" s="46"/>
    </row>
    <row r="20" spans="1:22" ht="116.25" customHeight="1" x14ac:dyDescent="0.25">
      <c r="A20" s="587"/>
      <c r="B20" s="438"/>
      <c r="C20" s="459"/>
      <c r="D20" s="136" t="s">
        <v>91</v>
      </c>
      <c r="E20" s="77">
        <v>0</v>
      </c>
      <c r="F20" s="78">
        <f t="shared" si="5"/>
        <v>798.59</v>
      </c>
      <c r="G20" s="77">
        <v>798.59</v>
      </c>
      <c r="H20" s="79">
        <v>0</v>
      </c>
      <c r="I20" s="77">
        <v>0</v>
      </c>
      <c r="J20" s="77">
        <v>0</v>
      </c>
      <c r="K20" s="77">
        <v>0</v>
      </c>
      <c r="L20" s="442"/>
      <c r="M20" s="594"/>
      <c r="O20" s="46"/>
      <c r="P20" s="46"/>
      <c r="Q20" s="46"/>
    </row>
    <row r="21" spans="1:22" ht="99.75" customHeight="1" x14ac:dyDescent="0.25">
      <c r="A21" s="138" t="s">
        <v>95</v>
      </c>
      <c r="B21" s="139" t="s">
        <v>92</v>
      </c>
      <c r="C21" s="76" t="s">
        <v>149</v>
      </c>
      <c r="D21" s="136" t="s">
        <v>24</v>
      </c>
      <c r="E21" s="77">
        <v>61325.218999999997</v>
      </c>
      <c r="F21" s="78">
        <f t="shared" si="5"/>
        <v>249869.01399999997</v>
      </c>
      <c r="G21" s="77">
        <v>60665.144</v>
      </c>
      <c r="H21" s="79">
        <f>46979.284+746.384+490+50+0.35</f>
        <v>48266.017999999996</v>
      </c>
      <c r="I21" s="77">
        <v>46979.284</v>
      </c>
      <c r="J21" s="77">
        <v>46979.284</v>
      </c>
      <c r="K21" s="77">
        <v>46979.284</v>
      </c>
      <c r="L21" s="140" t="s">
        <v>11</v>
      </c>
      <c r="M21" s="141" t="s">
        <v>130</v>
      </c>
      <c r="O21" s="54"/>
      <c r="P21" s="54"/>
      <c r="Q21" s="54"/>
    </row>
    <row r="22" spans="1:22" ht="136.5" customHeight="1" x14ac:dyDescent="0.25">
      <c r="A22" s="142" t="s">
        <v>96</v>
      </c>
      <c r="B22" s="143" t="s">
        <v>165</v>
      </c>
      <c r="C22" s="136" t="s">
        <v>149</v>
      </c>
      <c r="D22" s="76" t="s">
        <v>24</v>
      </c>
      <c r="E22" s="77">
        <v>13103.741</v>
      </c>
      <c r="F22" s="78">
        <f t="shared" si="5"/>
        <v>49727.635999999984</v>
      </c>
      <c r="G22" s="77">
        <f>16604.172+267.62</f>
        <v>16871.791999999998</v>
      </c>
      <c r="H22" s="79">
        <v>8213.9609999999993</v>
      </c>
      <c r="I22" s="77">
        <v>8213.9609999999993</v>
      </c>
      <c r="J22" s="77">
        <v>8213.9609999999993</v>
      </c>
      <c r="K22" s="77">
        <v>8213.9609999999993</v>
      </c>
      <c r="L22" s="85" t="s">
        <v>11</v>
      </c>
      <c r="M22" s="144" t="s">
        <v>130</v>
      </c>
      <c r="O22" s="54"/>
      <c r="P22" s="54"/>
      <c r="Q22" s="54"/>
      <c r="V22" s="33"/>
    </row>
    <row r="23" spans="1:22" ht="275.25" customHeight="1" x14ac:dyDescent="0.25">
      <c r="A23" s="145" t="s">
        <v>97</v>
      </c>
      <c r="B23" s="143" t="s">
        <v>262</v>
      </c>
      <c r="C23" s="136" t="s">
        <v>149</v>
      </c>
      <c r="D23" s="76" t="s">
        <v>5</v>
      </c>
      <c r="E23" s="77">
        <v>2270359</v>
      </c>
      <c r="F23" s="78">
        <f>SUM(G23:K23)</f>
        <v>10640123</v>
      </c>
      <c r="G23" s="77">
        <v>2673101</v>
      </c>
      <c r="H23" s="79">
        <v>2655674</v>
      </c>
      <c r="I23" s="77">
        <v>2655674</v>
      </c>
      <c r="J23" s="77">
        <v>2655674</v>
      </c>
      <c r="K23" s="77">
        <v>0</v>
      </c>
      <c r="L23" s="85" t="s">
        <v>11</v>
      </c>
      <c r="M23" s="146" t="s">
        <v>136</v>
      </c>
      <c r="O23" s="46"/>
      <c r="P23" s="46"/>
      <c r="Q23" s="46"/>
    </row>
    <row r="24" spans="1:22" ht="270" customHeight="1" x14ac:dyDescent="0.25">
      <c r="A24" s="142" t="s">
        <v>98</v>
      </c>
      <c r="B24" s="147" t="s">
        <v>187</v>
      </c>
      <c r="C24" s="148" t="s">
        <v>149</v>
      </c>
      <c r="D24" s="148" t="s">
        <v>5</v>
      </c>
      <c r="E24" s="149">
        <f>175303-13633</f>
        <v>161670</v>
      </c>
      <c r="F24" s="78">
        <f t="shared" si="5"/>
        <v>830932</v>
      </c>
      <c r="G24" s="149">
        <v>187702</v>
      </c>
      <c r="H24" s="150">
        <v>214410</v>
      </c>
      <c r="I24" s="149">
        <v>214410</v>
      </c>
      <c r="J24" s="149">
        <v>214410</v>
      </c>
      <c r="K24" s="149">
        <v>0</v>
      </c>
      <c r="L24" s="151" t="s">
        <v>11</v>
      </c>
      <c r="M24" s="152" t="s">
        <v>220</v>
      </c>
      <c r="O24" s="54"/>
      <c r="P24" s="54"/>
      <c r="Q24" s="54"/>
      <c r="R24" s="46"/>
    </row>
    <row r="25" spans="1:22" ht="73.5" customHeight="1" x14ac:dyDescent="0.25">
      <c r="A25" s="426" t="s">
        <v>99</v>
      </c>
      <c r="B25" s="518" t="s">
        <v>188</v>
      </c>
      <c r="C25" s="458" t="s">
        <v>149</v>
      </c>
      <c r="D25" s="76" t="s">
        <v>5</v>
      </c>
      <c r="E25" s="149">
        <v>116517</v>
      </c>
      <c r="F25" s="78">
        <f t="shared" si="5"/>
        <v>714240</v>
      </c>
      <c r="G25" s="149">
        <v>159822</v>
      </c>
      <c r="H25" s="150">
        <v>184806</v>
      </c>
      <c r="I25" s="149">
        <v>184806</v>
      </c>
      <c r="J25" s="149">
        <v>184806</v>
      </c>
      <c r="K25" s="149">
        <v>0</v>
      </c>
      <c r="L25" s="441" t="s">
        <v>11</v>
      </c>
      <c r="M25" s="439" t="s">
        <v>25</v>
      </c>
      <c r="O25" s="46"/>
      <c r="P25" s="46"/>
      <c r="Q25" s="46"/>
    </row>
    <row r="26" spans="1:22" ht="75" x14ac:dyDescent="0.25">
      <c r="A26" s="427"/>
      <c r="B26" s="519"/>
      <c r="C26" s="459"/>
      <c r="D26" s="76" t="s">
        <v>24</v>
      </c>
      <c r="E26" s="149">
        <v>0</v>
      </c>
      <c r="F26" s="78">
        <f t="shared" si="5"/>
        <v>220634.989</v>
      </c>
      <c r="G26" s="149">
        <v>0</v>
      </c>
      <c r="H26" s="150">
        <f>52575.644+10332.413</f>
        <v>62908.057000000001</v>
      </c>
      <c r="I26" s="149">
        <v>52575.644</v>
      </c>
      <c r="J26" s="149">
        <v>52575.644</v>
      </c>
      <c r="K26" s="149">
        <v>52575.644</v>
      </c>
      <c r="L26" s="442"/>
      <c r="M26" s="440"/>
      <c r="O26" s="46"/>
      <c r="P26" s="46"/>
      <c r="Q26" s="46"/>
    </row>
    <row r="27" spans="1:22" ht="143.25" customHeight="1" x14ac:dyDescent="0.25">
      <c r="A27" s="142" t="s">
        <v>100</v>
      </c>
      <c r="B27" s="88" t="s">
        <v>189</v>
      </c>
      <c r="C27" s="76" t="s">
        <v>149</v>
      </c>
      <c r="D27" s="76" t="s">
        <v>5</v>
      </c>
      <c r="E27" s="77">
        <v>40</v>
      </c>
      <c r="F27" s="78">
        <f t="shared" ref="F27" si="6">SUM(G27:K27)</f>
        <v>395</v>
      </c>
      <c r="G27" s="77">
        <v>80</v>
      </c>
      <c r="H27" s="79">
        <v>105</v>
      </c>
      <c r="I27" s="77">
        <v>105</v>
      </c>
      <c r="J27" s="77">
        <v>105</v>
      </c>
      <c r="K27" s="77">
        <v>0</v>
      </c>
      <c r="L27" s="85" t="s">
        <v>11</v>
      </c>
      <c r="M27" s="153" t="s">
        <v>52</v>
      </c>
      <c r="O27" s="46"/>
      <c r="P27" s="46"/>
      <c r="Q27" s="46"/>
    </row>
    <row r="28" spans="1:22" ht="68.25" customHeight="1" x14ac:dyDescent="0.25">
      <c r="A28" s="426" t="s">
        <v>101</v>
      </c>
      <c r="B28" s="437" t="s">
        <v>263</v>
      </c>
      <c r="C28" s="458" t="s">
        <v>149</v>
      </c>
      <c r="D28" s="76" t="s">
        <v>5</v>
      </c>
      <c r="E28" s="149">
        <v>212</v>
      </c>
      <c r="F28" s="78">
        <f t="shared" si="5"/>
        <v>466</v>
      </c>
      <c r="G28" s="149">
        <v>118</v>
      </c>
      <c r="H28" s="150">
        <v>116</v>
      </c>
      <c r="I28" s="149">
        <v>116</v>
      </c>
      <c r="J28" s="149">
        <v>116</v>
      </c>
      <c r="K28" s="149">
        <v>0</v>
      </c>
      <c r="L28" s="441" t="s">
        <v>11</v>
      </c>
      <c r="M28" s="439" t="s">
        <v>155</v>
      </c>
      <c r="O28" s="46"/>
      <c r="P28" s="46"/>
      <c r="Q28" s="46"/>
    </row>
    <row r="29" spans="1:22" ht="174" customHeight="1" x14ac:dyDescent="0.25">
      <c r="A29" s="427"/>
      <c r="B29" s="438"/>
      <c r="C29" s="459"/>
      <c r="D29" s="76" t="s">
        <v>23</v>
      </c>
      <c r="E29" s="80">
        <v>9188.7000000000007</v>
      </c>
      <c r="F29" s="78">
        <f t="shared" si="5"/>
        <v>32938.342000000004</v>
      </c>
      <c r="G29" s="80">
        <v>7736.7219999999998</v>
      </c>
      <c r="H29" s="81">
        <v>8400.5400000000009</v>
      </c>
      <c r="I29" s="80">
        <v>8400.5400000000009</v>
      </c>
      <c r="J29" s="80">
        <v>8400.5400000000009</v>
      </c>
      <c r="K29" s="80">
        <v>0</v>
      </c>
      <c r="L29" s="442"/>
      <c r="M29" s="440"/>
    </row>
    <row r="30" spans="1:22" ht="37.5" customHeight="1" x14ac:dyDescent="0.25">
      <c r="A30" s="426" t="s">
        <v>102</v>
      </c>
      <c r="B30" s="518" t="s">
        <v>190</v>
      </c>
      <c r="C30" s="458" t="s">
        <v>149</v>
      </c>
      <c r="D30" s="76" t="s">
        <v>5</v>
      </c>
      <c r="E30" s="154">
        <v>0</v>
      </c>
      <c r="F30" s="78">
        <f t="shared" ref="F30" si="7">SUM(G30:K30)</f>
        <v>0</v>
      </c>
      <c r="G30" s="154">
        <v>0</v>
      </c>
      <c r="H30" s="155">
        <v>0</v>
      </c>
      <c r="I30" s="154">
        <v>0</v>
      </c>
      <c r="J30" s="154">
        <v>0</v>
      </c>
      <c r="K30" s="154">
        <v>0</v>
      </c>
      <c r="L30" s="537" t="s">
        <v>41</v>
      </c>
      <c r="M30" s="593" t="s">
        <v>221</v>
      </c>
      <c r="N30" s="54"/>
      <c r="O30" s="54"/>
      <c r="P30" s="54"/>
      <c r="Q30" s="54"/>
      <c r="R30" s="54"/>
    </row>
    <row r="31" spans="1:22" ht="61.5" customHeight="1" x14ac:dyDescent="0.25">
      <c r="A31" s="602"/>
      <c r="B31" s="589"/>
      <c r="C31" s="524"/>
      <c r="D31" s="76" t="s">
        <v>23</v>
      </c>
      <c r="E31" s="80">
        <v>94414.815000000002</v>
      </c>
      <c r="F31" s="78">
        <f t="shared" si="5"/>
        <v>3960.6639999999998</v>
      </c>
      <c r="G31" s="80">
        <f>115.914+122.975</f>
        <v>238.88900000000001</v>
      </c>
      <c r="H31" s="81">
        <f>2174.747+802.1+167.928+577</f>
        <v>3721.7749999999996</v>
      </c>
      <c r="I31" s="80">
        <v>0</v>
      </c>
      <c r="J31" s="80">
        <f>5000-400-1000-1350-2250</f>
        <v>0</v>
      </c>
      <c r="K31" s="80">
        <f>5000-400-1000-1350-2250</f>
        <v>0</v>
      </c>
      <c r="L31" s="538"/>
      <c r="M31" s="594"/>
      <c r="N31" s="54"/>
      <c r="O31" s="46"/>
      <c r="P31" s="46"/>
    </row>
    <row r="32" spans="1:22" ht="93.75" x14ac:dyDescent="0.25">
      <c r="A32" s="602"/>
      <c r="B32" s="589"/>
      <c r="C32" s="524"/>
      <c r="D32" s="136" t="s">
        <v>315</v>
      </c>
      <c r="E32" s="156">
        <v>0</v>
      </c>
      <c r="F32" s="78">
        <f t="shared" si="5"/>
        <v>577</v>
      </c>
      <c r="G32" s="156">
        <v>0</v>
      </c>
      <c r="H32" s="157">
        <v>577</v>
      </c>
      <c r="I32" s="156">
        <v>0</v>
      </c>
      <c r="J32" s="156">
        <v>0</v>
      </c>
      <c r="K32" s="156">
        <v>0</v>
      </c>
      <c r="L32" s="538"/>
      <c r="M32" s="594"/>
      <c r="N32" s="54"/>
      <c r="O32" s="46"/>
      <c r="P32" s="46"/>
    </row>
    <row r="33" spans="1:19" ht="111.75" customHeight="1" x14ac:dyDescent="0.25">
      <c r="A33" s="602"/>
      <c r="B33" s="589"/>
      <c r="C33" s="524"/>
      <c r="D33" s="158" t="s">
        <v>91</v>
      </c>
      <c r="E33" s="159">
        <v>11214.246999999999</v>
      </c>
      <c r="F33" s="78">
        <f t="shared" si="5"/>
        <v>26994.917000000001</v>
      </c>
      <c r="G33" s="159">
        <f>13232.584+4590.387+302.494</f>
        <v>18125.465</v>
      </c>
      <c r="H33" s="160">
        <f>805.556+3706.736+369.16+3988</f>
        <v>8869.4519999999993</v>
      </c>
      <c r="I33" s="159">
        <v>0</v>
      </c>
      <c r="J33" s="159">
        <v>0</v>
      </c>
      <c r="K33" s="159">
        <v>0</v>
      </c>
      <c r="L33" s="538"/>
      <c r="M33" s="594"/>
    </row>
    <row r="34" spans="1:19" ht="75" x14ac:dyDescent="0.25">
      <c r="A34" s="427"/>
      <c r="B34" s="519"/>
      <c r="C34" s="459"/>
      <c r="D34" s="136" t="s">
        <v>51</v>
      </c>
      <c r="E34" s="161">
        <v>48999.718000000001</v>
      </c>
      <c r="F34" s="162">
        <f t="shared" si="5"/>
        <v>205332.95799999998</v>
      </c>
      <c r="G34" s="161">
        <f>37701.582-2675.545</f>
        <v>35026.037000000004</v>
      </c>
      <c r="H34" s="163">
        <f>37701.582+19500.593</f>
        <v>57202.175000000003</v>
      </c>
      <c r="I34" s="161">
        <v>37701.582000000002</v>
      </c>
      <c r="J34" s="161">
        <v>37701.582000000002</v>
      </c>
      <c r="K34" s="161">
        <v>37701.582000000002</v>
      </c>
      <c r="L34" s="539"/>
      <c r="M34" s="595"/>
      <c r="O34" s="46"/>
      <c r="P34" s="46"/>
      <c r="Q34" s="46"/>
    </row>
    <row r="35" spans="1:19" ht="78" customHeight="1" x14ac:dyDescent="0.25">
      <c r="A35" s="426" t="s">
        <v>103</v>
      </c>
      <c r="B35" s="518" t="s">
        <v>289</v>
      </c>
      <c r="C35" s="458" t="s">
        <v>149</v>
      </c>
      <c r="D35" s="76" t="s">
        <v>5</v>
      </c>
      <c r="E35" s="77">
        <v>1000</v>
      </c>
      <c r="F35" s="78">
        <f t="shared" ref="F35:F36" si="8">SUM(G35:K35)</f>
        <v>3000</v>
      </c>
      <c r="G35" s="77">
        <f>2000</f>
        <v>2000</v>
      </c>
      <c r="H35" s="79">
        <v>1000</v>
      </c>
      <c r="I35" s="77">
        <v>0</v>
      </c>
      <c r="J35" s="77">
        <v>0</v>
      </c>
      <c r="K35" s="77">
        <v>0</v>
      </c>
      <c r="L35" s="441" t="s">
        <v>11</v>
      </c>
      <c r="M35" s="408" t="s">
        <v>223</v>
      </c>
      <c r="O35" s="46"/>
      <c r="P35" s="46"/>
      <c r="Q35" s="46"/>
    </row>
    <row r="36" spans="1:19" ht="76.5" customHeight="1" x14ac:dyDescent="0.25">
      <c r="A36" s="427"/>
      <c r="B36" s="519"/>
      <c r="C36" s="459"/>
      <c r="D36" s="76" t="s">
        <v>23</v>
      </c>
      <c r="E36" s="80">
        <f>262-162</f>
        <v>100</v>
      </c>
      <c r="F36" s="78">
        <f t="shared" si="8"/>
        <v>300</v>
      </c>
      <c r="G36" s="80">
        <v>200</v>
      </c>
      <c r="H36" s="81">
        <f>1300-1200</f>
        <v>100</v>
      </c>
      <c r="I36" s="80">
        <v>0</v>
      </c>
      <c r="J36" s="80">
        <v>0</v>
      </c>
      <c r="K36" s="80">
        <v>0</v>
      </c>
      <c r="L36" s="442"/>
      <c r="M36" s="409"/>
      <c r="N36" s="54"/>
    </row>
    <row r="37" spans="1:19" ht="127.5" customHeight="1" x14ac:dyDescent="0.25">
      <c r="A37" s="426" t="s">
        <v>104</v>
      </c>
      <c r="B37" s="518" t="s">
        <v>290</v>
      </c>
      <c r="C37" s="458" t="s">
        <v>149</v>
      </c>
      <c r="D37" s="76" t="s">
        <v>5</v>
      </c>
      <c r="E37" s="77">
        <v>0</v>
      </c>
      <c r="F37" s="78">
        <f t="shared" ref="F37:F38" si="9">SUM(G37:K37)</f>
        <v>0</v>
      </c>
      <c r="G37" s="77">
        <v>0</v>
      </c>
      <c r="H37" s="79">
        <v>0</v>
      </c>
      <c r="I37" s="77">
        <v>0</v>
      </c>
      <c r="J37" s="77">
        <v>0</v>
      </c>
      <c r="K37" s="77">
        <v>0</v>
      </c>
      <c r="L37" s="441" t="s">
        <v>11</v>
      </c>
      <c r="M37" s="408" t="s">
        <v>224</v>
      </c>
      <c r="O37" s="46"/>
      <c r="P37" s="46"/>
      <c r="Q37" s="46"/>
    </row>
    <row r="38" spans="1:19" ht="120.75" customHeight="1" x14ac:dyDescent="0.25">
      <c r="A38" s="427"/>
      <c r="B38" s="519"/>
      <c r="C38" s="459"/>
      <c r="D38" s="76" t="s">
        <v>23</v>
      </c>
      <c r="E38" s="80">
        <v>0</v>
      </c>
      <c r="F38" s="78">
        <f t="shared" si="9"/>
        <v>0</v>
      </c>
      <c r="G38" s="80">
        <v>0</v>
      </c>
      <c r="H38" s="81">
        <v>0</v>
      </c>
      <c r="I38" s="80">
        <v>0</v>
      </c>
      <c r="J38" s="80">
        <v>0</v>
      </c>
      <c r="K38" s="80">
        <v>0</v>
      </c>
      <c r="L38" s="442"/>
      <c r="M38" s="409"/>
      <c r="N38" s="54"/>
    </row>
    <row r="39" spans="1:19" ht="81" customHeight="1" x14ac:dyDescent="0.25">
      <c r="A39" s="426" t="s">
        <v>105</v>
      </c>
      <c r="B39" s="518" t="s">
        <v>291</v>
      </c>
      <c r="C39" s="458" t="s">
        <v>149</v>
      </c>
      <c r="D39" s="76" t="s">
        <v>5</v>
      </c>
      <c r="E39" s="77">
        <v>0</v>
      </c>
      <c r="F39" s="78">
        <f t="shared" ref="F39:F40" si="10">SUM(G39:K39)</f>
        <v>0</v>
      </c>
      <c r="G39" s="77">
        <v>0</v>
      </c>
      <c r="H39" s="79">
        <v>0</v>
      </c>
      <c r="I39" s="77">
        <v>0</v>
      </c>
      <c r="J39" s="77">
        <v>0</v>
      </c>
      <c r="K39" s="77">
        <v>0</v>
      </c>
      <c r="L39" s="441" t="s">
        <v>11</v>
      </c>
      <c r="M39" s="439" t="s">
        <v>156</v>
      </c>
      <c r="O39" s="46"/>
      <c r="P39" s="46"/>
      <c r="Q39" s="46"/>
    </row>
    <row r="40" spans="1:19" ht="91.5" customHeight="1" x14ac:dyDescent="0.25">
      <c r="A40" s="427"/>
      <c r="B40" s="519"/>
      <c r="C40" s="459"/>
      <c r="D40" s="76" t="s">
        <v>23</v>
      </c>
      <c r="E40" s="80">
        <v>0</v>
      </c>
      <c r="F40" s="78">
        <f t="shared" si="10"/>
        <v>0</v>
      </c>
      <c r="G40" s="80">
        <v>0</v>
      </c>
      <c r="H40" s="81">
        <v>0</v>
      </c>
      <c r="I40" s="80">
        <v>0</v>
      </c>
      <c r="J40" s="80">
        <v>0</v>
      </c>
      <c r="K40" s="80">
        <v>0</v>
      </c>
      <c r="L40" s="442"/>
      <c r="M40" s="440"/>
      <c r="N40" s="54"/>
    </row>
    <row r="41" spans="1:19" ht="81" customHeight="1" x14ac:dyDescent="0.25">
      <c r="A41" s="426" t="s">
        <v>106</v>
      </c>
      <c r="B41" s="518" t="s">
        <v>292</v>
      </c>
      <c r="C41" s="458" t="s">
        <v>149</v>
      </c>
      <c r="D41" s="76" t="s">
        <v>5</v>
      </c>
      <c r="E41" s="77">
        <v>1350</v>
      </c>
      <c r="F41" s="78">
        <f t="shared" ref="F41:F42" si="11">SUM(G41:K41)</f>
        <v>1680</v>
      </c>
      <c r="G41" s="77">
        <v>0</v>
      </c>
      <c r="H41" s="79">
        <v>1680</v>
      </c>
      <c r="I41" s="77">
        <v>0</v>
      </c>
      <c r="J41" s="77">
        <v>0</v>
      </c>
      <c r="K41" s="77">
        <v>0</v>
      </c>
      <c r="L41" s="441" t="s">
        <v>11</v>
      </c>
      <c r="M41" s="439" t="s">
        <v>297</v>
      </c>
      <c r="O41" s="46"/>
      <c r="P41" s="46"/>
      <c r="Q41" s="46"/>
    </row>
    <row r="42" spans="1:19" ht="84" customHeight="1" x14ac:dyDescent="0.25">
      <c r="A42" s="427"/>
      <c r="B42" s="519"/>
      <c r="C42" s="459"/>
      <c r="D42" s="76" t="s">
        <v>23</v>
      </c>
      <c r="E42" s="80">
        <v>2250</v>
      </c>
      <c r="F42" s="78">
        <f t="shared" si="11"/>
        <v>420</v>
      </c>
      <c r="G42" s="80">
        <f>2000-2000</f>
        <v>0</v>
      </c>
      <c r="H42" s="81">
        <v>420</v>
      </c>
      <c r="I42" s="80">
        <v>0</v>
      </c>
      <c r="J42" s="80">
        <v>0</v>
      </c>
      <c r="K42" s="80">
        <v>0</v>
      </c>
      <c r="L42" s="442"/>
      <c r="M42" s="440"/>
      <c r="N42" s="54"/>
    </row>
    <row r="43" spans="1:19" ht="51" customHeight="1" x14ac:dyDescent="0.25">
      <c r="A43" s="426" t="s">
        <v>107</v>
      </c>
      <c r="B43" s="437" t="s">
        <v>191</v>
      </c>
      <c r="C43" s="458" t="s">
        <v>149</v>
      </c>
      <c r="D43" s="76" t="s">
        <v>5</v>
      </c>
      <c r="E43" s="77">
        <v>965.8</v>
      </c>
      <c r="F43" s="78">
        <f t="shared" si="5"/>
        <v>0</v>
      </c>
      <c r="G43" s="77">
        <v>0</v>
      </c>
      <c r="H43" s="79">
        <v>0</v>
      </c>
      <c r="I43" s="77">
        <v>0</v>
      </c>
      <c r="J43" s="77">
        <v>0</v>
      </c>
      <c r="K43" s="77">
        <v>0</v>
      </c>
      <c r="L43" s="441" t="s">
        <v>11</v>
      </c>
      <c r="M43" s="439" t="s">
        <v>45</v>
      </c>
    </row>
    <row r="44" spans="1:19" ht="75" x14ac:dyDescent="0.3">
      <c r="A44" s="427"/>
      <c r="B44" s="438"/>
      <c r="C44" s="459"/>
      <c r="D44" s="76" t="s">
        <v>23</v>
      </c>
      <c r="E44" s="80">
        <v>6372.4089999999997</v>
      </c>
      <c r="F44" s="78">
        <f t="shared" si="5"/>
        <v>38702.366999999998</v>
      </c>
      <c r="G44" s="80">
        <f>7717.219-188.1+21.198</f>
        <v>7550.317</v>
      </c>
      <c r="H44" s="81">
        <f>7800.6-50.35</f>
        <v>7750.25</v>
      </c>
      <c r="I44" s="80">
        <v>7800.6</v>
      </c>
      <c r="J44" s="80">
        <v>7800.6</v>
      </c>
      <c r="K44" s="80">
        <v>7800.6</v>
      </c>
      <c r="L44" s="442"/>
      <c r="M44" s="440"/>
      <c r="N44" s="164"/>
    </row>
    <row r="45" spans="1:19" ht="299.25" customHeight="1" x14ac:dyDescent="0.25">
      <c r="A45" s="142" t="s">
        <v>108</v>
      </c>
      <c r="B45" s="165" t="s">
        <v>192</v>
      </c>
      <c r="C45" s="76" t="s">
        <v>149</v>
      </c>
      <c r="D45" s="76" t="s">
        <v>23</v>
      </c>
      <c r="E45" s="80">
        <v>33825.199999999997</v>
      </c>
      <c r="F45" s="78">
        <f t="shared" si="5"/>
        <v>9462.2000000000007</v>
      </c>
      <c r="G45" s="80">
        <v>6210.2</v>
      </c>
      <c r="H45" s="81">
        <v>3252</v>
      </c>
      <c r="I45" s="80">
        <v>0</v>
      </c>
      <c r="J45" s="80">
        <v>0</v>
      </c>
      <c r="K45" s="80">
        <v>0</v>
      </c>
      <c r="L45" s="89" t="s">
        <v>11</v>
      </c>
      <c r="M45" s="153" t="s">
        <v>129</v>
      </c>
    </row>
    <row r="46" spans="1:19" ht="67.5" customHeight="1" x14ac:dyDescent="0.25">
      <c r="A46" s="521" t="s">
        <v>109</v>
      </c>
      <c r="B46" s="451" t="s">
        <v>193</v>
      </c>
      <c r="C46" s="458" t="s">
        <v>149</v>
      </c>
      <c r="D46" s="76" t="s">
        <v>23</v>
      </c>
      <c r="E46" s="166">
        <f>2379.3+446.885+1263.765-1065</f>
        <v>3024.9500000000007</v>
      </c>
      <c r="F46" s="78">
        <f t="shared" si="5"/>
        <v>34626.519999999997</v>
      </c>
      <c r="G46" s="166">
        <v>0</v>
      </c>
      <c r="H46" s="167">
        <v>34626.519999999997</v>
      </c>
      <c r="I46" s="166">
        <v>0</v>
      </c>
      <c r="J46" s="166">
        <v>0</v>
      </c>
      <c r="K46" s="166">
        <v>0</v>
      </c>
      <c r="L46" s="525" t="s">
        <v>11</v>
      </c>
      <c r="M46" s="528" t="s">
        <v>73</v>
      </c>
      <c r="O46" s="54"/>
      <c r="P46" s="54"/>
      <c r="Q46" s="54"/>
      <c r="R46" s="54"/>
      <c r="S46" s="54"/>
    </row>
    <row r="47" spans="1:19" ht="93.75" x14ac:dyDescent="0.25">
      <c r="A47" s="522"/>
      <c r="B47" s="520"/>
      <c r="C47" s="524"/>
      <c r="D47" s="76" t="s">
        <v>315</v>
      </c>
      <c r="E47" s="166">
        <v>0</v>
      </c>
      <c r="F47" s="78">
        <f t="shared" si="5"/>
        <v>34626.519999999997</v>
      </c>
      <c r="G47" s="166">
        <v>0</v>
      </c>
      <c r="H47" s="167">
        <f>49.35+34558.47+18.7</f>
        <v>34626.519999999997</v>
      </c>
      <c r="I47" s="166">
        <v>0</v>
      </c>
      <c r="J47" s="166">
        <v>0</v>
      </c>
      <c r="K47" s="166">
        <v>0</v>
      </c>
      <c r="L47" s="526"/>
      <c r="M47" s="529"/>
      <c r="O47" s="54"/>
      <c r="P47" s="54"/>
      <c r="Q47" s="54"/>
      <c r="R47" s="54"/>
      <c r="S47" s="54"/>
    </row>
    <row r="48" spans="1:19" ht="122.25" customHeight="1" x14ac:dyDescent="0.25">
      <c r="A48" s="523"/>
      <c r="B48" s="452"/>
      <c r="C48" s="459"/>
      <c r="D48" s="76" t="s">
        <v>91</v>
      </c>
      <c r="E48" s="166">
        <v>0</v>
      </c>
      <c r="F48" s="78">
        <f t="shared" si="5"/>
        <v>1090</v>
      </c>
      <c r="G48" s="166">
        <v>0</v>
      </c>
      <c r="H48" s="167">
        <v>1090</v>
      </c>
      <c r="I48" s="166">
        <v>0</v>
      </c>
      <c r="J48" s="166">
        <v>0</v>
      </c>
      <c r="K48" s="166">
        <v>0</v>
      </c>
      <c r="L48" s="527"/>
      <c r="M48" s="530"/>
      <c r="O48" s="54"/>
      <c r="P48" s="54"/>
      <c r="Q48" s="54"/>
      <c r="R48" s="54"/>
      <c r="S48" s="54"/>
    </row>
    <row r="49" spans="1:21" ht="85.5" customHeight="1" x14ac:dyDescent="0.25">
      <c r="A49" s="521" t="s">
        <v>110</v>
      </c>
      <c r="B49" s="590" t="s">
        <v>194</v>
      </c>
      <c r="C49" s="458" t="s">
        <v>149</v>
      </c>
      <c r="D49" s="76" t="s">
        <v>23</v>
      </c>
      <c r="E49" s="168">
        <f>1049.824</f>
        <v>1049.8240000000001</v>
      </c>
      <c r="F49" s="78">
        <f t="shared" si="5"/>
        <v>2119.7779999999998</v>
      </c>
      <c r="G49" s="168">
        <v>2119.7779999999998</v>
      </c>
      <c r="H49" s="169">
        <v>0</v>
      </c>
      <c r="I49" s="168">
        <v>0</v>
      </c>
      <c r="J49" s="168">
        <v>0</v>
      </c>
      <c r="K49" s="168">
        <v>0</v>
      </c>
      <c r="L49" s="525" t="s">
        <v>143</v>
      </c>
      <c r="M49" s="528" t="s">
        <v>317</v>
      </c>
      <c r="N49" s="54"/>
      <c r="O49" s="55"/>
      <c r="P49" s="55"/>
      <c r="Q49" s="55"/>
      <c r="R49" s="55"/>
      <c r="S49" s="54"/>
      <c r="T49" s="54"/>
    </row>
    <row r="50" spans="1:21" ht="127.5" customHeight="1" x14ac:dyDescent="0.25">
      <c r="A50" s="523"/>
      <c r="B50" s="591"/>
      <c r="C50" s="459"/>
      <c r="D50" s="38" t="s">
        <v>91</v>
      </c>
      <c r="E50" s="44">
        <v>620.24599999999998</v>
      </c>
      <c r="F50" s="78">
        <f t="shared" si="5"/>
        <v>681.89699999999993</v>
      </c>
      <c r="G50" s="44">
        <f>984.391-302.494</f>
        <v>681.89699999999993</v>
      </c>
      <c r="H50" s="45">
        <v>0</v>
      </c>
      <c r="I50" s="44">
        <v>0</v>
      </c>
      <c r="J50" s="44">
        <v>0</v>
      </c>
      <c r="K50" s="44">
        <v>0</v>
      </c>
      <c r="L50" s="527"/>
      <c r="M50" s="530"/>
      <c r="N50" s="54"/>
    </row>
    <row r="51" spans="1:21" ht="37.5" customHeight="1" x14ac:dyDescent="0.25">
      <c r="A51" s="417" t="s">
        <v>117</v>
      </c>
      <c r="B51" s="434" t="s">
        <v>195</v>
      </c>
      <c r="C51" s="398" t="s">
        <v>149</v>
      </c>
      <c r="D51" s="38" t="s">
        <v>5</v>
      </c>
      <c r="E51" s="44">
        <v>0</v>
      </c>
      <c r="F51" s="78">
        <f>SUM(G51:K51)</f>
        <v>141983.43049</v>
      </c>
      <c r="G51" s="44">
        <f>G55+G58</f>
        <v>10954.141</v>
      </c>
      <c r="H51" s="45">
        <f t="shared" ref="H51:K51" si="12">H55+H58</f>
        <v>131029.28949</v>
      </c>
      <c r="I51" s="44">
        <f t="shared" si="12"/>
        <v>0</v>
      </c>
      <c r="J51" s="44">
        <f t="shared" si="12"/>
        <v>0</v>
      </c>
      <c r="K51" s="44">
        <f t="shared" si="12"/>
        <v>0</v>
      </c>
      <c r="L51" s="525" t="s">
        <v>143</v>
      </c>
      <c r="M51" s="408" t="s">
        <v>314</v>
      </c>
      <c r="N51" s="54"/>
    </row>
    <row r="52" spans="1:21" ht="54" customHeight="1" x14ac:dyDescent="0.25">
      <c r="A52" s="418"/>
      <c r="B52" s="435"/>
      <c r="C52" s="450"/>
      <c r="D52" s="38" t="s">
        <v>12</v>
      </c>
      <c r="E52" s="39">
        <v>0</v>
      </c>
      <c r="F52" s="78">
        <f t="shared" si="5"/>
        <v>51267.6</v>
      </c>
      <c r="G52" s="39">
        <f>G56+G59</f>
        <v>8640</v>
      </c>
      <c r="H52" s="41">
        <f t="shared" ref="H52:K53" si="13">H56+H59</f>
        <v>42627.6</v>
      </c>
      <c r="I52" s="39">
        <f t="shared" si="13"/>
        <v>0</v>
      </c>
      <c r="J52" s="39">
        <f t="shared" si="13"/>
        <v>0</v>
      </c>
      <c r="K52" s="39">
        <f t="shared" si="13"/>
        <v>0</v>
      </c>
      <c r="L52" s="526"/>
      <c r="M52" s="416"/>
      <c r="N52" s="54"/>
      <c r="O52" s="55"/>
      <c r="P52" s="55"/>
      <c r="Q52" s="55"/>
      <c r="R52" s="55"/>
      <c r="S52" s="55"/>
      <c r="T52" s="55"/>
    </row>
    <row r="53" spans="1:21" ht="93.75" x14ac:dyDescent="0.25">
      <c r="A53" s="418"/>
      <c r="B53" s="435"/>
      <c r="C53" s="450"/>
      <c r="D53" s="170" t="s">
        <v>315</v>
      </c>
      <c r="E53" s="39">
        <v>0</v>
      </c>
      <c r="F53" s="78">
        <f t="shared" si="5"/>
        <v>42627.6</v>
      </c>
      <c r="G53" s="39">
        <v>0</v>
      </c>
      <c r="H53" s="41">
        <f t="shared" si="13"/>
        <v>42627.6</v>
      </c>
      <c r="I53" s="39">
        <v>0</v>
      </c>
      <c r="J53" s="39">
        <v>0</v>
      </c>
      <c r="K53" s="39">
        <v>0</v>
      </c>
      <c r="L53" s="526"/>
      <c r="M53" s="416"/>
      <c r="N53" s="54"/>
      <c r="O53" s="55"/>
      <c r="P53" s="55"/>
      <c r="Q53" s="55"/>
      <c r="R53" s="55"/>
      <c r="S53" s="55"/>
      <c r="T53" s="55"/>
    </row>
    <row r="54" spans="1:21" ht="118.5" customHeight="1" x14ac:dyDescent="0.25">
      <c r="A54" s="418"/>
      <c r="B54" s="436"/>
      <c r="C54" s="399"/>
      <c r="D54" s="170" t="s">
        <v>91</v>
      </c>
      <c r="E54" s="39">
        <v>0</v>
      </c>
      <c r="F54" s="78">
        <f t="shared" si="5"/>
        <v>0</v>
      </c>
      <c r="G54" s="39">
        <v>0</v>
      </c>
      <c r="H54" s="41">
        <f>20000-20000</f>
        <v>0</v>
      </c>
      <c r="I54" s="39">
        <v>0</v>
      </c>
      <c r="J54" s="39">
        <f>20000-20000</f>
        <v>0</v>
      </c>
      <c r="K54" s="39">
        <v>0</v>
      </c>
      <c r="L54" s="526"/>
      <c r="M54" s="416"/>
      <c r="N54" s="54"/>
      <c r="O54" s="55"/>
      <c r="P54" s="55"/>
      <c r="Q54" s="55"/>
      <c r="R54" s="55"/>
      <c r="S54" s="55"/>
      <c r="T54" s="55"/>
      <c r="U54" s="55"/>
    </row>
    <row r="55" spans="1:21" ht="37.5" customHeight="1" x14ac:dyDescent="0.25">
      <c r="A55" s="418"/>
      <c r="B55" s="434" t="s">
        <v>307</v>
      </c>
      <c r="C55" s="398" t="s">
        <v>257</v>
      </c>
      <c r="D55" s="170" t="s">
        <v>5</v>
      </c>
      <c r="E55" s="39">
        <v>0</v>
      </c>
      <c r="F55" s="78">
        <f t="shared" si="5"/>
        <v>69996.030490000005</v>
      </c>
      <c r="G55" s="39">
        <v>10954.141</v>
      </c>
      <c r="H55" s="41">
        <f>50000+3018.88949+6023</f>
        <v>59041.889490000001</v>
      </c>
      <c r="I55" s="39">
        <v>0</v>
      </c>
      <c r="J55" s="39">
        <v>0</v>
      </c>
      <c r="K55" s="39">
        <v>0</v>
      </c>
      <c r="L55" s="526"/>
      <c r="M55" s="416"/>
      <c r="N55" s="54"/>
      <c r="O55" s="55"/>
      <c r="P55" s="55"/>
      <c r="Q55" s="55"/>
      <c r="R55" s="55"/>
      <c r="S55" s="55"/>
      <c r="T55" s="55"/>
      <c r="U55" s="55"/>
    </row>
    <row r="56" spans="1:21" ht="57.75" customHeight="1" x14ac:dyDescent="0.25">
      <c r="A56" s="418"/>
      <c r="B56" s="435"/>
      <c r="C56" s="450"/>
      <c r="D56" s="170" t="s">
        <v>12</v>
      </c>
      <c r="E56" s="39">
        <v>0</v>
      </c>
      <c r="F56" s="78">
        <f t="shared" si="5"/>
        <v>43269</v>
      </c>
      <c r="G56" s="39">
        <f>12363-3723</f>
        <v>8640</v>
      </c>
      <c r="H56" s="41">
        <f>30906+3723</f>
        <v>34629</v>
      </c>
      <c r="I56" s="39">
        <v>0</v>
      </c>
      <c r="J56" s="39">
        <v>0</v>
      </c>
      <c r="K56" s="39">
        <v>0</v>
      </c>
      <c r="L56" s="526"/>
      <c r="M56" s="416"/>
      <c r="O56" s="55"/>
      <c r="P56" s="55"/>
      <c r="Q56" s="55"/>
      <c r="R56" s="55"/>
      <c r="S56" s="55"/>
      <c r="T56" s="55"/>
      <c r="U56" s="55"/>
    </row>
    <row r="57" spans="1:21" ht="96" customHeight="1" x14ac:dyDescent="0.25">
      <c r="A57" s="418"/>
      <c r="B57" s="436"/>
      <c r="C57" s="399"/>
      <c r="D57" s="170" t="s">
        <v>315</v>
      </c>
      <c r="E57" s="39">
        <v>0</v>
      </c>
      <c r="F57" s="78">
        <f t="shared" si="5"/>
        <v>34629</v>
      </c>
      <c r="G57" s="39">
        <v>0</v>
      </c>
      <c r="H57" s="41">
        <f>30906+3723</f>
        <v>34629</v>
      </c>
      <c r="I57" s="39">
        <v>0</v>
      </c>
      <c r="J57" s="39">
        <v>0</v>
      </c>
      <c r="K57" s="39">
        <v>0</v>
      </c>
      <c r="L57" s="526"/>
      <c r="M57" s="416"/>
      <c r="N57" s="54"/>
      <c r="O57" s="55"/>
      <c r="P57" s="55"/>
      <c r="Q57" s="55"/>
      <c r="R57" s="55"/>
      <c r="S57" s="55"/>
      <c r="T57" s="55"/>
      <c r="U57" s="55"/>
    </row>
    <row r="58" spans="1:21" ht="37.5" x14ac:dyDescent="0.25">
      <c r="A58" s="418"/>
      <c r="B58" s="434" t="s">
        <v>308</v>
      </c>
      <c r="C58" s="398" t="s">
        <v>47</v>
      </c>
      <c r="D58" s="170" t="s">
        <v>5</v>
      </c>
      <c r="E58" s="39">
        <v>0</v>
      </c>
      <c r="F58" s="78">
        <f t="shared" si="5"/>
        <v>71987.399999999994</v>
      </c>
      <c r="G58" s="39">
        <v>0</v>
      </c>
      <c r="H58" s="41">
        <v>71987.399999999994</v>
      </c>
      <c r="I58" s="39">
        <v>0</v>
      </c>
      <c r="J58" s="39">
        <v>0</v>
      </c>
      <c r="K58" s="39">
        <v>0</v>
      </c>
      <c r="L58" s="526"/>
      <c r="M58" s="416"/>
      <c r="N58" s="54"/>
      <c r="O58" s="55"/>
      <c r="P58" s="55"/>
      <c r="Q58" s="55"/>
      <c r="R58" s="55"/>
      <c r="S58" s="55"/>
      <c r="T58" s="55"/>
      <c r="U58" s="55"/>
    </row>
    <row r="59" spans="1:21" ht="60" customHeight="1" x14ac:dyDescent="0.25">
      <c r="A59" s="418"/>
      <c r="B59" s="435"/>
      <c r="C59" s="450"/>
      <c r="D59" s="170" t="s">
        <v>12</v>
      </c>
      <c r="E59" s="39">
        <v>0</v>
      </c>
      <c r="F59" s="78">
        <f t="shared" si="5"/>
        <v>7998.6</v>
      </c>
      <c r="G59" s="39">
        <v>0</v>
      </c>
      <c r="H59" s="41">
        <v>7998.6</v>
      </c>
      <c r="I59" s="39">
        <v>0</v>
      </c>
      <c r="J59" s="39">
        <v>0</v>
      </c>
      <c r="K59" s="39">
        <v>0</v>
      </c>
      <c r="L59" s="526"/>
      <c r="M59" s="416"/>
      <c r="N59" s="54"/>
      <c r="O59" s="55"/>
      <c r="P59" s="55"/>
      <c r="Q59" s="55"/>
      <c r="R59" s="55"/>
      <c r="S59" s="55"/>
      <c r="T59" s="55"/>
      <c r="U59" s="55"/>
    </row>
    <row r="60" spans="1:21" ht="99.75" customHeight="1" x14ac:dyDescent="0.25">
      <c r="A60" s="419"/>
      <c r="B60" s="436"/>
      <c r="C60" s="399"/>
      <c r="D60" s="170" t="s">
        <v>315</v>
      </c>
      <c r="E60" s="39">
        <v>0</v>
      </c>
      <c r="F60" s="78">
        <f t="shared" si="5"/>
        <v>7998.6</v>
      </c>
      <c r="G60" s="39">
        <v>0</v>
      </c>
      <c r="H60" s="41">
        <v>7998.6</v>
      </c>
      <c r="I60" s="39">
        <v>0</v>
      </c>
      <c r="J60" s="39">
        <v>0</v>
      </c>
      <c r="K60" s="39">
        <v>0</v>
      </c>
      <c r="L60" s="527"/>
      <c r="M60" s="409"/>
      <c r="N60" s="54"/>
      <c r="O60" s="55"/>
      <c r="P60" s="55"/>
      <c r="Q60" s="55"/>
      <c r="R60" s="55"/>
      <c r="S60" s="55"/>
      <c r="T60" s="55"/>
      <c r="U60" s="55"/>
    </row>
    <row r="61" spans="1:21" ht="279" customHeight="1" x14ac:dyDescent="0.25">
      <c r="A61" s="51" t="s">
        <v>118</v>
      </c>
      <c r="B61" s="68" t="s">
        <v>196</v>
      </c>
      <c r="C61" s="43" t="s">
        <v>149</v>
      </c>
      <c r="D61" s="73" t="s">
        <v>5</v>
      </c>
      <c r="E61" s="44">
        <f>11505+70</f>
        <v>11575</v>
      </c>
      <c r="F61" s="78">
        <f t="shared" si="5"/>
        <v>17613</v>
      </c>
      <c r="G61" s="44">
        <f>500+500+450+1000+500+2100+1000+1500+1000+500+300+119+494+500+500</f>
        <v>10963</v>
      </c>
      <c r="H61" s="45">
        <f>500+250+500+500+350+2200+1000+500+299+385+166</f>
        <v>6650</v>
      </c>
      <c r="I61" s="44">
        <v>0</v>
      </c>
      <c r="J61" s="44">
        <v>0</v>
      </c>
      <c r="K61" s="44">
        <v>0</v>
      </c>
      <c r="L61" s="69" t="s">
        <v>8</v>
      </c>
      <c r="M61" s="53" t="s">
        <v>282</v>
      </c>
      <c r="N61" s="46"/>
      <c r="O61" s="54"/>
      <c r="P61" s="54"/>
      <c r="Q61" s="54"/>
      <c r="R61" s="54"/>
      <c r="S61" s="54"/>
      <c r="T61" s="54"/>
      <c r="U61" s="54"/>
    </row>
    <row r="62" spans="1:21" ht="107.25" customHeight="1" x14ac:dyDescent="0.25">
      <c r="A62" s="171" t="s">
        <v>119</v>
      </c>
      <c r="B62" s="172" t="s">
        <v>197</v>
      </c>
      <c r="C62" s="76" t="s">
        <v>149</v>
      </c>
      <c r="D62" s="173" t="s">
        <v>5</v>
      </c>
      <c r="E62" s="174">
        <v>11985</v>
      </c>
      <c r="F62" s="175">
        <f>SUM(G62:K62)</f>
        <v>51118</v>
      </c>
      <c r="G62" s="174">
        <v>14104</v>
      </c>
      <c r="H62" s="176">
        <v>12338</v>
      </c>
      <c r="I62" s="174">
        <v>12338</v>
      </c>
      <c r="J62" s="174">
        <v>12338</v>
      </c>
      <c r="K62" s="174">
        <v>0</v>
      </c>
      <c r="L62" s="85" t="s">
        <v>55</v>
      </c>
      <c r="M62" s="177" t="s">
        <v>54</v>
      </c>
    </row>
    <row r="63" spans="1:21" ht="42.75" customHeight="1" x14ac:dyDescent="0.25">
      <c r="A63" s="600" t="s">
        <v>120</v>
      </c>
      <c r="B63" s="603" t="s">
        <v>198</v>
      </c>
      <c r="C63" s="596" t="s">
        <v>149</v>
      </c>
      <c r="D63" s="173" t="s">
        <v>5</v>
      </c>
      <c r="E63" s="174">
        <v>0</v>
      </c>
      <c r="F63" s="175">
        <f t="shared" ref="F63:F64" si="14">SUM(G63:K63)</f>
        <v>0</v>
      </c>
      <c r="G63" s="174">
        <v>0</v>
      </c>
      <c r="H63" s="176">
        <v>0</v>
      </c>
      <c r="I63" s="174">
        <v>0</v>
      </c>
      <c r="J63" s="174">
        <v>0</v>
      </c>
      <c r="K63" s="174">
        <v>0</v>
      </c>
      <c r="L63" s="441" t="s">
        <v>11</v>
      </c>
      <c r="M63" s="496" t="s">
        <v>225</v>
      </c>
    </row>
    <row r="64" spans="1:21" ht="59.25" customHeight="1" x14ac:dyDescent="0.25">
      <c r="A64" s="601"/>
      <c r="B64" s="604"/>
      <c r="C64" s="597"/>
      <c r="D64" s="173" t="s">
        <v>12</v>
      </c>
      <c r="E64" s="174">
        <v>1200</v>
      </c>
      <c r="F64" s="175">
        <f t="shared" si="14"/>
        <v>0</v>
      </c>
      <c r="G64" s="174">
        <v>0</v>
      </c>
      <c r="H64" s="176">
        <v>0</v>
      </c>
      <c r="I64" s="174">
        <v>0</v>
      </c>
      <c r="J64" s="174">
        <v>0</v>
      </c>
      <c r="K64" s="174">
        <v>0</v>
      </c>
      <c r="L64" s="442"/>
      <c r="M64" s="498"/>
    </row>
    <row r="65" spans="1:13" ht="120.75" customHeight="1" x14ac:dyDescent="0.25">
      <c r="A65" s="171" t="s">
        <v>121</v>
      </c>
      <c r="B65" s="172" t="s">
        <v>199</v>
      </c>
      <c r="C65" s="178" t="s">
        <v>166</v>
      </c>
      <c r="D65" s="173" t="s">
        <v>12</v>
      </c>
      <c r="E65" s="174">
        <v>1600</v>
      </c>
      <c r="F65" s="175">
        <f t="shared" ref="F65" si="15">SUM(G65:K65)</f>
        <v>1312.5</v>
      </c>
      <c r="G65" s="174">
        <v>812.5</v>
      </c>
      <c r="H65" s="176">
        <v>500</v>
      </c>
      <c r="I65" s="174">
        <v>0</v>
      </c>
      <c r="J65" s="174">
        <v>0</v>
      </c>
      <c r="K65" s="174">
        <v>0</v>
      </c>
      <c r="L65" s="85" t="s">
        <v>11</v>
      </c>
      <c r="M65" s="177" t="s">
        <v>226</v>
      </c>
    </row>
    <row r="66" spans="1:13" ht="131.25" x14ac:dyDescent="0.25">
      <c r="A66" s="171" t="s">
        <v>122</v>
      </c>
      <c r="B66" s="179" t="s">
        <v>200</v>
      </c>
      <c r="C66" s="178" t="s">
        <v>149</v>
      </c>
      <c r="D66" s="173" t="s">
        <v>12</v>
      </c>
      <c r="E66" s="174">
        <v>39858.9</v>
      </c>
      <c r="F66" s="175">
        <f t="shared" ref="F66:F67" si="16">SUM(G66:K66)</f>
        <v>260796.47999999998</v>
      </c>
      <c r="G66" s="174">
        <v>48299.896000000001</v>
      </c>
      <c r="H66" s="176">
        <f>53310.742-746.384</f>
        <v>52564.358</v>
      </c>
      <c r="I66" s="174">
        <v>53310.741999999998</v>
      </c>
      <c r="J66" s="174">
        <v>53310.741999999998</v>
      </c>
      <c r="K66" s="174">
        <v>53310.741999999998</v>
      </c>
      <c r="L66" s="85" t="s">
        <v>11</v>
      </c>
      <c r="M66" s="177" t="s">
        <v>228</v>
      </c>
    </row>
    <row r="67" spans="1:13" ht="37.5" x14ac:dyDescent="0.25">
      <c r="A67" s="600" t="s">
        <v>123</v>
      </c>
      <c r="B67" s="603" t="s">
        <v>293</v>
      </c>
      <c r="C67" s="596" t="s">
        <v>149</v>
      </c>
      <c r="D67" s="173" t="s">
        <v>5</v>
      </c>
      <c r="E67" s="174">
        <v>3596</v>
      </c>
      <c r="F67" s="175">
        <f t="shared" si="16"/>
        <v>55344</v>
      </c>
      <c r="G67" s="174">
        <f>33334+38</f>
        <v>33372</v>
      </c>
      <c r="H67" s="176">
        <v>21972</v>
      </c>
      <c r="I67" s="80">
        <v>0</v>
      </c>
      <c r="J67" s="80">
        <v>0</v>
      </c>
      <c r="K67" s="80">
        <v>0</v>
      </c>
      <c r="L67" s="441" t="s">
        <v>11</v>
      </c>
      <c r="M67" s="496" t="s">
        <v>320</v>
      </c>
    </row>
    <row r="68" spans="1:13" ht="83.25" customHeight="1" x14ac:dyDescent="0.25">
      <c r="A68" s="606"/>
      <c r="B68" s="607"/>
      <c r="C68" s="608"/>
      <c r="D68" s="173" t="s">
        <v>12</v>
      </c>
      <c r="E68" s="174">
        <v>0</v>
      </c>
      <c r="F68" s="175">
        <f t="shared" ref="F68:F72" si="17">SUM(G68:K68)</f>
        <v>39344</v>
      </c>
      <c r="G68" s="174">
        <f>1438+19166+24</f>
        <v>20628</v>
      </c>
      <c r="H68" s="176">
        <v>18716</v>
      </c>
      <c r="I68" s="80">
        <v>0</v>
      </c>
      <c r="J68" s="80">
        <v>0</v>
      </c>
      <c r="K68" s="80">
        <v>0</v>
      </c>
      <c r="L68" s="609"/>
      <c r="M68" s="497"/>
    </row>
    <row r="69" spans="1:13" ht="103.5" customHeight="1" x14ac:dyDescent="0.25">
      <c r="A69" s="601"/>
      <c r="B69" s="604"/>
      <c r="C69" s="597"/>
      <c r="D69" s="173" t="s">
        <v>315</v>
      </c>
      <c r="E69" s="174">
        <v>0</v>
      </c>
      <c r="F69" s="175">
        <f t="shared" si="17"/>
        <v>18716</v>
      </c>
      <c r="G69" s="174">
        <v>0</v>
      </c>
      <c r="H69" s="176">
        <v>18716</v>
      </c>
      <c r="I69" s="80">
        <v>0</v>
      </c>
      <c r="J69" s="80">
        <v>0</v>
      </c>
      <c r="K69" s="80">
        <v>0</v>
      </c>
      <c r="L69" s="442"/>
      <c r="M69" s="498"/>
    </row>
    <row r="70" spans="1:13" ht="174.75" hidden="1" customHeight="1" x14ac:dyDescent="0.25">
      <c r="A70" s="180" t="s">
        <v>269</v>
      </c>
      <c r="B70" s="181" t="s">
        <v>271</v>
      </c>
      <c r="C70" s="182" t="s">
        <v>149</v>
      </c>
      <c r="D70" s="173" t="s">
        <v>12</v>
      </c>
      <c r="E70" s="174">
        <v>0</v>
      </c>
      <c r="F70" s="175">
        <f t="shared" si="17"/>
        <v>0</v>
      </c>
      <c r="G70" s="174">
        <f>24000-24000</f>
        <v>0</v>
      </c>
      <c r="H70" s="176">
        <f>72000-72000</f>
        <v>0</v>
      </c>
      <c r="I70" s="80">
        <f>72000-72000</f>
        <v>0</v>
      </c>
      <c r="J70" s="80">
        <v>0</v>
      </c>
      <c r="K70" s="80">
        <v>0</v>
      </c>
      <c r="L70" s="151" t="s">
        <v>270</v>
      </c>
      <c r="M70" s="183" t="s">
        <v>275</v>
      </c>
    </row>
    <row r="71" spans="1:13" ht="128.25" customHeight="1" x14ac:dyDescent="0.25">
      <c r="A71" s="180" t="s">
        <v>272</v>
      </c>
      <c r="B71" s="181" t="s">
        <v>273</v>
      </c>
      <c r="C71" s="182" t="s">
        <v>149</v>
      </c>
      <c r="D71" s="170" t="s">
        <v>91</v>
      </c>
      <c r="E71" s="174">
        <v>0</v>
      </c>
      <c r="F71" s="175">
        <f t="shared" si="17"/>
        <v>918.2</v>
      </c>
      <c r="G71" s="174">
        <v>400</v>
      </c>
      <c r="H71" s="176">
        <v>518.20000000000005</v>
      </c>
      <c r="I71" s="80">
        <v>0</v>
      </c>
      <c r="J71" s="80">
        <v>0</v>
      </c>
      <c r="K71" s="80">
        <v>0</v>
      </c>
      <c r="L71" s="151" t="s">
        <v>11</v>
      </c>
      <c r="M71" s="183" t="s">
        <v>274</v>
      </c>
    </row>
    <row r="72" spans="1:13" ht="122.25" customHeight="1" x14ac:dyDescent="0.25">
      <c r="A72" s="180" t="s">
        <v>309</v>
      </c>
      <c r="B72" s="181" t="s">
        <v>310</v>
      </c>
      <c r="C72" s="182" t="s">
        <v>149</v>
      </c>
      <c r="D72" s="170" t="s">
        <v>12</v>
      </c>
      <c r="E72" s="174">
        <v>0</v>
      </c>
      <c r="F72" s="175">
        <f t="shared" si="17"/>
        <v>492480</v>
      </c>
      <c r="G72" s="174">
        <v>0</v>
      </c>
      <c r="H72" s="176">
        <v>123120</v>
      </c>
      <c r="I72" s="80">
        <v>123120</v>
      </c>
      <c r="J72" s="80">
        <v>123120</v>
      </c>
      <c r="K72" s="80">
        <v>123120</v>
      </c>
      <c r="L72" s="151" t="s">
        <v>11</v>
      </c>
      <c r="M72" s="183" t="s">
        <v>311</v>
      </c>
    </row>
    <row r="73" spans="1:13" ht="114.75" customHeight="1" x14ac:dyDescent="0.25">
      <c r="A73" s="184"/>
      <c r="B73" s="185" t="s">
        <v>201</v>
      </c>
      <c r="C73" s="186" t="s">
        <v>149</v>
      </c>
      <c r="D73" s="187" t="s">
        <v>9</v>
      </c>
      <c r="E73" s="188">
        <f>E74+E75</f>
        <v>47826.100000000006</v>
      </c>
      <c r="F73" s="189">
        <f>SUM(G73:K73)</f>
        <v>193212.25099999999</v>
      </c>
      <c r="G73" s="188">
        <f>G74+G75</f>
        <v>33265.050999999999</v>
      </c>
      <c r="H73" s="190">
        <f t="shared" ref="H73:K73" si="18">H74+H75</f>
        <v>39986.800000000003</v>
      </c>
      <c r="I73" s="188">
        <f t="shared" si="18"/>
        <v>39986.800000000003</v>
      </c>
      <c r="J73" s="188">
        <f>J74+J75</f>
        <v>39986.800000000003</v>
      </c>
      <c r="K73" s="188">
        <f t="shared" si="18"/>
        <v>39986.800000000003</v>
      </c>
      <c r="L73" s="188"/>
      <c r="M73" s="191"/>
    </row>
    <row r="74" spans="1:13" ht="110.25" customHeight="1" x14ac:dyDescent="0.25">
      <c r="A74" s="192" t="s">
        <v>111</v>
      </c>
      <c r="B74" s="193" t="s">
        <v>243</v>
      </c>
      <c r="C74" s="615" t="s">
        <v>149</v>
      </c>
      <c r="D74" s="178" t="s">
        <v>32</v>
      </c>
      <c r="E74" s="194">
        <v>22530.2</v>
      </c>
      <c r="F74" s="195">
        <f>SUM(G74:K74)</f>
        <v>97228.817999999999</v>
      </c>
      <c r="G74" s="194">
        <f>15209.551-101.533</f>
        <v>15108.018</v>
      </c>
      <c r="H74" s="196">
        <v>20530.2</v>
      </c>
      <c r="I74" s="194">
        <v>20530.2</v>
      </c>
      <c r="J74" s="194">
        <v>20530.2</v>
      </c>
      <c r="K74" s="194">
        <v>20530.2</v>
      </c>
      <c r="L74" s="610" t="s">
        <v>11</v>
      </c>
      <c r="M74" s="598" t="s">
        <v>88</v>
      </c>
    </row>
    <row r="75" spans="1:13" ht="105.75" customHeight="1" x14ac:dyDescent="0.25">
      <c r="A75" s="197" t="s">
        <v>112</v>
      </c>
      <c r="B75" s="198" t="s">
        <v>244</v>
      </c>
      <c r="C75" s="616"/>
      <c r="D75" s="182" t="s">
        <v>32</v>
      </c>
      <c r="E75" s="199">
        <v>25295.9</v>
      </c>
      <c r="F75" s="200">
        <f>SUM(G75:K75)</f>
        <v>95983.43299999999</v>
      </c>
      <c r="G75" s="199">
        <f>18055.5+101.533</f>
        <v>18157.032999999999</v>
      </c>
      <c r="H75" s="201">
        <v>19456.599999999999</v>
      </c>
      <c r="I75" s="199">
        <v>19456.599999999999</v>
      </c>
      <c r="J75" s="199">
        <v>19456.599999999999</v>
      </c>
      <c r="K75" s="199">
        <v>19456.599999999999</v>
      </c>
      <c r="L75" s="611"/>
      <c r="M75" s="599"/>
    </row>
    <row r="76" spans="1:13" ht="21" customHeight="1" x14ac:dyDescent="0.25">
      <c r="A76" s="540"/>
      <c r="B76" s="534" t="s">
        <v>283</v>
      </c>
      <c r="C76" s="447" t="s">
        <v>149</v>
      </c>
      <c r="D76" s="202" t="s">
        <v>10</v>
      </c>
      <c r="E76" s="203">
        <f>SUM(E78:E80)</f>
        <v>586169.13899999997</v>
      </c>
      <c r="F76" s="96">
        <f>SUM(F77:F80)</f>
        <v>1548700.4939999999</v>
      </c>
      <c r="G76" s="204">
        <f>SUM(G77:G80)</f>
        <v>1441128.4639999999</v>
      </c>
      <c r="H76" s="205">
        <f t="shared" ref="H76:K76" si="19">SUM(H77:H80)</f>
        <v>107572.03</v>
      </c>
      <c r="I76" s="204">
        <f t="shared" si="19"/>
        <v>0</v>
      </c>
      <c r="J76" s="204">
        <f t="shared" si="19"/>
        <v>0</v>
      </c>
      <c r="K76" s="204">
        <f t="shared" si="19"/>
        <v>0</v>
      </c>
      <c r="L76" s="534"/>
      <c r="M76" s="612"/>
    </row>
    <row r="77" spans="1:13" ht="37.5" x14ac:dyDescent="0.25">
      <c r="A77" s="541"/>
      <c r="B77" s="535"/>
      <c r="C77" s="448"/>
      <c r="D77" s="202" t="s">
        <v>5</v>
      </c>
      <c r="E77" s="203">
        <f>E98</f>
        <v>0</v>
      </c>
      <c r="F77" s="96">
        <f>SUM(G77:K77)</f>
        <v>61808.92</v>
      </c>
      <c r="G77" s="206">
        <f>G98+G89</f>
        <v>0</v>
      </c>
      <c r="H77" s="97">
        <f>H98+H89</f>
        <v>61808.92</v>
      </c>
      <c r="I77" s="204" t="str">
        <f t="shared" ref="I77:K77" si="20">I98</f>
        <v xml:space="preserve"> -</v>
      </c>
      <c r="J77" s="204" t="str">
        <f t="shared" si="20"/>
        <v xml:space="preserve"> -</v>
      </c>
      <c r="K77" s="204" t="str">
        <f t="shared" si="20"/>
        <v xml:space="preserve"> -</v>
      </c>
      <c r="L77" s="535"/>
      <c r="M77" s="613"/>
    </row>
    <row r="78" spans="1:13" ht="58.5" customHeight="1" x14ac:dyDescent="0.25">
      <c r="A78" s="542"/>
      <c r="B78" s="535"/>
      <c r="C78" s="448"/>
      <c r="D78" s="202" t="s">
        <v>12</v>
      </c>
      <c r="E78" s="207">
        <f>E81+E83+E85+E87+E90</f>
        <v>234260.20600000001</v>
      </c>
      <c r="F78" s="96">
        <f>SUM(G78:K78)</f>
        <v>1458801.361</v>
      </c>
      <c r="G78" s="207">
        <f>G81+G83+G85+G87+G90+G99</f>
        <v>1422940.2509999999</v>
      </c>
      <c r="H78" s="97">
        <f>H81+H90+H99</f>
        <v>35861.11</v>
      </c>
      <c r="I78" s="207">
        <f>I81+I90</f>
        <v>0</v>
      </c>
      <c r="J78" s="207">
        <f>J81+J90</f>
        <v>0</v>
      </c>
      <c r="K78" s="207">
        <f>K81</f>
        <v>0</v>
      </c>
      <c r="L78" s="535"/>
      <c r="M78" s="613"/>
    </row>
    <row r="79" spans="1:13" ht="117" customHeight="1" x14ac:dyDescent="0.25">
      <c r="A79" s="542"/>
      <c r="B79" s="535"/>
      <c r="C79" s="448"/>
      <c r="D79" s="202" t="s">
        <v>91</v>
      </c>
      <c r="E79" s="207">
        <f>E82+E84+E86+E88+E92</f>
        <v>351908.93300000002</v>
      </c>
      <c r="F79" s="96">
        <f>SUM(G79:K79)</f>
        <v>28090.213</v>
      </c>
      <c r="G79" s="207">
        <f>G82+G84+G86+G88+G92</f>
        <v>18188.213</v>
      </c>
      <c r="H79" s="97">
        <f>H82+H86+H92</f>
        <v>9902</v>
      </c>
      <c r="I79" s="207">
        <f>I82+I86</f>
        <v>0</v>
      </c>
      <c r="J79" s="207">
        <f t="shared" ref="J79:K79" si="21">J82</f>
        <v>0</v>
      </c>
      <c r="K79" s="207">
        <f t="shared" si="21"/>
        <v>0</v>
      </c>
      <c r="L79" s="535"/>
      <c r="M79" s="613"/>
    </row>
    <row r="80" spans="1:13" ht="18.75" x14ac:dyDescent="0.25">
      <c r="A80" s="543"/>
      <c r="B80" s="536"/>
      <c r="C80" s="449"/>
      <c r="D80" s="202" t="s">
        <v>4</v>
      </c>
      <c r="E80" s="207">
        <f>E94+E95+E96+E97</f>
        <v>0</v>
      </c>
      <c r="F80" s="96">
        <f t="shared" ref="F80" si="22">SUM(G80:K80)</f>
        <v>0</v>
      </c>
      <c r="G80" s="207">
        <f>G93+G94+G95</f>
        <v>0</v>
      </c>
      <c r="H80" s="97">
        <v>0</v>
      </c>
      <c r="I80" s="207">
        <v>0</v>
      </c>
      <c r="J80" s="207">
        <v>0</v>
      </c>
      <c r="K80" s="207">
        <v>0</v>
      </c>
      <c r="L80" s="536"/>
      <c r="M80" s="614"/>
    </row>
    <row r="81" spans="1:14" ht="123" customHeight="1" x14ac:dyDescent="0.25">
      <c r="A81" s="546" t="s">
        <v>126</v>
      </c>
      <c r="B81" s="518" t="s">
        <v>245</v>
      </c>
      <c r="C81" s="596" t="s">
        <v>149</v>
      </c>
      <c r="D81" s="208" t="s">
        <v>9</v>
      </c>
      <c r="E81" s="95">
        <v>0</v>
      </c>
      <c r="F81" s="103">
        <f>SUM(G81:H81)</f>
        <v>0</v>
      </c>
      <c r="G81" s="95">
        <v>0</v>
      </c>
      <c r="H81" s="97">
        <v>0</v>
      </c>
      <c r="I81" s="95">
        <v>0</v>
      </c>
      <c r="J81" s="95">
        <v>0</v>
      </c>
      <c r="K81" s="95">
        <v>0</v>
      </c>
      <c r="L81" s="531" t="s">
        <v>229</v>
      </c>
      <c r="M81" s="532" t="s">
        <v>267</v>
      </c>
    </row>
    <row r="82" spans="1:14" ht="148.5" customHeight="1" x14ac:dyDescent="0.25">
      <c r="A82" s="547"/>
      <c r="B82" s="519"/>
      <c r="C82" s="597"/>
      <c r="D82" s="94" t="s">
        <v>91</v>
      </c>
      <c r="E82" s="104">
        <v>51753.025000000001</v>
      </c>
      <c r="F82" s="96">
        <f t="shared" ref="F82:F86" si="23">SUM(G82:K82)</f>
        <v>18090.213</v>
      </c>
      <c r="G82" s="95">
        <v>18090.213</v>
      </c>
      <c r="H82" s="97">
        <v>0</v>
      </c>
      <c r="I82" s="95">
        <v>0</v>
      </c>
      <c r="J82" s="95">
        <v>0</v>
      </c>
      <c r="K82" s="95">
        <v>0</v>
      </c>
      <c r="L82" s="531"/>
      <c r="M82" s="533"/>
    </row>
    <row r="83" spans="1:14" ht="69" customHeight="1" x14ac:dyDescent="0.3">
      <c r="A83" s="546" t="s">
        <v>127</v>
      </c>
      <c r="B83" s="512" t="s">
        <v>258</v>
      </c>
      <c r="C83" s="516" t="s">
        <v>46</v>
      </c>
      <c r="D83" s="209" t="s">
        <v>9</v>
      </c>
      <c r="E83" s="210">
        <f>219337.206+14923</f>
        <v>234260.20600000001</v>
      </c>
      <c r="F83" s="211">
        <f t="shared" si="23"/>
        <v>1422940.2509999999</v>
      </c>
      <c r="G83" s="210">
        <v>1422940.2509999999</v>
      </c>
      <c r="H83" s="212" t="s">
        <v>42</v>
      </c>
      <c r="I83" s="210" t="s">
        <v>42</v>
      </c>
      <c r="J83" s="210" t="s">
        <v>42</v>
      </c>
      <c r="K83" s="210" t="s">
        <v>42</v>
      </c>
      <c r="L83" s="511" t="s">
        <v>229</v>
      </c>
      <c r="M83" s="511" t="s">
        <v>312</v>
      </c>
      <c r="N83" s="213"/>
    </row>
    <row r="84" spans="1:14" ht="124.5" customHeight="1" x14ac:dyDescent="0.25">
      <c r="A84" s="547"/>
      <c r="B84" s="514"/>
      <c r="C84" s="517"/>
      <c r="D84" s="209" t="s">
        <v>91</v>
      </c>
      <c r="E84" s="210">
        <v>300155.908</v>
      </c>
      <c r="F84" s="211">
        <f t="shared" si="23"/>
        <v>0</v>
      </c>
      <c r="G84" s="210">
        <v>0</v>
      </c>
      <c r="H84" s="212" t="s">
        <v>42</v>
      </c>
      <c r="I84" s="210" t="s">
        <v>42</v>
      </c>
      <c r="J84" s="210" t="s">
        <v>42</v>
      </c>
      <c r="K84" s="210" t="s">
        <v>42</v>
      </c>
      <c r="L84" s="511"/>
      <c r="M84" s="511"/>
    </row>
    <row r="85" spans="1:14" ht="65.25" customHeight="1" x14ac:dyDescent="0.25">
      <c r="A85" s="546" t="s">
        <v>202</v>
      </c>
      <c r="B85" s="512" t="s">
        <v>264</v>
      </c>
      <c r="C85" s="515" t="s">
        <v>166</v>
      </c>
      <c r="D85" s="209" t="s">
        <v>9</v>
      </c>
      <c r="E85" s="210">
        <v>0</v>
      </c>
      <c r="F85" s="211">
        <f t="shared" si="23"/>
        <v>0</v>
      </c>
      <c r="G85" s="210">
        <f>689300-689300</f>
        <v>0</v>
      </c>
      <c r="H85" s="214" t="s">
        <v>42</v>
      </c>
      <c r="I85" s="210" t="s">
        <v>42</v>
      </c>
      <c r="J85" s="210" t="s">
        <v>42</v>
      </c>
      <c r="K85" s="215" t="s">
        <v>42</v>
      </c>
      <c r="L85" s="511"/>
      <c r="M85" s="511"/>
    </row>
    <row r="86" spans="1:14" ht="123.75" customHeight="1" x14ac:dyDescent="0.25">
      <c r="A86" s="547"/>
      <c r="B86" s="514"/>
      <c r="C86" s="517"/>
      <c r="D86" s="209" t="s">
        <v>91</v>
      </c>
      <c r="E86" s="210">
        <f>100000-17000+2000-45000-40000</f>
        <v>0</v>
      </c>
      <c r="F86" s="211">
        <f t="shared" si="23"/>
        <v>0</v>
      </c>
      <c r="G86" s="210">
        <f>100000+3000-3000+45000-145000</f>
        <v>0</v>
      </c>
      <c r="H86" s="214">
        <f>120000-120000</f>
        <v>0</v>
      </c>
      <c r="I86" s="210">
        <f>40000-40000</f>
        <v>0</v>
      </c>
      <c r="J86" s="210" t="s">
        <v>42</v>
      </c>
      <c r="K86" s="215" t="s">
        <v>42</v>
      </c>
      <c r="L86" s="511"/>
      <c r="M86" s="511"/>
    </row>
    <row r="87" spans="1:14" ht="60" customHeight="1" x14ac:dyDescent="0.25">
      <c r="A87" s="546" t="s">
        <v>203</v>
      </c>
      <c r="B87" s="512" t="s">
        <v>277</v>
      </c>
      <c r="C87" s="515" t="s">
        <v>278</v>
      </c>
      <c r="D87" s="209" t="s">
        <v>9</v>
      </c>
      <c r="E87" s="216">
        <v>0</v>
      </c>
      <c r="F87" s="211">
        <f>SUM(G87:J87)</f>
        <v>0</v>
      </c>
      <c r="G87" s="216">
        <v>0</v>
      </c>
      <c r="H87" s="217" t="s">
        <v>42</v>
      </c>
      <c r="I87" s="216" t="s">
        <v>42</v>
      </c>
      <c r="J87" s="216" t="s">
        <v>42</v>
      </c>
      <c r="K87" s="216" t="s">
        <v>42</v>
      </c>
      <c r="L87" s="511"/>
      <c r="M87" s="511"/>
    </row>
    <row r="88" spans="1:14" ht="124.5" customHeight="1" x14ac:dyDescent="0.25">
      <c r="A88" s="547"/>
      <c r="B88" s="514"/>
      <c r="C88" s="517"/>
      <c r="D88" s="209" t="s">
        <v>91</v>
      </c>
      <c r="E88" s="216">
        <v>0</v>
      </c>
      <c r="F88" s="211">
        <f>SUM(G88:J88)</f>
        <v>0</v>
      </c>
      <c r="G88" s="216">
        <f>10000-10000</f>
        <v>0</v>
      </c>
      <c r="H88" s="217">
        <v>0</v>
      </c>
      <c r="I88" s="216">
        <v>0</v>
      </c>
      <c r="J88" s="216">
        <v>0</v>
      </c>
      <c r="K88" s="216" t="s">
        <v>42</v>
      </c>
      <c r="L88" s="511"/>
      <c r="M88" s="511"/>
    </row>
    <row r="89" spans="1:14" ht="37.5" x14ac:dyDescent="0.25">
      <c r="A89" s="546" t="s">
        <v>204</v>
      </c>
      <c r="B89" s="512" t="s">
        <v>294</v>
      </c>
      <c r="C89" s="515" t="s">
        <v>278</v>
      </c>
      <c r="D89" s="209" t="s">
        <v>5</v>
      </c>
      <c r="E89" s="218">
        <v>0</v>
      </c>
      <c r="F89" s="219">
        <f t="shared" ref="F89:F91" si="24">SUM(G89:K89)</f>
        <v>27122.42</v>
      </c>
      <c r="G89" s="220">
        <v>0</v>
      </c>
      <c r="H89" s="221">
        <v>27122.42</v>
      </c>
      <c r="I89" s="220">
        <v>0</v>
      </c>
      <c r="J89" s="220">
        <v>0</v>
      </c>
      <c r="K89" s="222" t="s">
        <v>248</v>
      </c>
      <c r="L89" s="511"/>
      <c r="M89" s="511"/>
    </row>
    <row r="90" spans="1:14" ht="56.25" customHeight="1" x14ac:dyDescent="0.25">
      <c r="A90" s="605"/>
      <c r="B90" s="513"/>
      <c r="C90" s="516"/>
      <c r="D90" s="209" t="s">
        <v>9</v>
      </c>
      <c r="E90" s="218">
        <v>0</v>
      </c>
      <c r="F90" s="219">
        <f t="shared" si="24"/>
        <v>6780.61</v>
      </c>
      <c r="G90" s="218">
        <v>0</v>
      </c>
      <c r="H90" s="223">
        <v>6780.61</v>
      </c>
      <c r="I90" s="218">
        <v>0</v>
      </c>
      <c r="J90" s="218">
        <v>0</v>
      </c>
      <c r="K90" s="224" t="s">
        <v>42</v>
      </c>
      <c r="L90" s="511"/>
      <c r="M90" s="511"/>
    </row>
    <row r="91" spans="1:14" ht="95.25" customHeight="1" x14ac:dyDescent="0.25">
      <c r="A91" s="605"/>
      <c r="B91" s="513"/>
      <c r="C91" s="516"/>
      <c r="D91" s="209" t="s">
        <v>315</v>
      </c>
      <c r="E91" s="218">
        <v>0</v>
      </c>
      <c r="F91" s="219">
        <f t="shared" si="24"/>
        <v>6780.61</v>
      </c>
      <c r="G91" s="218">
        <v>0</v>
      </c>
      <c r="H91" s="223">
        <v>6780.61</v>
      </c>
      <c r="I91" s="218">
        <v>0</v>
      </c>
      <c r="J91" s="218">
        <v>0</v>
      </c>
      <c r="K91" s="224"/>
      <c r="L91" s="511"/>
      <c r="M91" s="511"/>
    </row>
    <row r="92" spans="1:14" ht="115.5" customHeight="1" x14ac:dyDescent="0.25">
      <c r="A92" s="547"/>
      <c r="B92" s="514"/>
      <c r="C92" s="517"/>
      <c r="D92" s="209" t="s">
        <v>91</v>
      </c>
      <c r="E92" s="216">
        <v>0</v>
      </c>
      <c r="F92" s="211">
        <f>SUM(G92:J92)</f>
        <v>10000</v>
      </c>
      <c r="G92" s="216">
        <v>98</v>
      </c>
      <c r="H92" s="217">
        <v>9902</v>
      </c>
      <c r="I92" s="216">
        <v>0</v>
      </c>
      <c r="J92" s="216">
        <v>0</v>
      </c>
      <c r="K92" s="216" t="s">
        <v>42</v>
      </c>
      <c r="L92" s="511"/>
      <c r="M92" s="511"/>
    </row>
    <row r="93" spans="1:14" ht="37.5" x14ac:dyDescent="0.25">
      <c r="A93" s="225" t="s">
        <v>205</v>
      </c>
      <c r="B93" s="226" t="s">
        <v>246</v>
      </c>
      <c r="C93" s="208" t="s">
        <v>46</v>
      </c>
      <c r="D93" s="227" t="s">
        <v>4</v>
      </c>
      <c r="E93" s="228" t="s">
        <v>42</v>
      </c>
      <c r="F93" s="229">
        <f>SUM(G93:K93)</f>
        <v>0</v>
      </c>
      <c r="G93" s="228">
        <v>0</v>
      </c>
      <c r="H93" s="1" t="s">
        <v>42</v>
      </c>
      <c r="I93" s="228" t="s">
        <v>42</v>
      </c>
      <c r="J93" s="228" t="s">
        <v>42</v>
      </c>
      <c r="K93" s="230" t="s">
        <v>42</v>
      </c>
      <c r="L93" s="511"/>
      <c r="M93" s="511"/>
    </row>
    <row r="94" spans="1:14" ht="100.5" customHeight="1" x14ac:dyDescent="0.25">
      <c r="A94" s="225" t="s">
        <v>206</v>
      </c>
      <c r="B94" s="231" t="s">
        <v>295</v>
      </c>
      <c r="C94" s="232" t="s">
        <v>257</v>
      </c>
      <c r="D94" s="209" t="s">
        <v>4</v>
      </c>
      <c r="E94" s="228">
        <v>0</v>
      </c>
      <c r="F94" s="229">
        <f t="shared" ref="F94:F97" si="25">SUM(G94:K94)</f>
        <v>0</v>
      </c>
      <c r="G94" s="216">
        <v>0</v>
      </c>
      <c r="H94" s="233" t="s">
        <v>318</v>
      </c>
      <c r="I94" s="234" t="s">
        <v>42</v>
      </c>
      <c r="J94" s="234" t="s">
        <v>42</v>
      </c>
      <c r="K94" s="235" t="s">
        <v>42</v>
      </c>
      <c r="L94" s="511"/>
      <c r="M94" s="511"/>
    </row>
    <row r="95" spans="1:14" s="54" customFormat="1" ht="47.25" x14ac:dyDescent="0.25">
      <c r="A95" s="225" t="s">
        <v>249</v>
      </c>
      <c r="B95" s="231" t="s">
        <v>252</v>
      </c>
      <c r="C95" s="232" t="s">
        <v>257</v>
      </c>
      <c r="D95" s="209" t="s">
        <v>4</v>
      </c>
      <c r="E95" s="228">
        <v>0</v>
      </c>
      <c r="F95" s="229">
        <f t="shared" si="25"/>
        <v>0</v>
      </c>
      <c r="G95" s="216">
        <v>0</v>
      </c>
      <c r="H95" s="236" t="s">
        <v>318</v>
      </c>
      <c r="I95" s="228" t="s">
        <v>42</v>
      </c>
      <c r="J95" s="228" t="s">
        <v>42</v>
      </c>
      <c r="K95" s="230" t="s">
        <v>42</v>
      </c>
      <c r="L95" s="511"/>
      <c r="M95" s="511"/>
    </row>
    <row r="96" spans="1:14" s="54" customFormat="1" ht="47.25" x14ac:dyDescent="0.25">
      <c r="A96" s="225" t="s">
        <v>296</v>
      </c>
      <c r="B96" s="231" t="s">
        <v>251</v>
      </c>
      <c r="C96" s="232" t="s">
        <v>256</v>
      </c>
      <c r="D96" s="209" t="s">
        <v>4</v>
      </c>
      <c r="E96" s="228">
        <v>0</v>
      </c>
      <c r="F96" s="229">
        <f t="shared" si="25"/>
        <v>0</v>
      </c>
      <c r="G96" s="228" t="s">
        <v>248</v>
      </c>
      <c r="H96" s="236" t="s">
        <v>318</v>
      </c>
      <c r="I96" s="237" t="s">
        <v>318</v>
      </c>
      <c r="J96" s="228" t="s">
        <v>248</v>
      </c>
      <c r="K96" s="230" t="s">
        <v>248</v>
      </c>
      <c r="L96" s="511"/>
      <c r="M96" s="511"/>
    </row>
    <row r="97" spans="1:13" ht="56.25" x14ac:dyDescent="0.25">
      <c r="A97" s="225" t="s">
        <v>253</v>
      </c>
      <c r="B97" s="231" t="s">
        <v>250</v>
      </c>
      <c r="C97" s="232" t="s">
        <v>255</v>
      </c>
      <c r="D97" s="209" t="s">
        <v>4</v>
      </c>
      <c r="E97" s="228">
        <v>0</v>
      </c>
      <c r="F97" s="229">
        <f t="shared" si="25"/>
        <v>0</v>
      </c>
      <c r="G97" s="228" t="s">
        <v>248</v>
      </c>
      <c r="H97" s="1" t="s">
        <v>248</v>
      </c>
      <c r="I97" s="237" t="s">
        <v>318</v>
      </c>
      <c r="J97" s="237" t="s">
        <v>318</v>
      </c>
      <c r="K97" s="230" t="s">
        <v>248</v>
      </c>
      <c r="L97" s="511"/>
      <c r="M97" s="511"/>
    </row>
    <row r="98" spans="1:13" ht="37.5" customHeight="1" x14ac:dyDescent="0.25">
      <c r="A98" s="546" t="s">
        <v>254</v>
      </c>
      <c r="B98" s="512" t="s">
        <v>284</v>
      </c>
      <c r="C98" s="515" t="s">
        <v>257</v>
      </c>
      <c r="D98" s="173" t="s">
        <v>5</v>
      </c>
      <c r="E98" s="228">
        <v>0</v>
      </c>
      <c r="F98" s="229">
        <f>SUM(G98:K98)</f>
        <v>34686.5</v>
      </c>
      <c r="G98" s="228">
        <v>0</v>
      </c>
      <c r="H98" s="1">
        <v>34686.5</v>
      </c>
      <c r="I98" s="228" t="s">
        <v>248</v>
      </c>
      <c r="J98" s="228" t="s">
        <v>248</v>
      </c>
      <c r="K98" s="230" t="s">
        <v>248</v>
      </c>
      <c r="L98" s="511"/>
      <c r="M98" s="511" t="s">
        <v>285</v>
      </c>
    </row>
    <row r="99" spans="1:13" ht="65.25" customHeight="1" x14ac:dyDescent="0.25">
      <c r="A99" s="605"/>
      <c r="B99" s="513"/>
      <c r="C99" s="516"/>
      <c r="D99" s="173" t="s">
        <v>12</v>
      </c>
      <c r="E99" s="228">
        <v>0</v>
      </c>
      <c r="F99" s="229">
        <f>SUM(G99:K99)</f>
        <v>29080.5</v>
      </c>
      <c r="G99" s="228">
        <v>0</v>
      </c>
      <c r="H99" s="1">
        <f>21440.5+7640</f>
        <v>29080.5</v>
      </c>
      <c r="I99" s="228" t="s">
        <v>248</v>
      </c>
      <c r="J99" s="228" t="s">
        <v>248</v>
      </c>
      <c r="K99" s="230" t="s">
        <v>248</v>
      </c>
      <c r="L99" s="511"/>
      <c r="M99" s="511"/>
    </row>
    <row r="100" spans="1:13" ht="98.25" customHeight="1" x14ac:dyDescent="0.25">
      <c r="A100" s="547"/>
      <c r="B100" s="514"/>
      <c r="C100" s="517"/>
      <c r="D100" s="209" t="s">
        <v>315</v>
      </c>
      <c r="E100" s="228">
        <v>0</v>
      </c>
      <c r="F100" s="229">
        <f>SUM(G100:K100)</f>
        <v>21440.5</v>
      </c>
      <c r="G100" s="228">
        <v>0</v>
      </c>
      <c r="H100" s="1">
        <f>21440.5</f>
        <v>21440.5</v>
      </c>
      <c r="I100" s="228" t="s">
        <v>248</v>
      </c>
      <c r="J100" s="228" t="s">
        <v>248</v>
      </c>
      <c r="K100" s="230" t="s">
        <v>248</v>
      </c>
      <c r="L100" s="511"/>
      <c r="M100" s="511"/>
    </row>
    <row r="101" spans="1:13" ht="18.75" x14ac:dyDescent="0.25">
      <c r="A101" s="544" t="s">
        <v>57</v>
      </c>
      <c r="B101" s="545"/>
      <c r="C101" s="545"/>
      <c r="D101" s="545"/>
      <c r="E101" s="238">
        <f>SUM(E102:E108)-E104</f>
        <v>4233004.8689999999</v>
      </c>
      <c r="F101" s="238">
        <f t="shared" ref="F101:K101" si="26">SUM(F102:F108)-F104</f>
        <v>19371607.128490001</v>
      </c>
      <c r="G101" s="238">
        <f t="shared" si="26"/>
        <v>5608503.5409999993</v>
      </c>
      <c r="H101" s="239">
        <f t="shared" si="26"/>
        <v>4543220.9034899995</v>
      </c>
      <c r="I101" s="238">
        <f t="shared" si="26"/>
        <v>4098577.4079999998</v>
      </c>
      <c r="J101" s="238">
        <f t="shared" si="26"/>
        <v>4098577.4079999998</v>
      </c>
      <c r="K101" s="238">
        <f t="shared" si="26"/>
        <v>1022727.868</v>
      </c>
      <c r="L101" s="240"/>
      <c r="M101" s="241"/>
    </row>
    <row r="102" spans="1:13" ht="18.75" x14ac:dyDescent="0.25">
      <c r="A102" s="510" t="s">
        <v>5</v>
      </c>
      <c r="B102" s="510"/>
      <c r="C102" s="510"/>
      <c r="D102" s="510"/>
      <c r="E102" s="242">
        <f>E11</f>
        <v>2579269.7999999998</v>
      </c>
      <c r="F102" s="238">
        <f t="shared" ref="F102:F108" si="27">SUM(G102:K102)</f>
        <v>12518703.35049</v>
      </c>
      <c r="G102" s="242">
        <f>G11+G77</f>
        <v>3092216.1409999998</v>
      </c>
      <c r="H102" s="243">
        <f>H11+H77</f>
        <v>3291589.2094899998</v>
      </c>
      <c r="I102" s="242">
        <f>I11</f>
        <v>3067449</v>
      </c>
      <c r="J102" s="242">
        <f>J11</f>
        <v>3067449</v>
      </c>
      <c r="K102" s="242">
        <f>K11</f>
        <v>0</v>
      </c>
      <c r="L102" s="244"/>
      <c r="M102" s="245"/>
    </row>
    <row r="103" spans="1:13" ht="18.75" x14ac:dyDescent="0.25">
      <c r="A103" s="510" t="s">
        <v>9</v>
      </c>
      <c r="B103" s="510"/>
      <c r="C103" s="510"/>
      <c r="D103" s="510"/>
      <c r="E103" s="242">
        <f>E12+E73+E78</f>
        <v>1116847.523</v>
      </c>
      <c r="F103" s="238">
        <f t="shared" si="27"/>
        <v>5656139.5480000004</v>
      </c>
      <c r="G103" s="242">
        <f>G12+G73+G78</f>
        <v>2274405.4</v>
      </c>
      <c r="H103" s="243">
        <f>H12+H73+H78</f>
        <v>954386.74800000002</v>
      </c>
      <c r="I103" s="242">
        <f>I12+I73+I78</f>
        <v>811915.98</v>
      </c>
      <c r="J103" s="242">
        <f>J12+J73+J78</f>
        <v>811915.98</v>
      </c>
      <c r="K103" s="242">
        <f>K12+K73+K78</f>
        <v>803515.44</v>
      </c>
      <c r="L103" s="246"/>
      <c r="M103" s="245"/>
    </row>
    <row r="104" spans="1:13" ht="18.75" x14ac:dyDescent="0.25">
      <c r="A104" s="510" t="s">
        <v>315</v>
      </c>
      <c r="B104" s="510"/>
      <c r="C104" s="510"/>
      <c r="D104" s="510"/>
      <c r="E104" s="242">
        <v>0</v>
      </c>
      <c r="F104" s="238">
        <f t="shared" si="27"/>
        <v>124768.23</v>
      </c>
      <c r="G104" s="242">
        <v>0</v>
      </c>
      <c r="H104" s="243">
        <f>H47+H53+H69+H91+H100+H32</f>
        <v>124768.23</v>
      </c>
      <c r="I104" s="242">
        <v>0</v>
      </c>
      <c r="J104" s="242">
        <v>0</v>
      </c>
      <c r="K104" s="242">
        <v>0</v>
      </c>
      <c r="L104" s="246"/>
      <c r="M104" s="245"/>
    </row>
    <row r="105" spans="1:13" ht="38.25" customHeight="1" x14ac:dyDescent="0.3">
      <c r="A105" s="460" t="s">
        <v>91</v>
      </c>
      <c r="B105" s="460"/>
      <c r="C105" s="460"/>
      <c r="D105" s="460"/>
      <c r="E105" s="112">
        <f>E13+E79</f>
        <v>363743.42600000004</v>
      </c>
      <c r="F105" s="238">
        <f t="shared" si="27"/>
        <v>58573.817000000003</v>
      </c>
      <c r="G105" s="112">
        <f>G13+G79</f>
        <v>38194.165000000001</v>
      </c>
      <c r="H105" s="113">
        <f>H13+H79</f>
        <v>20379.652000000002</v>
      </c>
      <c r="I105" s="112">
        <f>I13+I79</f>
        <v>0</v>
      </c>
      <c r="J105" s="112">
        <f>J13+J79</f>
        <v>0</v>
      </c>
      <c r="K105" s="112">
        <f>K13+K79</f>
        <v>0</v>
      </c>
      <c r="L105" s="110"/>
      <c r="M105" s="111"/>
    </row>
    <row r="106" spans="1:13" ht="18.75" x14ac:dyDescent="0.3">
      <c r="A106" s="455" t="s">
        <v>51</v>
      </c>
      <c r="B106" s="455"/>
      <c r="C106" s="455"/>
      <c r="D106" s="455"/>
      <c r="E106" s="112">
        <f>E14</f>
        <v>168767.12400000001</v>
      </c>
      <c r="F106" s="238">
        <f t="shared" si="27"/>
        <v>1110707.7880000002</v>
      </c>
      <c r="G106" s="112">
        <f t="shared" ref="G106:K107" si="28">G14</f>
        <v>198466.71000000002</v>
      </c>
      <c r="H106" s="113">
        <f t="shared" si="28"/>
        <v>271299.91899999999</v>
      </c>
      <c r="I106" s="112">
        <f t="shared" si="28"/>
        <v>213647.05300000001</v>
      </c>
      <c r="J106" s="112">
        <f t="shared" si="28"/>
        <v>213647.05300000001</v>
      </c>
      <c r="K106" s="112">
        <f t="shared" si="28"/>
        <v>213647.05300000001</v>
      </c>
      <c r="L106" s="110"/>
      <c r="M106" s="111"/>
    </row>
    <row r="107" spans="1:13" ht="18.75" x14ac:dyDescent="0.3">
      <c r="A107" s="455" t="s">
        <v>64</v>
      </c>
      <c r="B107" s="455"/>
      <c r="C107" s="455"/>
      <c r="D107" s="455"/>
      <c r="E107" s="112">
        <f>E15</f>
        <v>4376.9960000000001</v>
      </c>
      <c r="F107" s="238">
        <f t="shared" si="27"/>
        <v>27482.625</v>
      </c>
      <c r="G107" s="112">
        <f t="shared" si="28"/>
        <v>5221.125</v>
      </c>
      <c r="H107" s="113">
        <f t="shared" si="28"/>
        <v>5565.375</v>
      </c>
      <c r="I107" s="112">
        <f t="shared" si="28"/>
        <v>5565.375</v>
      </c>
      <c r="J107" s="112">
        <f t="shared" si="28"/>
        <v>5565.375</v>
      </c>
      <c r="K107" s="112">
        <f t="shared" si="28"/>
        <v>5565.375</v>
      </c>
      <c r="L107" s="110"/>
      <c r="M107" s="111"/>
    </row>
    <row r="108" spans="1:13" ht="18.75" x14ac:dyDescent="0.3">
      <c r="A108" s="455" t="s">
        <v>4</v>
      </c>
      <c r="B108" s="455"/>
      <c r="C108" s="455"/>
      <c r="D108" s="455"/>
      <c r="E108" s="109">
        <f>E80</f>
        <v>0</v>
      </c>
      <c r="F108" s="238">
        <f t="shared" si="27"/>
        <v>0</v>
      </c>
      <c r="G108" s="112">
        <f>G80</f>
        <v>0</v>
      </c>
      <c r="H108" s="113">
        <f>H80</f>
        <v>0</v>
      </c>
      <c r="I108" s="112">
        <f>I80</f>
        <v>0</v>
      </c>
      <c r="J108" s="112">
        <f>J80</f>
        <v>0</v>
      </c>
      <c r="K108" s="109">
        <f>K80</f>
        <v>0</v>
      </c>
      <c r="L108" s="110"/>
      <c r="M108" s="111"/>
    </row>
    <row r="109" spans="1:13" ht="15.75" x14ac:dyDescent="0.25">
      <c r="A109" s="247"/>
      <c r="B109" s="247"/>
      <c r="C109" s="247"/>
      <c r="D109" s="247"/>
      <c r="E109" s="248"/>
      <c r="F109" s="249"/>
      <c r="G109" s="248"/>
      <c r="H109" s="248"/>
      <c r="I109" s="248"/>
      <c r="J109" s="248"/>
      <c r="K109" s="248"/>
      <c r="L109" s="250"/>
      <c r="M109" s="251"/>
    </row>
    <row r="110" spans="1:13" ht="15.75" x14ac:dyDescent="0.25">
      <c r="F110" s="115"/>
      <c r="G110" s="33"/>
      <c r="H110" s="117"/>
    </row>
    <row r="111" spans="1:13" ht="15.75" x14ac:dyDescent="0.25">
      <c r="F111" s="115"/>
      <c r="G111" s="33"/>
      <c r="H111" s="117"/>
      <c r="I111" s="116"/>
      <c r="J111" s="33"/>
      <c r="K111" s="33"/>
    </row>
    <row r="112" spans="1:13" ht="15.75" x14ac:dyDescent="0.25">
      <c r="H112" s="117"/>
      <c r="I112" s="116"/>
      <c r="J112" s="33"/>
      <c r="K112" s="33"/>
    </row>
    <row r="113" spans="8:11" ht="15.75" x14ac:dyDescent="0.25">
      <c r="H113" s="117"/>
      <c r="I113" s="116"/>
      <c r="J113" s="33"/>
      <c r="K113" s="33"/>
    </row>
    <row r="114" spans="8:11" ht="15.75" x14ac:dyDescent="0.25">
      <c r="H114" s="117"/>
    </row>
    <row r="115" spans="8:11" ht="15.75" x14ac:dyDescent="0.25">
      <c r="H115" s="117"/>
    </row>
    <row r="116" spans="8:11" x14ac:dyDescent="0.25">
      <c r="H116" s="116"/>
    </row>
    <row r="117" spans="8:11" x14ac:dyDescent="0.25">
      <c r="H117" s="116"/>
    </row>
    <row r="119" spans="8:11" x14ac:dyDescent="0.25">
      <c r="H119" s="252"/>
    </row>
    <row r="120" spans="8:11" x14ac:dyDescent="0.25">
      <c r="H120" s="252"/>
    </row>
    <row r="121" spans="8:11" x14ac:dyDescent="0.25">
      <c r="H121" s="252"/>
    </row>
  </sheetData>
  <mergeCells count="135">
    <mergeCell ref="A98:A100"/>
    <mergeCell ref="B98:B100"/>
    <mergeCell ref="C98:C100"/>
    <mergeCell ref="L83:L100"/>
    <mergeCell ref="M98:M100"/>
    <mergeCell ref="A67:A69"/>
    <mergeCell ref="B67:B69"/>
    <mergeCell ref="C67:C69"/>
    <mergeCell ref="L67:L69"/>
    <mergeCell ref="M67:M69"/>
    <mergeCell ref="A89:A92"/>
    <mergeCell ref="L74:L75"/>
    <mergeCell ref="B87:B88"/>
    <mergeCell ref="C85:C86"/>
    <mergeCell ref="C81:C82"/>
    <mergeCell ref="A81:A82"/>
    <mergeCell ref="A83:A84"/>
    <mergeCell ref="M76:M80"/>
    <mergeCell ref="C83:C84"/>
    <mergeCell ref="C74:C75"/>
    <mergeCell ref="C87:C88"/>
    <mergeCell ref="C63:C64"/>
    <mergeCell ref="C76:C80"/>
    <mergeCell ref="B81:B82"/>
    <mergeCell ref="B83:B84"/>
    <mergeCell ref="M74:M75"/>
    <mergeCell ref="A63:A64"/>
    <mergeCell ref="A41:A42"/>
    <mergeCell ref="M37:M38"/>
    <mergeCell ref="A30:A34"/>
    <mergeCell ref="C55:C57"/>
    <mergeCell ref="B55:B57"/>
    <mergeCell ref="A51:A60"/>
    <mergeCell ref="B58:B60"/>
    <mergeCell ref="C58:C60"/>
    <mergeCell ref="L51:L60"/>
    <mergeCell ref="M51:M60"/>
    <mergeCell ref="M49:M50"/>
    <mergeCell ref="B51:B54"/>
    <mergeCell ref="C51:C54"/>
    <mergeCell ref="B63:B64"/>
    <mergeCell ref="B43:B44"/>
    <mergeCell ref="L39:L40"/>
    <mergeCell ref="C39:C40"/>
    <mergeCell ref="M41:M42"/>
    <mergeCell ref="M39:M40"/>
    <mergeCell ref="L41:L42"/>
    <mergeCell ref="B49:B50"/>
    <mergeCell ref="C49:C50"/>
    <mergeCell ref="L49:L50"/>
    <mergeCell ref="M16:M18"/>
    <mergeCell ref="B28:B29"/>
    <mergeCell ref="M30:M34"/>
    <mergeCell ref="M35:M36"/>
    <mergeCell ref="B41:B42"/>
    <mergeCell ref="C41:C42"/>
    <mergeCell ref="C19:C20"/>
    <mergeCell ref="M19:M20"/>
    <mergeCell ref="A16:A18"/>
    <mergeCell ref="B16:B18"/>
    <mergeCell ref="L35:L36"/>
    <mergeCell ref="B37:B38"/>
    <mergeCell ref="B30:B34"/>
    <mergeCell ref="C35:C36"/>
    <mergeCell ref="C37:C38"/>
    <mergeCell ref="C30:C34"/>
    <mergeCell ref="L37:L38"/>
    <mergeCell ref="C16:C18"/>
    <mergeCell ref="A35:A36"/>
    <mergeCell ref="B35:B36"/>
    <mergeCell ref="A37:A38"/>
    <mergeCell ref="L19:L20"/>
    <mergeCell ref="A19:A20"/>
    <mergeCell ref="B19:B20"/>
    <mergeCell ref="A39:A40"/>
    <mergeCell ref="B39:B40"/>
    <mergeCell ref="L2:M2"/>
    <mergeCell ref="C28:C29"/>
    <mergeCell ref="L4:L6"/>
    <mergeCell ref="A8:M8"/>
    <mergeCell ref="B4:B6"/>
    <mergeCell ref="A4:A6"/>
    <mergeCell ref="F4:F6"/>
    <mergeCell ref="C4:C6"/>
    <mergeCell ref="D4:D6"/>
    <mergeCell ref="M4:M6"/>
    <mergeCell ref="G4:K5"/>
    <mergeCell ref="E4:E6"/>
    <mergeCell ref="A10:A15"/>
    <mergeCell ref="B10:B15"/>
    <mergeCell ref="C10:C15"/>
    <mergeCell ref="A28:A29"/>
    <mergeCell ref="A9:M9"/>
    <mergeCell ref="M28:M29"/>
    <mergeCell ref="L28:L29"/>
    <mergeCell ref="L16:L18"/>
    <mergeCell ref="L10:L15"/>
    <mergeCell ref="M10:M15"/>
    <mergeCell ref="A43:A44"/>
    <mergeCell ref="A76:A80"/>
    <mergeCell ref="B76:B80"/>
    <mergeCell ref="A108:D108"/>
    <mergeCell ref="A103:D103"/>
    <mergeCell ref="A102:D102"/>
    <mergeCell ref="A107:D107"/>
    <mergeCell ref="A105:D105"/>
    <mergeCell ref="A106:D106"/>
    <mergeCell ref="A101:D101"/>
    <mergeCell ref="A85:A86"/>
    <mergeCell ref="B85:B86"/>
    <mergeCell ref="A87:A88"/>
    <mergeCell ref="A104:D104"/>
    <mergeCell ref="M63:M64"/>
    <mergeCell ref="M83:M97"/>
    <mergeCell ref="B89:B92"/>
    <mergeCell ref="C89:C92"/>
    <mergeCell ref="A25:A26"/>
    <mergeCell ref="B25:B26"/>
    <mergeCell ref="C25:C26"/>
    <mergeCell ref="L25:L26"/>
    <mergeCell ref="M25:M26"/>
    <mergeCell ref="B46:B48"/>
    <mergeCell ref="A46:A48"/>
    <mergeCell ref="C46:C48"/>
    <mergeCell ref="L46:L48"/>
    <mergeCell ref="M46:M48"/>
    <mergeCell ref="L81:L82"/>
    <mergeCell ref="M81:M82"/>
    <mergeCell ref="L76:L80"/>
    <mergeCell ref="L30:L34"/>
    <mergeCell ref="M43:M44"/>
    <mergeCell ref="L43:L44"/>
    <mergeCell ref="C43:C44"/>
    <mergeCell ref="L63:L64"/>
    <mergeCell ref="A49:A50"/>
  </mergeCells>
  <pageMargins left="0.19685039370078741" right="0.19685039370078741" top="0.19685039370078741" bottom="0.19685039370078741" header="0" footer="0"/>
  <pageSetup paperSize="9" scale="48" fitToHeight="0" orientation="landscape" r:id="rId1"/>
  <headerFooter scaleWithDoc="0"/>
  <rowBreaks count="7" manualBreakCount="7">
    <brk id="22" max="12" man="1"/>
    <brk id="29" max="12" man="1"/>
    <brk id="42" max="12" man="1"/>
    <brk id="53" max="12" man="1"/>
    <brk id="65" max="12" man="1"/>
    <brk id="75" max="12" man="1"/>
    <brk id="88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42"/>
  <sheetViews>
    <sheetView view="pageBreakPreview" zoomScale="70" zoomScaleNormal="70" zoomScaleSheetLayoutView="70" workbookViewId="0">
      <pane ySplit="7" topLeftCell="A8" activePane="bottomLeft" state="frozen"/>
      <selection pane="bottomLeft" activeCell="O41" sqref="O41"/>
    </sheetView>
  </sheetViews>
  <sheetFormatPr defaultRowHeight="15" x14ac:dyDescent="0.25"/>
  <cols>
    <col min="1" max="1" width="8.28515625" style="8" customWidth="1"/>
    <col min="2" max="2" width="66.28515625" style="8" customWidth="1"/>
    <col min="3" max="3" width="18.5703125" style="304" customWidth="1"/>
    <col min="4" max="4" width="31.140625" style="8" customWidth="1"/>
    <col min="5" max="5" width="20.7109375" style="8" customWidth="1"/>
    <col min="6" max="6" width="21.7109375" style="119" customWidth="1"/>
    <col min="7" max="7" width="16.5703125" style="8" customWidth="1"/>
    <col min="8" max="9" width="16.5703125" style="120" customWidth="1"/>
    <col min="10" max="11" width="16.5703125" style="8" customWidth="1"/>
    <col min="12" max="12" width="23.42578125" style="8" customWidth="1"/>
    <col min="13" max="13" width="32.42578125" style="8" customWidth="1"/>
    <col min="14" max="14" width="9.140625" style="8" customWidth="1"/>
    <col min="15" max="16384" width="9.140625" style="8"/>
  </cols>
  <sheetData>
    <row r="1" spans="1:17" ht="15.75" x14ac:dyDescent="0.25">
      <c r="A1" s="2"/>
      <c r="B1" s="3"/>
      <c r="C1" s="4"/>
      <c r="D1" s="3"/>
      <c r="E1" s="3"/>
      <c r="F1" s="121"/>
      <c r="G1" s="3"/>
      <c r="H1" s="6"/>
      <c r="I1" s="6"/>
      <c r="J1" s="7"/>
      <c r="K1" s="7"/>
      <c r="L1" s="7"/>
      <c r="M1" s="7"/>
    </row>
    <row r="2" spans="1:17" ht="15.75" customHeight="1" x14ac:dyDescent="0.25">
      <c r="A2" s="2"/>
      <c r="B2" s="9"/>
      <c r="C2" s="10"/>
      <c r="D2" s="11"/>
      <c r="E2" s="11"/>
      <c r="F2" s="122"/>
      <c r="G2" s="13"/>
      <c r="H2" s="14"/>
      <c r="I2" s="14"/>
      <c r="J2" s="13"/>
      <c r="K2" s="13"/>
      <c r="L2" s="443"/>
      <c r="M2" s="443"/>
    </row>
    <row r="3" spans="1:17" ht="15.75" customHeight="1" thickBot="1" x14ac:dyDescent="0.3">
      <c r="A3" s="2"/>
      <c r="B3" s="9"/>
      <c r="C3" s="10"/>
      <c r="D3" s="11"/>
      <c r="E3" s="11"/>
      <c r="F3" s="122"/>
      <c r="G3" s="13"/>
      <c r="H3" s="14"/>
      <c r="I3" s="14"/>
      <c r="J3" s="13"/>
      <c r="K3" s="13"/>
      <c r="L3" s="123"/>
      <c r="M3" s="123"/>
    </row>
    <row r="4" spans="1:17" ht="15.75" customHeight="1" x14ac:dyDescent="0.25">
      <c r="A4" s="682" t="s">
        <v>1</v>
      </c>
      <c r="B4" s="638" t="s">
        <v>14</v>
      </c>
      <c r="C4" s="638" t="s">
        <v>0</v>
      </c>
      <c r="D4" s="649" t="s">
        <v>15</v>
      </c>
      <c r="E4" s="649" t="s">
        <v>148</v>
      </c>
      <c r="F4" s="652" t="s">
        <v>16</v>
      </c>
      <c r="G4" s="676" t="s">
        <v>48</v>
      </c>
      <c r="H4" s="677"/>
      <c r="I4" s="677"/>
      <c r="J4" s="677"/>
      <c r="K4" s="678"/>
      <c r="L4" s="675" t="s">
        <v>17</v>
      </c>
      <c r="M4" s="671" t="s">
        <v>7</v>
      </c>
    </row>
    <row r="5" spans="1:17" ht="15.75" customHeight="1" x14ac:dyDescent="0.25">
      <c r="A5" s="683"/>
      <c r="B5" s="639"/>
      <c r="C5" s="639"/>
      <c r="D5" s="650"/>
      <c r="E5" s="631"/>
      <c r="F5" s="653"/>
      <c r="G5" s="679"/>
      <c r="H5" s="680"/>
      <c r="I5" s="680"/>
      <c r="J5" s="680"/>
      <c r="K5" s="681"/>
      <c r="L5" s="627"/>
      <c r="M5" s="669"/>
    </row>
    <row r="6" spans="1:17" ht="46.5" customHeight="1" x14ac:dyDescent="0.25">
      <c r="A6" s="683"/>
      <c r="B6" s="639"/>
      <c r="C6" s="640"/>
      <c r="D6" s="651"/>
      <c r="E6" s="632"/>
      <c r="F6" s="654"/>
      <c r="G6" s="187" t="s">
        <v>46</v>
      </c>
      <c r="H6" s="253" t="s">
        <v>47</v>
      </c>
      <c r="I6" s="187" t="s">
        <v>150</v>
      </c>
      <c r="J6" s="187" t="s">
        <v>151</v>
      </c>
      <c r="K6" s="187" t="s">
        <v>152</v>
      </c>
      <c r="L6" s="637"/>
      <c r="M6" s="670"/>
    </row>
    <row r="7" spans="1:17" ht="21" customHeight="1" x14ac:dyDescent="0.25">
      <c r="A7" s="20">
        <v>1</v>
      </c>
      <c r="B7" s="21">
        <v>2</v>
      </c>
      <c r="C7" s="21" t="s">
        <v>18</v>
      </c>
      <c r="D7" s="21" t="s">
        <v>137</v>
      </c>
      <c r="E7" s="21" t="s">
        <v>19</v>
      </c>
      <c r="F7" s="22" t="s">
        <v>134</v>
      </c>
      <c r="G7" s="21" t="s">
        <v>20</v>
      </c>
      <c r="H7" s="23" t="s">
        <v>135</v>
      </c>
      <c r="I7" s="21" t="s">
        <v>21</v>
      </c>
      <c r="J7" s="21" t="s">
        <v>22</v>
      </c>
      <c r="K7" s="21" t="s">
        <v>30</v>
      </c>
      <c r="L7" s="21" t="s">
        <v>31</v>
      </c>
      <c r="M7" s="24" t="s">
        <v>50</v>
      </c>
    </row>
    <row r="8" spans="1:17" ht="18.75" x14ac:dyDescent="0.25">
      <c r="A8" s="672" t="s">
        <v>63</v>
      </c>
      <c r="B8" s="673"/>
      <c r="C8" s="673"/>
      <c r="D8" s="673"/>
      <c r="E8" s="673"/>
      <c r="F8" s="673"/>
      <c r="G8" s="673"/>
      <c r="H8" s="673"/>
      <c r="I8" s="673"/>
      <c r="J8" s="673"/>
      <c r="K8" s="673"/>
      <c r="L8" s="673"/>
      <c r="M8" s="674"/>
    </row>
    <row r="9" spans="1:17" ht="25.5" customHeight="1" x14ac:dyDescent="0.25">
      <c r="A9" s="684"/>
      <c r="B9" s="626" t="s">
        <v>140</v>
      </c>
      <c r="C9" s="575" t="s">
        <v>149</v>
      </c>
      <c r="D9" s="128" t="s">
        <v>10</v>
      </c>
      <c r="E9" s="129">
        <f t="shared" ref="E9:K9" si="0">SUM(E10:E12)</f>
        <v>89607.173999999999</v>
      </c>
      <c r="F9" s="78">
        <f t="shared" si="0"/>
        <v>513546.67600000004</v>
      </c>
      <c r="G9" s="129">
        <f>SUM(G10:G12)</f>
        <v>98456.650000000009</v>
      </c>
      <c r="H9" s="79">
        <f t="shared" si="0"/>
        <v>108038.16900000001</v>
      </c>
      <c r="I9" s="129">
        <f t="shared" si="0"/>
        <v>102350.61900000001</v>
      </c>
      <c r="J9" s="129">
        <f t="shared" si="0"/>
        <v>102350.61900000001</v>
      </c>
      <c r="K9" s="129">
        <f t="shared" si="0"/>
        <v>102350.61900000001</v>
      </c>
      <c r="L9" s="626"/>
      <c r="M9" s="668"/>
    </row>
    <row r="10" spans="1:17" ht="41.25" customHeight="1" x14ac:dyDescent="0.25">
      <c r="A10" s="685"/>
      <c r="B10" s="627"/>
      <c r="C10" s="576"/>
      <c r="D10" s="187" t="s">
        <v>5</v>
      </c>
      <c r="E10" s="254">
        <f>E24</f>
        <v>0</v>
      </c>
      <c r="F10" s="255">
        <f t="shared" ref="F10:F12" si="1">SUM(G10:K10)</f>
        <v>906</v>
      </c>
      <c r="G10" s="254">
        <f>G24+G13</f>
        <v>906</v>
      </c>
      <c r="H10" s="256">
        <f t="shared" ref="H10:K10" si="2">H24+H13</f>
        <v>0</v>
      </c>
      <c r="I10" s="254">
        <f t="shared" si="2"/>
        <v>0</v>
      </c>
      <c r="J10" s="254">
        <f t="shared" si="2"/>
        <v>0</v>
      </c>
      <c r="K10" s="254">
        <f t="shared" si="2"/>
        <v>0</v>
      </c>
      <c r="L10" s="627"/>
      <c r="M10" s="669"/>
    </row>
    <row r="11" spans="1:17" ht="60" customHeight="1" x14ac:dyDescent="0.25">
      <c r="A11" s="685"/>
      <c r="B11" s="627"/>
      <c r="C11" s="576"/>
      <c r="D11" s="187" t="s">
        <v>9</v>
      </c>
      <c r="E11" s="254">
        <f>E14+E17+E18+E20+E21+E22+E23+E25</f>
        <v>80773.72</v>
      </c>
      <c r="F11" s="255">
        <f t="shared" si="1"/>
        <v>465540.12600000005</v>
      </c>
      <c r="G11" s="254">
        <f>G14+G17+G18+G20+G21+G22+G23+G25+G26</f>
        <v>88363.6</v>
      </c>
      <c r="H11" s="256">
        <f t="shared" ref="H11:K11" si="3">H14+H17+H18+H20+H21+H22+H23+H25+H26</f>
        <v>94315.169000000009</v>
      </c>
      <c r="I11" s="254">
        <f t="shared" si="3"/>
        <v>94287.119000000006</v>
      </c>
      <c r="J11" s="254">
        <f t="shared" si="3"/>
        <v>94287.119000000006</v>
      </c>
      <c r="K11" s="254">
        <f t="shared" si="3"/>
        <v>94287.119000000006</v>
      </c>
      <c r="L11" s="627"/>
      <c r="M11" s="669"/>
    </row>
    <row r="12" spans="1:17" ht="75.75" customHeight="1" x14ac:dyDescent="0.25">
      <c r="A12" s="686"/>
      <c r="B12" s="637"/>
      <c r="C12" s="577"/>
      <c r="D12" s="19" t="s">
        <v>51</v>
      </c>
      <c r="E12" s="91">
        <f>E16+E19</f>
        <v>8833.4539999999997</v>
      </c>
      <c r="F12" s="255">
        <f t="shared" si="1"/>
        <v>47100.55</v>
      </c>
      <c r="G12" s="91">
        <f>G16+G19</f>
        <v>9187.0500000000011</v>
      </c>
      <c r="H12" s="92">
        <f>H16+H19</f>
        <v>13723</v>
      </c>
      <c r="I12" s="91">
        <f>I16+I19</f>
        <v>8063.5</v>
      </c>
      <c r="J12" s="91">
        <f>J16+J19</f>
        <v>8063.5</v>
      </c>
      <c r="K12" s="91">
        <f>K16+K19</f>
        <v>8063.5</v>
      </c>
      <c r="L12" s="637"/>
      <c r="M12" s="670"/>
    </row>
    <row r="13" spans="1:17" ht="37.5" x14ac:dyDescent="0.25">
      <c r="A13" s="617" t="s">
        <v>93</v>
      </c>
      <c r="B13" s="646" t="s">
        <v>167</v>
      </c>
      <c r="C13" s="596" t="s">
        <v>149</v>
      </c>
      <c r="D13" s="173" t="s">
        <v>5</v>
      </c>
      <c r="E13" s="257">
        <v>0</v>
      </c>
      <c r="F13" s="258">
        <f t="shared" ref="F13:F21" si="4">SUM(G13:K13)</f>
        <v>906</v>
      </c>
      <c r="G13" s="257">
        <v>906</v>
      </c>
      <c r="H13" s="259">
        <v>0</v>
      </c>
      <c r="I13" s="257">
        <v>0</v>
      </c>
      <c r="J13" s="257">
        <v>0</v>
      </c>
      <c r="K13" s="257">
        <v>0</v>
      </c>
      <c r="L13" s="658" t="s">
        <v>8</v>
      </c>
      <c r="M13" s="661" t="s">
        <v>74</v>
      </c>
    </row>
    <row r="14" spans="1:17" ht="55.5" customHeight="1" x14ac:dyDescent="0.25">
      <c r="A14" s="618"/>
      <c r="B14" s="647"/>
      <c r="C14" s="608"/>
      <c r="D14" s="173" t="s">
        <v>9</v>
      </c>
      <c r="E14" s="257">
        <f>58820.82+1881.6-727.6+178.682+89.341</f>
        <v>60242.843000000001</v>
      </c>
      <c r="F14" s="258">
        <f t="shared" si="4"/>
        <v>341945.41099999996</v>
      </c>
      <c r="G14" s="257">
        <v>66790.319000000003</v>
      </c>
      <c r="H14" s="259">
        <v>68788.773000000001</v>
      </c>
      <c r="I14" s="257">
        <v>68788.773000000001</v>
      </c>
      <c r="J14" s="257">
        <v>68788.773000000001</v>
      </c>
      <c r="K14" s="257">
        <v>68788.773000000001</v>
      </c>
      <c r="L14" s="659"/>
      <c r="M14" s="662"/>
    </row>
    <row r="15" spans="1:17" ht="168.75" x14ac:dyDescent="0.25">
      <c r="A15" s="618"/>
      <c r="B15" s="647"/>
      <c r="C15" s="608"/>
      <c r="D15" s="173" t="s">
        <v>298</v>
      </c>
      <c r="E15" s="257">
        <v>0</v>
      </c>
      <c r="F15" s="258">
        <f t="shared" si="4"/>
        <v>204</v>
      </c>
      <c r="G15" s="257">
        <v>204</v>
      </c>
      <c r="H15" s="259">
        <v>0</v>
      </c>
      <c r="I15" s="257">
        <v>0</v>
      </c>
      <c r="J15" s="257">
        <v>0</v>
      </c>
      <c r="K15" s="257">
        <v>0</v>
      </c>
      <c r="L15" s="659"/>
      <c r="M15" s="662"/>
    </row>
    <row r="16" spans="1:17" ht="75" customHeight="1" x14ac:dyDescent="0.25">
      <c r="A16" s="619"/>
      <c r="B16" s="648"/>
      <c r="C16" s="597"/>
      <c r="D16" s="173" t="s">
        <v>51</v>
      </c>
      <c r="E16" s="166">
        <v>7683.29</v>
      </c>
      <c r="F16" s="260">
        <f>SUM(G16:K16)</f>
        <v>43398.296000000002</v>
      </c>
      <c r="G16" s="261">
        <v>8878.7790000000005</v>
      </c>
      <c r="H16" s="262">
        <f>7305.879+5296.001</f>
        <v>12601.880000000001</v>
      </c>
      <c r="I16" s="261">
        <v>7305.8789999999999</v>
      </c>
      <c r="J16" s="261">
        <v>7305.8789999999999</v>
      </c>
      <c r="K16" s="261">
        <v>7305.8789999999999</v>
      </c>
      <c r="L16" s="660"/>
      <c r="M16" s="663"/>
      <c r="O16" s="46"/>
      <c r="P16" s="46"/>
      <c r="Q16" s="46"/>
    </row>
    <row r="17" spans="1:21" ht="155.25" customHeight="1" x14ac:dyDescent="0.25">
      <c r="A17" s="263" t="s">
        <v>94</v>
      </c>
      <c r="B17" s="181" t="s">
        <v>168</v>
      </c>
      <c r="C17" s="182" t="s">
        <v>149</v>
      </c>
      <c r="D17" s="173" t="s">
        <v>9</v>
      </c>
      <c r="E17" s="261">
        <v>1050.4360000000001</v>
      </c>
      <c r="F17" s="260">
        <f t="shared" si="4"/>
        <v>3826.7580000000003</v>
      </c>
      <c r="G17" s="261">
        <v>1094.1219999999998</v>
      </c>
      <c r="H17" s="262">
        <v>683.15899999999999</v>
      </c>
      <c r="I17" s="261">
        <v>683.15899999999999</v>
      </c>
      <c r="J17" s="261">
        <v>683.15899999999999</v>
      </c>
      <c r="K17" s="261">
        <v>683.15899999999999</v>
      </c>
      <c r="L17" s="264" t="s">
        <v>8</v>
      </c>
      <c r="M17" s="265" t="s">
        <v>74</v>
      </c>
      <c r="O17" s="46"/>
      <c r="P17" s="46"/>
      <c r="Q17" s="46"/>
    </row>
    <row r="18" spans="1:21" ht="69" customHeight="1" x14ac:dyDescent="0.25">
      <c r="A18" s="617" t="s">
        <v>95</v>
      </c>
      <c r="B18" s="512" t="s">
        <v>169</v>
      </c>
      <c r="C18" s="596" t="s">
        <v>149</v>
      </c>
      <c r="D18" s="173" t="s">
        <v>9</v>
      </c>
      <c r="E18" s="174">
        <v>0</v>
      </c>
      <c r="F18" s="260">
        <f t="shared" si="4"/>
        <v>100</v>
      </c>
      <c r="G18" s="174">
        <v>100</v>
      </c>
      <c r="H18" s="176">
        <v>0</v>
      </c>
      <c r="I18" s="174">
        <v>0</v>
      </c>
      <c r="J18" s="174">
        <v>0</v>
      </c>
      <c r="K18" s="174">
        <v>0</v>
      </c>
      <c r="L18" s="666" t="s">
        <v>8</v>
      </c>
      <c r="M18" s="496" t="s">
        <v>230</v>
      </c>
    </row>
    <row r="19" spans="1:21" ht="75.75" customHeight="1" x14ac:dyDescent="0.25">
      <c r="A19" s="619"/>
      <c r="B19" s="514"/>
      <c r="C19" s="597"/>
      <c r="D19" s="173" t="s">
        <v>51</v>
      </c>
      <c r="E19" s="261">
        <v>1150.164</v>
      </c>
      <c r="F19" s="258">
        <f t="shared" si="4"/>
        <v>3702.2539999999999</v>
      </c>
      <c r="G19" s="261">
        <v>308.27100000000002</v>
      </c>
      <c r="H19" s="262">
        <f>757.621+363.499</f>
        <v>1121.1199999999999</v>
      </c>
      <c r="I19" s="261">
        <v>757.62099999999998</v>
      </c>
      <c r="J19" s="261">
        <v>757.62099999999998</v>
      </c>
      <c r="K19" s="261">
        <v>757.62099999999998</v>
      </c>
      <c r="L19" s="667"/>
      <c r="M19" s="498"/>
      <c r="O19" s="46"/>
      <c r="P19" s="46"/>
      <c r="Q19" s="46"/>
    </row>
    <row r="20" spans="1:21" ht="113.25" customHeight="1" x14ac:dyDescent="0.25">
      <c r="A20" s="266" t="s">
        <v>96</v>
      </c>
      <c r="B20" s="267" t="s">
        <v>170</v>
      </c>
      <c r="C20" s="182" t="s">
        <v>149</v>
      </c>
      <c r="D20" s="173" t="s">
        <v>9</v>
      </c>
      <c r="E20" s="174">
        <v>0</v>
      </c>
      <c r="F20" s="258">
        <f t="shared" si="4"/>
        <v>0</v>
      </c>
      <c r="G20" s="174">
        <v>0</v>
      </c>
      <c r="H20" s="176">
        <v>0</v>
      </c>
      <c r="I20" s="174">
        <v>0</v>
      </c>
      <c r="J20" s="174">
        <v>0</v>
      </c>
      <c r="K20" s="174">
        <v>0</v>
      </c>
      <c r="L20" s="264" t="s">
        <v>8</v>
      </c>
      <c r="M20" s="177" t="s">
        <v>171</v>
      </c>
    </row>
    <row r="21" spans="1:21" ht="118.5" customHeight="1" x14ac:dyDescent="0.25">
      <c r="A21" s="266" t="s">
        <v>97</v>
      </c>
      <c r="B21" s="268" t="s">
        <v>172</v>
      </c>
      <c r="C21" s="182" t="s">
        <v>149</v>
      </c>
      <c r="D21" s="173" t="s">
        <v>9</v>
      </c>
      <c r="E21" s="174">
        <v>30</v>
      </c>
      <c r="F21" s="258">
        <f t="shared" si="4"/>
        <v>28.05</v>
      </c>
      <c r="G21" s="174">
        <v>0</v>
      </c>
      <c r="H21" s="176">
        <v>28.05</v>
      </c>
      <c r="I21" s="174">
        <v>0</v>
      </c>
      <c r="J21" s="174">
        <v>0</v>
      </c>
      <c r="K21" s="174">
        <v>0</v>
      </c>
      <c r="L21" s="85" t="s">
        <v>11</v>
      </c>
      <c r="M21" s="269" t="s">
        <v>75</v>
      </c>
    </row>
    <row r="22" spans="1:21" ht="93.75" customHeight="1" x14ac:dyDescent="0.25">
      <c r="A22" s="270" t="s">
        <v>98</v>
      </c>
      <c r="B22" s="271" t="s">
        <v>182</v>
      </c>
      <c r="C22" s="178" t="s">
        <v>149</v>
      </c>
      <c r="D22" s="173" t="s">
        <v>9</v>
      </c>
      <c r="E22" s="272">
        <v>18550.440999999999</v>
      </c>
      <c r="F22" s="255">
        <f>SUM(G22:K22)</f>
        <v>101337.09200000002</v>
      </c>
      <c r="G22" s="272">
        <v>19356.344000000001</v>
      </c>
      <c r="H22" s="273">
        <v>20495.187000000002</v>
      </c>
      <c r="I22" s="272">
        <v>20495.187000000002</v>
      </c>
      <c r="J22" s="272">
        <v>20495.187000000002</v>
      </c>
      <c r="K22" s="272">
        <v>20495.187000000002</v>
      </c>
      <c r="L22" s="274" t="s">
        <v>8</v>
      </c>
      <c r="M22" s="275" t="s">
        <v>130</v>
      </c>
    </row>
    <row r="23" spans="1:21" ht="118.5" customHeight="1" x14ac:dyDescent="0.25">
      <c r="A23" s="263" t="s">
        <v>99</v>
      </c>
      <c r="B23" s="276" t="s">
        <v>183</v>
      </c>
      <c r="C23" s="182" t="s">
        <v>149</v>
      </c>
      <c r="D23" s="173" t="s">
        <v>9</v>
      </c>
      <c r="E23" s="80">
        <v>0</v>
      </c>
      <c r="F23" s="277">
        <f t="shared" ref="F23" si="5">SUM(G23:K23)</f>
        <v>122.815</v>
      </c>
      <c r="G23" s="80">
        <v>122.815</v>
      </c>
      <c r="H23" s="81">
        <v>0</v>
      </c>
      <c r="I23" s="80">
        <f>200-200</f>
        <v>0</v>
      </c>
      <c r="J23" s="80">
        <f>200-200</f>
        <v>0</v>
      </c>
      <c r="K23" s="80">
        <f>200-200</f>
        <v>0</v>
      </c>
      <c r="L23" s="85" t="s">
        <v>8</v>
      </c>
      <c r="M23" s="278" t="s">
        <v>231</v>
      </c>
    </row>
    <row r="24" spans="1:21" ht="157.5" customHeight="1" x14ac:dyDescent="0.25">
      <c r="A24" s="51" t="s">
        <v>100</v>
      </c>
      <c r="B24" s="68" t="s">
        <v>184</v>
      </c>
      <c r="C24" s="182" t="s">
        <v>149</v>
      </c>
      <c r="D24" s="73" t="s">
        <v>5</v>
      </c>
      <c r="E24" s="44">
        <v>0</v>
      </c>
      <c r="F24" s="78">
        <f t="shared" ref="F24" si="6">SUM(G24:K24)</f>
        <v>0</v>
      </c>
      <c r="G24" s="44">
        <v>0</v>
      </c>
      <c r="H24" s="45">
        <v>0</v>
      </c>
      <c r="I24" s="44">
        <v>0</v>
      </c>
      <c r="J24" s="44">
        <v>0</v>
      </c>
      <c r="K24" s="44">
        <v>0</v>
      </c>
      <c r="L24" s="69" t="s">
        <v>8</v>
      </c>
      <c r="M24" s="53" t="s">
        <v>86</v>
      </c>
      <c r="N24" s="46"/>
      <c r="O24" s="54"/>
      <c r="P24" s="54"/>
      <c r="Q24" s="54"/>
      <c r="R24" s="54"/>
      <c r="S24" s="54"/>
      <c r="T24" s="54"/>
      <c r="U24" s="54"/>
    </row>
    <row r="25" spans="1:21" ht="192" customHeight="1" x14ac:dyDescent="0.25">
      <c r="A25" s="270" t="s">
        <v>101</v>
      </c>
      <c r="B25" s="279" t="s">
        <v>185</v>
      </c>
      <c r="C25" s="182" t="s">
        <v>46</v>
      </c>
      <c r="D25" s="173" t="s">
        <v>9</v>
      </c>
      <c r="E25" s="80">
        <f>200+700</f>
        <v>900</v>
      </c>
      <c r="F25" s="277">
        <f t="shared" ref="F25:F26" si="7">SUM(G25:K25)</f>
        <v>900</v>
      </c>
      <c r="G25" s="80">
        <v>900</v>
      </c>
      <c r="H25" s="81">
        <v>0</v>
      </c>
      <c r="I25" s="80">
        <v>0</v>
      </c>
      <c r="J25" s="80">
        <v>0</v>
      </c>
      <c r="K25" s="80">
        <v>0</v>
      </c>
      <c r="L25" s="140" t="s">
        <v>232</v>
      </c>
      <c r="M25" s="275" t="s">
        <v>132</v>
      </c>
    </row>
    <row r="26" spans="1:21" ht="150" x14ac:dyDescent="0.25">
      <c r="A26" s="270" t="s">
        <v>102</v>
      </c>
      <c r="B26" s="279" t="s">
        <v>313</v>
      </c>
      <c r="C26" s="280" t="s">
        <v>149</v>
      </c>
      <c r="D26" s="281" t="s">
        <v>12</v>
      </c>
      <c r="E26" s="156">
        <v>0</v>
      </c>
      <c r="F26" s="277">
        <f t="shared" si="7"/>
        <v>17280</v>
      </c>
      <c r="G26" s="156">
        <v>0</v>
      </c>
      <c r="H26" s="157">
        <v>4320</v>
      </c>
      <c r="I26" s="156">
        <v>4320</v>
      </c>
      <c r="J26" s="156">
        <v>4320</v>
      </c>
      <c r="K26" s="156">
        <v>4320</v>
      </c>
      <c r="L26" s="140" t="s">
        <v>11</v>
      </c>
      <c r="M26" s="275" t="s">
        <v>311</v>
      </c>
    </row>
    <row r="27" spans="1:21" ht="36" customHeight="1" x14ac:dyDescent="0.25">
      <c r="A27" s="620"/>
      <c r="B27" s="626" t="s">
        <v>147</v>
      </c>
      <c r="C27" s="630" t="s">
        <v>149</v>
      </c>
      <c r="D27" s="282" t="s">
        <v>10</v>
      </c>
      <c r="E27" s="283">
        <f>SUM(E28:E28)</f>
        <v>1188</v>
      </c>
      <c r="F27" s="277">
        <f t="shared" ref="F27:F28" si="8">SUM(G27:K27)</f>
        <v>6185</v>
      </c>
      <c r="G27" s="283">
        <f>SUM(G28:G28)</f>
        <v>1455</v>
      </c>
      <c r="H27" s="259">
        <f>SUM(H28:H28)</f>
        <v>1457</v>
      </c>
      <c r="I27" s="283">
        <f>SUM(I28:I28)</f>
        <v>1614</v>
      </c>
      <c r="J27" s="283">
        <f>SUM(J28:J28)</f>
        <v>1659</v>
      </c>
      <c r="K27" s="283">
        <f>SUM(K28:K28)</f>
        <v>0</v>
      </c>
      <c r="L27" s="644"/>
      <c r="M27" s="664"/>
    </row>
    <row r="28" spans="1:21" ht="37.5" x14ac:dyDescent="0.25">
      <c r="A28" s="621"/>
      <c r="B28" s="627"/>
      <c r="C28" s="631"/>
      <c r="D28" s="187" t="s">
        <v>5</v>
      </c>
      <c r="E28" s="284">
        <f>E29</f>
        <v>1188</v>
      </c>
      <c r="F28" s="277">
        <f t="shared" si="8"/>
        <v>6185</v>
      </c>
      <c r="G28" s="284">
        <f>G29</f>
        <v>1455</v>
      </c>
      <c r="H28" s="285">
        <f t="shared" ref="H28:K28" si="9">H29</f>
        <v>1457</v>
      </c>
      <c r="I28" s="284">
        <f t="shared" si="9"/>
        <v>1614</v>
      </c>
      <c r="J28" s="284">
        <f t="shared" si="9"/>
        <v>1659</v>
      </c>
      <c r="K28" s="284">
        <f t="shared" si="9"/>
        <v>0</v>
      </c>
      <c r="L28" s="645"/>
      <c r="M28" s="665"/>
    </row>
    <row r="29" spans="1:21" ht="113.25" customHeight="1" x14ac:dyDescent="0.25">
      <c r="A29" s="270" t="s">
        <v>111</v>
      </c>
      <c r="B29" s="286" t="s">
        <v>259</v>
      </c>
      <c r="C29" s="287" t="s">
        <v>149</v>
      </c>
      <c r="D29" s="173" t="s">
        <v>5</v>
      </c>
      <c r="E29" s="257">
        <v>1188</v>
      </c>
      <c r="F29" s="277">
        <f t="shared" ref="F29:F31" si="10">SUM(G29:K29)</f>
        <v>6185</v>
      </c>
      <c r="G29" s="257">
        <v>1455</v>
      </c>
      <c r="H29" s="259">
        <v>1457</v>
      </c>
      <c r="I29" s="257">
        <v>1614</v>
      </c>
      <c r="J29" s="257">
        <v>1659</v>
      </c>
      <c r="K29" s="257">
        <v>0</v>
      </c>
      <c r="L29" s="274" t="s">
        <v>11</v>
      </c>
      <c r="M29" s="275" t="s">
        <v>26</v>
      </c>
    </row>
    <row r="30" spans="1:21" ht="26.25" customHeight="1" x14ac:dyDescent="0.25">
      <c r="A30" s="620"/>
      <c r="B30" s="633" t="s">
        <v>141</v>
      </c>
      <c r="C30" s="630" t="s">
        <v>149</v>
      </c>
      <c r="D30" s="187" t="s">
        <v>10</v>
      </c>
      <c r="E30" s="288">
        <f t="shared" ref="E30:K30" si="11">E31+E32</f>
        <v>31887</v>
      </c>
      <c r="F30" s="277">
        <f t="shared" si="10"/>
        <v>100396</v>
      </c>
      <c r="G30" s="288">
        <f t="shared" si="11"/>
        <v>28499</v>
      </c>
      <c r="H30" s="273">
        <f t="shared" si="11"/>
        <v>30377</v>
      </c>
      <c r="I30" s="288">
        <f t="shared" si="11"/>
        <v>13840</v>
      </c>
      <c r="J30" s="288">
        <f t="shared" si="11"/>
        <v>13840</v>
      </c>
      <c r="K30" s="288">
        <f t="shared" si="11"/>
        <v>13840</v>
      </c>
      <c r="L30" s="641"/>
      <c r="M30" s="655"/>
    </row>
    <row r="31" spans="1:21" ht="36" customHeight="1" x14ac:dyDescent="0.25">
      <c r="A31" s="621"/>
      <c r="B31" s="634"/>
      <c r="C31" s="631"/>
      <c r="D31" s="187" t="s">
        <v>5</v>
      </c>
      <c r="E31" s="284">
        <f>E36</f>
        <v>15154</v>
      </c>
      <c r="F31" s="277">
        <f t="shared" si="10"/>
        <v>29226</v>
      </c>
      <c r="G31" s="284">
        <f t="shared" ref="G31:K31" si="12">G36</f>
        <v>14689</v>
      </c>
      <c r="H31" s="285">
        <f t="shared" si="12"/>
        <v>14537</v>
      </c>
      <c r="I31" s="284">
        <f t="shared" si="12"/>
        <v>0</v>
      </c>
      <c r="J31" s="284">
        <f t="shared" si="12"/>
        <v>0</v>
      </c>
      <c r="K31" s="284">
        <f t="shared" si="12"/>
        <v>0</v>
      </c>
      <c r="L31" s="642"/>
      <c r="M31" s="656"/>
    </row>
    <row r="32" spans="1:21" ht="56.25" customHeight="1" x14ac:dyDescent="0.25">
      <c r="A32" s="636"/>
      <c r="B32" s="635"/>
      <c r="C32" s="632"/>
      <c r="D32" s="187" t="s">
        <v>9</v>
      </c>
      <c r="E32" s="289">
        <f>E33+E34</f>
        <v>16733</v>
      </c>
      <c r="F32" s="277">
        <f>SUM(G32:K32)</f>
        <v>71170</v>
      </c>
      <c r="G32" s="289">
        <f>G33+G34</f>
        <v>13810</v>
      </c>
      <c r="H32" s="290">
        <f>H33+H34</f>
        <v>15840</v>
      </c>
      <c r="I32" s="289">
        <f>I33+I34</f>
        <v>13840</v>
      </c>
      <c r="J32" s="289">
        <f>J33+J34</f>
        <v>13840</v>
      </c>
      <c r="K32" s="289">
        <f>K33+K34</f>
        <v>13840</v>
      </c>
      <c r="L32" s="643"/>
      <c r="M32" s="657"/>
    </row>
    <row r="33" spans="1:14" ht="99" customHeight="1" x14ac:dyDescent="0.25">
      <c r="A33" s="171" t="s">
        <v>126</v>
      </c>
      <c r="B33" s="172" t="s">
        <v>124</v>
      </c>
      <c r="C33" s="182" t="s">
        <v>149</v>
      </c>
      <c r="D33" s="173" t="s">
        <v>9</v>
      </c>
      <c r="E33" s="174">
        <v>1733</v>
      </c>
      <c r="F33" s="175">
        <f>SUM(G33:K33)</f>
        <v>11170</v>
      </c>
      <c r="G33" s="174">
        <f>2000-100-90</f>
        <v>1810</v>
      </c>
      <c r="H33" s="176">
        <f>1840+2000</f>
        <v>3840</v>
      </c>
      <c r="I33" s="174">
        <v>1840</v>
      </c>
      <c r="J33" s="174">
        <v>1840</v>
      </c>
      <c r="K33" s="174">
        <v>1840</v>
      </c>
      <c r="L33" s="85" t="s">
        <v>11</v>
      </c>
      <c r="M33" s="177" t="s">
        <v>27</v>
      </c>
    </row>
    <row r="34" spans="1:14" ht="58.5" customHeight="1" x14ac:dyDescent="0.25">
      <c r="A34" s="600" t="s">
        <v>127</v>
      </c>
      <c r="B34" s="518" t="s">
        <v>125</v>
      </c>
      <c r="C34" s="596" t="s">
        <v>149</v>
      </c>
      <c r="D34" s="173" t="s">
        <v>9</v>
      </c>
      <c r="E34" s="174">
        <v>15000</v>
      </c>
      <c r="F34" s="175">
        <f t="shared" ref="F34:F36" si="13">SUM(G34:K34)</f>
        <v>60000</v>
      </c>
      <c r="G34" s="174">
        <f>7000+5000</f>
        <v>12000</v>
      </c>
      <c r="H34" s="176">
        <f>7000+5000</f>
        <v>12000</v>
      </c>
      <c r="I34" s="174">
        <f t="shared" ref="I34:K34" si="14">7000+5000</f>
        <v>12000</v>
      </c>
      <c r="J34" s="174">
        <f t="shared" si="14"/>
        <v>12000</v>
      </c>
      <c r="K34" s="174">
        <f t="shared" si="14"/>
        <v>12000</v>
      </c>
      <c r="L34" s="441" t="s">
        <v>260</v>
      </c>
      <c r="M34" s="528" t="s">
        <v>28</v>
      </c>
    </row>
    <row r="35" spans="1:14" ht="93.75" x14ac:dyDescent="0.25">
      <c r="A35" s="606"/>
      <c r="B35" s="589"/>
      <c r="C35" s="608"/>
      <c r="D35" s="173" t="s">
        <v>315</v>
      </c>
      <c r="E35" s="174">
        <v>0</v>
      </c>
      <c r="F35" s="175">
        <f t="shared" si="13"/>
        <v>12000</v>
      </c>
      <c r="G35" s="174">
        <v>0</v>
      </c>
      <c r="H35" s="176">
        <v>12000</v>
      </c>
      <c r="I35" s="174">
        <v>0</v>
      </c>
      <c r="J35" s="174">
        <v>0</v>
      </c>
      <c r="K35" s="174">
        <v>0</v>
      </c>
      <c r="L35" s="609"/>
      <c r="M35" s="529"/>
    </row>
    <row r="36" spans="1:14" ht="56.25" customHeight="1" x14ac:dyDescent="0.25">
      <c r="A36" s="601"/>
      <c r="B36" s="519"/>
      <c r="C36" s="597"/>
      <c r="D36" s="173" t="s">
        <v>5</v>
      </c>
      <c r="E36" s="291">
        <v>15154</v>
      </c>
      <c r="F36" s="292">
        <f t="shared" si="13"/>
        <v>29226</v>
      </c>
      <c r="G36" s="291">
        <v>14689</v>
      </c>
      <c r="H36" s="293">
        <v>14537</v>
      </c>
      <c r="I36" s="291">
        <v>0</v>
      </c>
      <c r="J36" s="291">
        <v>0</v>
      </c>
      <c r="K36" s="291">
        <v>0</v>
      </c>
      <c r="L36" s="442"/>
      <c r="M36" s="530"/>
      <c r="N36" s="114"/>
    </row>
    <row r="37" spans="1:14" ht="18.75" x14ac:dyDescent="0.25">
      <c r="A37" s="624" t="s">
        <v>58</v>
      </c>
      <c r="B37" s="625"/>
      <c r="C37" s="625"/>
      <c r="D37" s="625"/>
      <c r="E37" s="294">
        <f>SUM(E38:E41)-E40</f>
        <v>122682.174</v>
      </c>
      <c r="F37" s="294">
        <f t="shared" ref="F37:K37" si="15">SUM(F38:F41)-F40</f>
        <v>620127.67600000009</v>
      </c>
      <c r="G37" s="294">
        <f t="shared" si="15"/>
        <v>128410.65000000001</v>
      </c>
      <c r="H37" s="243">
        <f t="shared" si="15"/>
        <v>139872.16899999999</v>
      </c>
      <c r="I37" s="294">
        <f t="shared" si="15"/>
        <v>117804.61900000001</v>
      </c>
      <c r="J37" s="294">
        <f t="shared" si="15"/>
        <v>117849.61900000001</v>
      </c>
      <c r="K37" s="294">
        <f t="shared" si="15"/>
        <v>116190.61900000001</v>
      </c>
      <c r="L37" s="295"/>
      <c r="M37" s="296"/>
    </row>
    <row r="38" spans="1:14" ht="18.75" x14ac:dyDescent="0.25">
      <c r="A38" s="622" t="s">
        <v>5</v>
      </c>
      <c r="B38" s="623"/>
      <c r="C38" s="623"/>
      <c r="D38" s="623"/>
      <c r="E38" s="242">
        <f>E10+E28+E31</f>
        <v>16342</v>
      </c>
      <c r="F38" s="294">
        <f>SUM(G38:K38)</f>
        <v>36317</v>
      </c>
      <c r="G38" s="242">
        <f>G10+G28+G31</f>
        <v>17050</v>
      </c>
      <c r="H38" s="243">
        <f>H10+H28+H31</f>
        <v>15994</v>
      </c>
      <c r="I38" s="242">
        <f>I10+I28+I31</f>
        <v>1614</v>
      </c>
      <c r="J38" s="242">
        <f>J10+J28+J31</f>
        <v>1659</v>
      </c>
      <c r="K38" s="242">
        <f>K10+K28+K31</f>
        <v>0</v>
      </c>
      <c r="L38" s="297"/>
      <c r="M38" s="298"/>
    </row>
    <row r="39" spans="1:14" ht="18.75" x14ac:dyDescent="0.25">
      <c r="A39" s="622" t="s">
        <v>9</v>
      </c>
      <c r="B39" s="623"/>
      <c r="C39" s="623"/>
      <c r="D39" s="623"/>
      <c r="E39" s="242">
        <f>E11+E32</f>
        <v>97506.72</v>
      </c>
      <c r="F39" s="294">
        <f t="shared" ref="F39:F41" si="16">SUM(G39:K39)</f>
        <v>536710.12600000005</v>
      </c>
      <c r="G39" s="242">
        <f>G11+G32</f>
        <v>102173.6</v>
      </c>
      <c r="H39" s="243">
        <f>H11+H32</f>
        <v>110155.16900000001</v>
      </c>
      <c r="I39" s="242">
        <f>I11+I32</f>
        <v>108127.11900000001</v>
      </c>
      <c r="J39" s="242">
        <f>J11+J32</f>
        <v>108127.11900000001</v>
      </c>
      <c r="K39" s="242">
        <f>K11+K32</f>
        <v>108127.11900000001</v>
      </c>
      <c r="L39" s="297"/>
      <c r="M39" s="298"/>
    </row>
    <row r="40" spans="1:14" ht="18.75" x14ac:dyDescent="0.25">
      <c r="A40" s="622" t="s">
        <v>315</v>
      </c>
      <c r="B40" s="623"/>
      <c r="C40" s="623"/>
      <c r="D40" s="623"/>
      <c r="E40" s="242">
        <v>0</v>
      </c>
      <c r="F40" s="294">
        <f t="shared" si="16"/>
        <v>12000</v>
      </c>
      <c r="G40" s="242">
        <v>0</v>
      </c>
      <c r="H40" s="243">
        <f>H35</f>
        <v>12000</v>
      </c>
      <c r="I40" s="242">
        <v>0</v>
      </c>
      <c r="J40" s="242">
        <v>0</v>
      </c>
      <c r="K40" s="242">
        <v>0</v>
      </c>
      <c r="L40" s="297"/>
      <c r="M40" s="298"/>
    </row>
    <row r="41" spans="1:14" ht="19.5" thickBot="1" x14ac:dyDescent="0.35">
      <c r="A41" s="628" t="s">
        <v>51</v>
      </c>
      <c r="B41" s="629"/>
      <c r="C41" s="629"/>
      <c r="D41" s="629"/>
      <c r="E41" s="299">
        <f>E12</f>
        <v>8833.4539999999997</v>
      </c>
      <c r="F41" s="300">
        <f t="shared" si="16"/>
        <v>47100.55</v>
      </c>
      <c r="G41" s="299">
        <f>G12</f>
        <v>9187.0500000000011</v>
      </c>
      <c r="H41" s="301">
        <f>H12</f>
        <v>13723</v>
      </c>
      <c r="I41" s="299">
        <f>I12</f>
        <v>8063.5</v>
      </c>
      <c r="J41" s="299">
        <f>J12</f>
        <v>8063.5</v>
      </c>
      <c r="K41" s="299">
        <f>K12</f>
        <v>8063.5</v>
      </c>
      <c r="L41" s="302"/>
      <c r="M41" s="303"/>
    </row>
    <row r="42" spans="1:14" x14ac:dyDescent="0.25">
      <c r="F42" s="115"/>
    </row>
  </sheetData>
  <mergeCells count="46">
    <mergeCell ref="L2:M2"/>
    <mergeCell ref="A18:A19"/>
    <mergeCell ref="B18:B19"/>
    <mergeCell ref="C18:C19"/>
    <mergeCell ref="M18:M19"/>
    <mergeCell ref="L9:L12"/>
    <mergeCell ref="M9:M12"/>
    <mergeCell ref="E4:E6"/>
    <mergeCell ref="M4:M6"/>
    <mergeCell ref="A8:M8"/>
    <mergeCell ref="L4:L6"/>
    <mergeCell ref="G4:K5"/>
    <mergeCell ref="A4:A6"/>
    <mergeCell ref="A9:A12"/>
    <mergeCell ref="M34:M36"/>
    <mergeCell ref="M30:M32"/>
    <mergeCell ref="L34:L36"/>
    <mergeCell ref="C13:C16"/>
    <mergeCell ref="L13:L16"/>
    <mergeCell ref="M13:M16"/>
    <mergeCell ref="M27:M28"/>
    <mergeCell ref="L18:L19"/>
    <mergeCell ref="C27:C28"/>
    <mergeCell ref="B9:B12"/>
    <mergeCell ref="C9:C12"/>
    <mergeCell ref="B4:B6"/>
    <mergeCell ref="C4:C6"/>
    <mergeCell ref="L30:L32"/>
    <mergeCell ref="L27:L28"/>
    <mergeCell ref="B13:B16"/>
    <mergeCell ref="D4:D6"/>
    <mergeCell ref="F4:F6"/>
    <mergeCell ref="A41:D41"/>
    <mergeCell ref="C30:C32"/>
    <mergeCell ref="B30:B32"/>
    <mergeCell ref="A30:A32"/>
    <mergeCell ref="B34:B36"/>
    <mergeCell ref="A40:D40"/>
    <mergeCell ref="A13:A16"/>
    <mergeCell ref="A27:A28"/>
    <mergeCell ref="A39:D39"/>
    <mergeCell ref="A38:D38"/>
    <mergeCell ref="C34:C36"/>
    <mergeCell ref="A37:D37"/>
    <mergeCell ref="A34:A36"/>
    <mergeCell ref="B27:B28"/>
  </mergeCells>
  <pageMargins left="0.19685039370078741" right="0.19685039370078741" top="0.19685039370078741" bottom="0.19685039370078741" header="0" footer="0"/>
  <pageSetup paperSize="9" scale="47" fitToHeight="0" orientation="landscape" r:id="rId1"/>
  <rowBreaks count="1" manualBreakCount="1">
    <brk id="2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47"/>
  <sheetViews>
    <sheetView view="pageBreakPreview" zoomScale="70" zoomScaleNormal="70" zoomScaleSheetLayoutView="70" workbookViewId="0">
      <pane xSplit="2" ySplit="7" topLeftCell="C23" activePane="bottomRight" state="frozen"/>
      <selection activeCell="H33" sqref="H33"/>
      <selection pane="topRight" activeCell="H33" sqref="H33"/>
      <selection pane="bottomLeft" activeCell="H33" sqref="H33"/>
      <selection pane="bottomRight" activeCell="N26" sqref="N26"/>
    </sheetView>
  </sheetViews>
  <sheetFormatPr defaultRowHeight="15" x14ac:dyDescent="0.25"/>
  <cols>
    <col min="1" max="1" width="6.7109375" style="8" customWidth="1"/>
    <col min="2" max="2" width="67.42578125" style="8" customWidth="1"/>
    <col min="3" max="3" width="18.5703125" style="8" customWidth="1"/>
    <col min="4" max="4" width="32.85546875" style="8" customWidth="1"/>
    <col min="5" max="5" width="21.28515625" style="8" customWidth="1"/>
    <col min="6" max="6" width="17.7109375" style="119" customWidth="1"/>
    <col min="7" max="7" width="15.85546875" style="8" customWidth="1"/>
    <col min="8" max="9" width="15.85546875" style="120" customWidth="1"/>
    <col min="10" max="11" width="15.85546875" style="8" customWidth="1"/>
    <col min="12" max="12" width="26.5703125" style="8" customWidth="1"/>
    <col min="13" max="13" width="42" style="8" customWidth="1"/>
    <col min="14" max="14" width="17.140625" style="8" customWidth="1"/>
    <col min="15" max="16384" width="9.140625" style="8"/>
  </cols>
  <sheetData>
    <row r="1" spans="1:15" ht="15.75" x14ac:dyDescent="0.25">
      <c r="A1" s="2"/>
      <c r="B1" s="3"/>
      <c r="C1" s="4"/>
      <c r="D1" s="3"/>
      <c r="E1" s="3"/>
      <c r="F1" s="121"/>
      <c r="G1" s="3"/>
      <c r="H1" s="6"/>
      <c r="I1" s="6"/>
      <c r="J1" s="7"/>
      <c r="K1" s="7"/>
      <c r="L1" s="7"/>
      <c r="M1" s="7"/>
    </row>
    <row r="2" spans="1:15" ht="15.75" customHeight="1" x14ac:dyDescent="0.25">
      <c r="A2" s="2"/>
      <c r="B2" s="9"/>
      <c r="C2" s="10"/>
      <c r="D2" s="11"/>
      <c r="E2" s="11"/>
      <c r="F2" s="122"/>
      <c r="G2" s="13"/>
      <c r="H2" s="14"/>
      <c r="I2" s="14"/>
      <c r="J2" s="13"/>
      <c r="K2" s="13"/>
      <c r="L2" s="443"/>
      <c r="M2" s="443"/>
    </row>
    <row r="3" spans="1:15" ht="15.75" customHeight="1" thickBot="1" x14ac:dyDescent="0.3">
      <c r="A3" s="2"/>
      <c r="B3" s="9"/>
      <c r="C3" s="10"/>
      <c r="D3" s="11"/>
      <c r="E3" s="11"/>
      <c r="F3" s="122"/>
      <c r="G3" s="13"/>
      <c r="H3" s="14"/>
      <c r="I3" s="14"/>
      <c r="J3" s="13"/>
      <c r="K3" s="13"/>
      <c r="L3" s="123"/>
      <c r="M3" s="123"/>
    </row>
    <row r="4" spans="1:15" ht="29.25" customHeight="1" x14ac:dyDescent="0.25">
      <c r="A4" s="705" t="s">
        <v>1</v>
      </c>
      <c r="B4" s="697" t="s">
        <v>14</v>
      </c>
      <c r="C4" s="697" t="s">
        <v>0</v>
      </c>
      <c r="D4" s="697" t="s">
        <v>15</v>
      </c>
      <c r="E4" s="697" t="s">
        <v>157</v>
      </c>
      <c r="F4" s="695" t="s">
        <v>16</v>
      </c>
      <c r="G4" s="699" t="s">
        <v>49</v>
      </c>
      <c r="H4" s="700"/>
      <c r="I4" s="700"/>
      <c r="J4" s="700"/>
      <c r="K4" s="701"/>
      <c r="L4" s="697" t="s">
        <v>17</v>
      </c>
      <c r="M4" s="690" t="s">
        <v>7</v>
      </c>
    </row>
    <row r="5" spans="1:15" ht="57" customHeight="1" x14ac:dyDescent="0.25">
      <c r="A5" s="706"/>
      <c r="B5" s="698"/>
      <c r="C5" s="698"/>
      <c r="D5" s="698"/>
      <c r="E5" s="698"/>
      <c r="F5" s="696"/>
      <c r="G5" s="305" t="s">
        <v>158</v>
      </c>
      <c r="H5" s="306" t="s">
        <v>47</v>
      </c>
      <c r="I5" s="202" t="s">
        <v>150</v>
      </c>
      <c r="J5" s="305" t="s">
        <v>151</v>
      </c>
      <c r="K5" s="305" t="s">
        <v>152</v>
      </c>
      <c r="L5" s="698"/>
      <c r="M5" s="691"/>
    </row>
    <row r="6" spans="1:15" ht="18.75" x14ac:dyDescent="0.25">
      <c r="A6" s="20" t="s">
        <v>29</v>
      </c>
      <c r="B6" s="21">
        <v>2</v>
      </c>
      <c r="C6" s="21" t="s">
        <v>18</v>
      </c>
      <c r="D6" s="21" t="s">
        <v>137</v>
      </c>
      <c r="E6" s="21" t="s">
        <v>19</v>
      </c>
      <c r="F6" s="22" t="s">
        <v>134</v>
      </c>
      <c r="G6" s="21" t="s">
        <v>20</v>
      </c>
      <c r="H6" s="23" t="s">
        <v>135</v>
      </c>
      <c r="I6" s="21" t="s">
        <v>21</v>
      </c>
      <c r="J6" s="21" t="s">
        <v>22</v>
      </c>
      <c r="K6" s="21" t="s">
        <v>30</v>
      </c>
      <c r="L6" s="21" t="s">
        <v>31</v>
      </c>
      <c r="M6" s="24" t="s">
        <v>50</v>
      </c>
    </row>
    <row r="7" spans="1:15" ht="34.5" customHeight="1" x14ac:dyDescent="0.25">
      <c r="A7" s="307"/>
      <c r="B7" s="702" t="s">
        <v>53</v>
      </c>
      <c r="C7" s="702"/>
      <c r="D7" s="703"/>
      <c r="E7" s="703"/>
      <c r="F7" s="703"/>
      <c r="G7" s="703"/>
      <c r="H7" s="703"/>
      <c r="I7" s="703"/>
      <c r="J7" s="703"/>
      <c r="K7" s="703"/>
      <c r="L7" s="703"/>
      <c r="M7" s="704"/>
    </row>
    <row r="8" spans="1:15" ht="84.75" customHeight="1" x14ac:dyDescent="0.25">
      <c r="A8" s="184"/>
      <c r="B8" s="185" t="s">
        <v>146</v>
      </c>
      <c r="C8" s="186" t="s">
        <v>149</v>
      </c>
      <c r="D8" s="187" t="s">
        <v>9</v>
      </c>
      <c r="E8" s="188">
        <f>E9+E10+E11+E12+E13+E14</f>
        <v>24031.141000000003</v>
      </c>
      <c r="F8" s="189">
        <f t="shared" ref="F8:F15" si="0">SUM(G8:K8)</f>
        <v>126900.01100000001</v>
      </c>
      <c r="G8" s="188">
        <f>G9+G10+G11+G12+G13+G14+G15</f>
        <v>27498.839</v>
      </c>
      <c r="H8" s="190">
        <f t="shared" ref="H8:K8" si="1">H9+H10+H11+H12+H13+H14</f>
        <v>24850.293000000001</v>
      </c>
      <c r="I8" s="188">
        <f>I9+I10+I11+I12+I13+I14</f>
        <v>24850.293000000001</v>
      </c>
      <c r="J8" s="188">
        <f t="shared" si="1"/>
        <v>24850.293000000001</v>
      </c>
      <c r="K8" s="188">
        <f t="shared" si="1"/>
        <v>24850.293000000001</v>
      </c>
      <c r="L8" s="308"/>
      <c r="M8" s="191"/>
    </row>
    <row r="9" spans="1:15" ht="105" customHeight="1" x14ac:dyDescent="0.25">
      <c r="A9" s="192" t="s">
        <v>93</v>
      </c>
      <c r="B9" s="193" t="s">
        <v>76</v>
      </c>
      <c r="C9" s="309" t="s">
        <v>149</v>
      </c>
      <c r="D9" s="178" t="s">
        <v>32</v>
      </c>
      <c r="E9" s="194">
        <f>15799.6+68.618+20.723</f>
        <v>15888.941000000001</v>
      </c>
      <c r="F9" s="195">
        <f t="shared" si="0"/>
        <v>83884.759000000005</v>
      </c>
      <c r="G9" s="194">
        <v>17440.667000000001</v>
      </c>
      <c r="H9" s="196">
        <v>16611.023000000001</v>
      </c>
      <c r="I9" s="194">
        <v>16611.023000000001</v>
      </c>
      <c r="J9" s="194">
        <v>16611.023000000001</v>
      </c>
      <c r="K9" s="194">
        <v>16611.023000000001</v>
      </c>
      <c r="L9" s="310" t="s">
        <v>11</v>
      </c>
      <c r="M9" s="311" t="s">
        <v>80</v>
      </c>
    </row>
    <row r="10" spans="1:15" ht="93.75" customHeight="1" x14ac:dyDescent="0.25">
      <c r="A10" s="197" t="s">
        <v>94</v>
      </c>
      <c r="B10" s="198" t="s">
        <v>77</v>
      </c>
      <c r="C10" s="309" t="s">
        <v>149</v>
      </c>
      <c r="D10" s="182" t="s">
        <v>32</v>
      </c>
      <c r="E10" s="199">
        <v>1.2</v>
      </c>
      <c r="F10" s="200">
        <f t="shared" si="0"/>
        <v>1.7520000000000002</v>
      </c>
      <c r="G10" s="199">
        <v>0.67200000000000004</v>
      </c>
      <c r="H10" s="201">
        <v>0.27</v>
      </c>
      <c r="I10" s="199">
        <v>0.27</v>
      </c>
      <c r="J10" s="199">
        <v>0.27</v>
      </c>
      <c r="K10" s="199">
        <v>0.27</v>
      </c>
      <c r="L10" s="312" t="s">
        <v>11</v>
      </c>
      <c r="M10" s="313" t="s">
        <v>80</v>
      </c>
    </row>
    <row r="11" spans="1:15" ht="227.25" customHeight="1" x14ac:dyDescent="0.25">
      <c r="A11" s="314" t="s">
        <v>95</v>
      </c>
      <c r="B11" s="315" t="s">
        <v>78</v>
      </c>
      <c r="C11" s="309" t="s">
        <v>149</v>
      </c>
      <c r="D11" s="182" t="s">
        <v>32</v>
      </c>
      <c r="E11" s="199">
        <f>200-118</f>
        <v>82</v>
      </c>
      <c r="F11" s="200">
        <f t="shared" si="0"/>
        <v>0</v>
      </c>
      <c r="G11" s="199">
        <v>0</v>
      </c>
      <c r="H11" s="201">
        <v>0</v>
      </c>
      <c r="I11" s="199">
        <v>0</v>
      </c>
      <c r="J11" s="199">
        <v>0</v>
      </c>
      <c r="K11" s="199">
        <v>0</v>
      </c>
      <c r="L11" s="312" t="s">
        <v>233</v>
      </c>
      <c r="M11" s="313" t="s">
        <v>33</v>
      </c>
      <c r="N11" s="55"/>
      <c r="O11" s="55"/>
    </row>
    <row r="12" spans="1:15" ht="117.75" customHeight="1" x14ac:dyDescent="0.25">
      <c r="A12" s="316" t="s">
        <v>96</v>
      </c>
      <c r="B12" s="317" t="s">
        <v>90</v>
      </c>
      <c r="C12" s="309" t="s">
        <v>149</v>
      </c>
      <c r="D12" s="287" t="s">
        <v>32</v>
      </c>
      <c r="E12" s="318">
        <v>400</v>
      </c>
      <c r="F12" s="195">
        <f t="shared" si="0"/>
        <v>2000</v>
      </c>
      <c r="G12" s="318">
        <v>400</v>
      </c>
      <c r="H12" s="319">
        <v>400</v>
      </c>
      <c r="I12" s="318">
        <v>400</v>
      </c>
      <c r="J12" s="318">
        <v>400</v>
      </c>
      <c r="K12" s="318">
        <v>400</v>
      </c>
      <c r="L12" s="312" t="s">
        <v>233</v>
      </c>
      <c r="M12" s="311" t="s">
        <v>89</v>
      </c>
      <c r="N12" s="54"/>
      <c r="O12" s="54"/>
    </row>
    <row r="13" spans="1:15" ht="117" customHeight="1" x14ac:dyDescent="0.25">
      <c r="A13" s="316" t="s">
        <v>97</v>
      </c>
      <c r="B13" s="172" t="s">
        <v>79</v>
      </c>
      <c r="C13" s="309" t="s">
        <v>149</v>
      </c>
      <c r="D13" s="178" t="s">
        <v>32</v>
      </c>
      <c r="E13" s="318">
        <v>2753</v>
      </c>
      <c r="F13" s="195">
        <f t="shared" si="0"/>
        <v>14505</v>
      </c>
      <c r="G13" s="318">
        <v>2773</v>
      </c>
      <c r="H13" s="319">
        <v>2933</v>
      </c>
      <c r="I13" s="318">
        <v>2933</v>
      </c>
      <c r="J13" s="318">
        <v>2933</v>
      </c>
      <c r="K13" s="318">
        <v>2933</v>
      </c>
      <c r="L13" s="312" t="s">
        <v>233</v>
      </c>
      <c r="M13" s="311" t="s">
        <v>234</v>
      </c>
    </row>
    <row r="14" spans="1:15" ht="151.5" customHeight="1" x14ac:dyDescent="0.25">
      <c r="A14" s="316" t="s">
        <v>98</v>
      </c>
      <c r="B14" s="320" t="s">
        <v>87</v>
      </c>
      <c r="C14" s="309" t="s">
        <v>149</v>
      </c>
      <c r="D14" s="178" t="s">
        <v>32</v>
      </c>
      <c r="E14" s="318">
        <f>4626+118+162</f>
        <v>4906</v>
      </c>
      <c r="F14" s="195">
        <f t="shared" si="0"/>
        <v>24530</v>
      </c>
      <c r="G14" s="174">
        <v>4906</v>
      </c>
      <c r="H14" s="176">
        <v>4906</v>
      </c>
      <c r="I14" s="174">
        <v>4906</v>
      </c>
      <c r="J14" s="174">
        <v>4906</v>
      </c>
      <c r="K14" s="174">
        <v>4906</v>
      </c>
      <c r="L14" s="312" t="s">
        <v>233</v>
      </c>
      <c r="M14" s="311" t="s">
        <v>173</v>
      </c>
    </row>
    <row r="15" spans="1:15" ht="123" customHeight="1" x14ac:dyDescent="0.25">
      <c r="A15" s="263" t="s">
        <v>99</v>
      </c>
      <c r="B15" s="88" t="s">
        <v>186</v>
      </c>
      <c r="C15" s="309" t="s">
        <v>149</v>
      </c>
      <c r="D15" s="178" t="s">
        <v>32</v>
      </c>
      <c r="E15" s="174">
        <v>0</v>
      </c>
      <c r="F15" s="195">
        <f t="shared" si="0"/>
        <v>1978.5</v>
      </c>
      <c r="G15" s="174">
        <v>1978.5</v>
      </c>
      <c r="H15" s="176">
        <v>0</v>
      </c>
      <c r="I15" s="174">
        <v>0</v>
      </c>
      <c r="J15" s="174">
        <v>0</v>
      </c>
      <c r="K15" s="174">
        <v>0</v>
      </c>
      <c r="L15" s="312" t="s">
        <v>233</v>
      </c>
      <c r="M15" s="321" t="s">
        <v>235</v>
      </c>
    </row>
    <row r="16" spans="1:15" ht="36.75" customHeight="1" x14ac:dyDescent="0.25">
      <c r="A16" s="714"/>
      <c r="B16" s="717" t="s">
        <v>178</v>
      </c>
      <c r="C16" s="717" t="s">
        <v>149</v>
      </c>
      <c r="D16" s="187" t="s">
        <v>10</v>
      </c>
      <c r="E16" s="322">
        <f t="shared" ref="E16:J16" si="2">SUM(E17:E18)</f>
        <v>279825.12</v>
      </c>
      <c r="F16" s="323">
        <f t="shared" ref="F16:F27" si="3">SUM(G16:K16)</f>
        <v>923188.68499999994</v>
      </c>
      <c r="G16" s="322">
        <f t="shared" si="2"/>
        <v>244345.209</v>
      </c>
      <c r="H16" s="324">
        <f t="shared" si="2"/>
        <v>364598.63899999997</v>
      </c>
      <c r="I16" s="322">
        <f t="shared" si="2"/>
        <v>104748.27899999999</v>
      </c>
      <c r="J16" s="322">
        <f t="shared" si="2"/>
        <v>104748.27899999999</v>
      </c>
      <c r="K16" s="322">
        <f>SUM(K17:K18)</f>
        <v>104748.27899999999</v>
      </c>
      <c r="L16" s="692"/>
      <c r="M16" s="687"/>
    </row>
    <row r="17" spans="1:18" ht="64.5" customHeight="1" x14ac:dyDescent="0.25">
      <c r="A17" s="715"/>
      <c r="B17" s="718"/>
      <c r="C17" s="718"/>
      <c r="D17" s="187" t="s">
        <v>9</v>
      </c>
      <c r="E17" s="325">
        <f>E19+E20+E21+E23+E24+E27</f>
        <v>93145.973999999987</v>
      </c>
      <c r="F17" s="323">
        <f t="shared" si="3"/>
        <v>793087.48499999987</v>
      </c>
      <c r="G17" s="325">
        <f t="shared" ref="G17:K17" si="4">G19+G20+G21+G23+G24+G27</f>
        <v>206317.139</v>
      </c>
      <c r="H17" s="326">
        <f>H19+H20+H21+H23+H24+H27</f>
        <v>272525.50899999996</v>
      </c>
      <c r="I17" s="325">
        <f>I19+I20+I21+I23+I24+I27</f>
        <v>104748.27899999999</v>
      </c>
      <c r="J17" s="325">
        <f t="shared" si="4"/>
        <v>104748.27899999999</v>
      </c>
      <c r="K17" s="325">
        <f t="shared" si="4"/>
        <v>104748.27899999999</v>
      </c>
      <c r="L17" s="693"/>
      <c r="M17" s="688"/>
    </row>
    <row r="18" spans="1:18" ht="123" customHeight="1" x14ac:dyDescent="0.25">
      <c r="A18" s="716"/>
      <c r="B18" s="719"/>
      <c r="C18" s="719"/>
      <c r="D18" s="19" t="s">
        <v>91</v>
      </c>
      <c r="E18" s="325">
        <f t="shared" ref="E18:H18" si="5">E26</f>
        <v>186679.14600000001</v>
      </c>
      <c r="F18" s="323">
        <f t="shared" si="3"/>
        <v>130101.20000000001</v>
      </c>
      <c r="G18" s="325">
        <f t="shared" si="5"/>
        <v>38028.07</v>
      </c>
      <c r="H18" s="326">
        <f t="shared" si="5"/>
        <v>92073.13</v>
      </c>
      <c r="I18" s="325">
        <f>I26+I22</f>
        <v>0</v>
      </c>
      <c r="J18" s="325">
        <f t="shared" ref="J18:K18" si="6">J26</f>
        <v>0</v>
      </c>
      <c r="K18" s="325">
        <f t="shared" si="6"/>
        <v>0</v>
      </c>
      <c r="L18" s="694"/>
      <c r="M18" s="689"/>
    </row>
    <row r="19" spans="1:18" ht="80.25" customHeight="1" x14ac:dyDescent="0.25">
      <c r="A19" s="327" t="s">
        <v>111</v>
      </c>
      <c r="B19" s="328" t="s">
        <v>128</v>
      </c>
      <c r="C19" s="309" t="s">
        <v>149</v>
      </c>
      <c r="D19" s="329" t="s">
        <v>35</v>
      </c>
      <c r="E19" s="330">
        <v>59593.555999999997</v>
      </c>
      <c r="F19" s="331">
        <f t="shared" si="3"/>
        <v>313266.07699999999</v>
      </c>
      <c r="G19" s="330">
        <v>62202.173000000003</v>
      </c>
      <c r="H19" s="332">
        <f>62238.611+1620.2+489.26</f>
        <v>64348.070999999996</v>
      </c>
      <c r="I19" s="330">
        <v>62238.610999999997</v>
      </c>
      <c r="J19" s="330">
        <v>62238.610999999997</v>
      </c>
      <c r="K19" s="330">
        <v>62238.610999999997</v>
      </c>
      <c r="L19" s="333" t="s">
        <v>11</v>
      </c>
      <c r="M19" s="334" t="s">
        <v>36</v>
      </c>
      <c r="O19" s="54"/>
      <c r="P19" s="54"/>
      <c r="Q19" s="54"/>
      <c r="R19" s="54"/>
    </row>
    <row r="20" spans="1:18" ht="98.25" customHeight="1" x14ac:dyDescent="0.25">
      <c r="A20" s="327" t="s">
        <v>112</v>
      </c>
      <c r="B20" s="335" t="s">
        <v>174</v>
      </c>
      <c r="C20" s="309" t="s">
        <v>149</v>
      </c>
      <c r="D20" s="329" t="s">
        <v>35</v>
      </c>
      <c r="E20" s="330">
        <v>27783.599999999999</v>
      </c>
      <c r="F20" s="331">
        <f t="shared" si="3"/>
        <v>207678.34400000001</v>
      </c>
      <c r="G20" s="330">
        <v>37639.671999999999</v>
      </c>
      <c r="H20" s="332">
        <v>42509.667999999998</v>
      </c>
      <c r="I20" s="330">
        <v>42509.667999999998</v>
      </c>
      <c r="J20" s="330">
        <v>42509.667999999998</v>
      </c>
      <c r="K20" s="330">
        <v>42509.667999999998</v>
      </c>
      <c r="L20" s="336" t="s">
        <v>236</v>
      </c>
      <c r="M20" s="337" t="s">
        <v>130</v>
      </c>
      <c r="O20" s="54"/>
      <c r="P20" s="54"/>
      <c r="Q20" s="54"/>
    </row>
    <row r="21" spans="1:18" ht="68.25" customHeight="1" x14ac:dyDescent="0.25">
      <c r="A21" s="707" t="s">
        <v>113</v>
      </c>
      <c r="B21" s="710" t="s">
        <v>207</v>
      </c>
      <c r="C21" s="615" t="s">
        <v>149</v>
      </c>
      <c r="D21" s="329" t="s">
        <v>35</v>
      </c>
      <c r="E21" s="330">
        <v>4185.8180000000002</v>
      </c>
      <c r="F21" s="331">
        <f t="shared" si="3"/>
        <v>441</v>
      </c>
      <c r="G21" s="330">
        <v>0</v>
      </c>
      <c r="H21" s="332">
        <v>441</v>
      </c>
      <c r="I21" s="330">
        <v>0</v>
      </c>
      <c r="J21" s="330">
        <v>0</v>
      </c>
      <c r="K21" s="330">
        <v>0</v>
      </c>
      <c r="L21" s="720" t="s">
        <v>237</v>
      </c>
      <c r="M21" s="722" t="s">
        <v>37</v>
      </c>
    </row>
    <row r="22" spans="1:18" ht="129.75" customHeight="1" x14ac:dyDescent="0.25">
      <c r="A22" s="709"/>
      <c r="B22" s="712"/>
      <c r="C22" s="616"/>
      <c r="D22" s="329" t="s">
        <v>91</v>
      </c>
      <c r="E22" s="330">
        <v>0</v>
      </c>
      <c r="F22" s="331">
        <f t="shared" si="3"/>
        <v>0</v>
      </c>
      <c r="G22" s="330">
        <v>0</v>
      </c>
      <c r="H22" s="332">
        <v>0</v>
      </c>
      <c r="I22" s="330">
        <f>12980-12980</f>
        <v>0</v>
      </c>
      <c r="J22" s="330">
        <v>0</v>
      </c>
      <c r="K22" s="330">
        <v>0</v>
      </c>
      <c r="L22" s="721"/>
      <c r="M22" s="723"/>
    </row>
    <row r="23" spans="1:18" ht="93" customHeight="1" x14ac:dyDescent="0.25">
      <c r="A23" s="338" t="s">
        <v>114</v>
      </c>
      <c r="B23" s="339" t="s">
        <v>175</v>
      </c>
      <c r="C23" s="309" t="s">
        <v>149</v>
      </c>
      <c r="D23" s="329" t="s">
        <v>35</v>
      </c>
      <c r="E23" s="330">
        <v>368</v>
      </c>
      <c r="F23" s="331">
        <f t="shared" si="3"/>
        <v>370.30500000000001</v>
      </c>
      <c r="G23" s="330">
        <v>370.30500000000001</v>
      </c>
      <c r="H23" s="332">
        <v>0</v>
      </c>
      <c r="I23" s="330">
        <v>0</v>
      </c>
      <c r="J23" s="330">
        <v>0</v>
      </c>
      <c r="K23" s="330">
        <v>0</v>
      </c>
      <c r="L23" s="333" t="s">
        <v>238</v>
      </c>
      <c r="M23" s="340" t="s">
        <v>38</v>
      </c>
    </row>
    <row r="24" spans="1:18" ht="60.75" customHeight="1" x14ac:dyDescent="0.25">
      <c r="A24" s="707" t="s">
        <v>115</v>
      </c>
      <c r="B24" s="710" t="s">
        <v>176</v>
      </c>
      <c r="C24" s="615" t="s">
        <v>149</v>
      </c>
      <c r="D24" s="329" t="s">
        <v>35</v>
      </c>
      <c r="E24" s="330">
        <v>1065</v>
      </c>
      <c r="F24" s="331">
        <f t="shared" si="3"/>
        <v>271331.75899999996</v>
      </c>
      <c r="G24" s="330">
        <f>765.545+105339.444</f>
        <v>106104.989</v>
      </c>
      <c r="H24" s="332">
        <v>165226.76999999999</v>
      </c>
      <c r="I24" s="330">
        <v>0</v>
      </c>
      <c r="J24" s="330">
        <v>0</v>
      </c>
      <c r="K24" s="330">
        <v>0</v>
      </c>
      <c r="L24" s="720" t="s">
        <v>239</v>
      </c>
      <c r="M24" s="728" t="s">
        <v>240</v>
      </c>
    </row>
    <row r="25" spans="1:18" ht="93.75" x14ac:dyDescent="0.25">
      <c r="A25" s="708"/>
      <c r="B25" s="711"/>
      <c r="C25" s="713"/>
      <c r="D25" s="329" t="s">
        <v>315</v>
      </c>
      <c r="E25" s="330">
        <v>0</v>
      </c>
      <c r="F25" s="331">
        <f t="shared" si="3"/>
        <v>165226.76999999999</v>
      </c>
      <c r="G25" s="330">
        <v>0</v>
      </c>
      <c r="H25" s="332">
        <v>165226.76999999999</v>
      </c>
      <c r="I25" s="330">
        <v>0</v>
      </c>
      <c r="J25" s="330">
        <v>0</v>
      </c>
      <c r="K25" s="330">
        <v>0</v>
      </c>
      <c r="L25" s="727"/>
      <c r="M25" s="729"/>
    </row>
    <row r="26" spans="1:18" ht="119.25" customHeight="1" x14ac:dyDescent="0.25">
      <c r="A26" s="709"/>
      <c r="B26" s="712"/>
      <c r="C26" s="616"/>
      <c r="D26" s="38" t="s">
        <v>91</v>
      </c>
      <c r="E26" s="330">
        <v>186679.14600000001</v>
      </c>
      <c r="F26" s="331">
        <f t="shared" si="3"/>
        <v>130101.20000000001</v>
      </c>
      <c r="G26" s="330">
        <v>38028.07</v>
      </c>
      <c r="H26" s="332">
        <f>3000+42596+46477.13</f>
        <v>92073.13</v>
      </c>
      <c r="I26" s="330">
        <v>0</v>
      </c>
      <c r="J26" s="330">
        <v>0</v>
      </c>
      <c r="K26" s="330">
        <v>0</v>
      </c>
      <c r="L26" s="721"/>
      <c r="M26" s="730"/>
    </row>
    <row r="27" spans="1:18" ht="93.75" x14ac:dyDescent="0.25">
      <c r="A27" s="338" t="s">
        <v>116</v>
      </c>
      <c r="B27" s="339" t="s">
        <v>177</v>
      </c>
      <c r="C27" s="329" t="s">
        <v>149</v>
      </c>
      <c r="D27" s="329" t="s">
        <v>35</v>
      </c>
      <c r="E27" s="330">
        <v>150</v>
      </c>
      <c r="F27" s="331">
        <f t="shared" si="3"/>
        <v>0</v>
      </c>
      <c r="G27" s="330">
        <v>0</v>
      </c>
      <c r="H27" s="332">
        <v>0</v>
      </c>
      <c r="I27" s="330">
        <v>0</v>
      </c>
      <c r="J27" s="330">
        <v>0</v>
      </c>
      <c r="K27" s="330">
        <v>0</v>
      </c>
      <c r="L27" s="333" t="s">
        <v>238</v>
      </c>
      <c r="M27" s="334" t="s">
        <v>131</v>
      </c>
      <c r="O27" s="55"/>
      <c r="P27" s="55"/>
      <c r="Q27" s="55"/>
      <c r="R27" s="55"/>
    </row>
    <row r="28" spans="1:18" ht="18.75" x14ac:dyDescent="0.25">
      <c r="A28" s="731" t="s">
        <v>59</v>
      </c>
      <c r="B28" s="545"/>
      <c r="C28" s="545"/>
      <c r="D28" s="545"/>
      <c r="E28" s="238">
        <f>SUM(E29:E31)-E30</f>
        <v>303856.261</v>
      </c>
      <c r="F28" s="238">
        <f t="shared" ref="F28:K28" si="7">SUM(F29:F31)-F30</f>
        <v>1050088.696</v>
      </c>
      <c r="G28" s="238">
        <f t="shared" si="7"/>
        <v>271844.04800000001</v>
      </c>
      <c r="H28" s="239">
        <f t="shared" si="7"/>
        <v>389448.93199999991</v>
      </c>
      <c r="I28" s="238">
        <f t="shared" si="7"/>
        <v>129598.572</v>
      </c>
      <c r="J28" s="238">
        <f t="shared" si="7"/>
        <v>129598.572</v>
      </c>
      <c r="K28" s="238">
        <f t="shared" si="7"/>
        <v>129598.572</v>
      </c>
      <c r="L28" s="240"/>
      <c r="M28" s="341"/>
    </row>
    <row r="29" spans="1:18" ht="18.75" x14ac:dyDescent="0.25">
      <c r="A29" s="726" t="s">
        <v>9</v>
      </c>
      <c r="B29" s="510"/>
      <c r="C29" s="510"/>
      <c r="D29" s="510"/>
      <c r="E29" s="242">
        <f>E8+E17</f>
        <v>117177.11499999999</v>
      </c>
      <c r="F29" s="294">
        <f t="shared" ref="F29:F31" si="8">SUM(G29:K29)</f>
        <v>919987.49600000016</v>
      </c>
      <c r="G29" s="242">
        <f>G8+G17</f>
        <v>233815.978</v>
      </c>
      <c r="H29" s="243">
        <f>H8+H17</f>
        <v>297375.80199999997</v>
      </c>
      <c r="I29" s="242">
        <f>I8+I17</f>
        <v>129598.572</v>
      </c>
      <c r="J29" s="242">
        <f>J8+J17</f>
        <v>129598.572</v>
      </c>
      <c r="K29" s="242">
        <f>K8+K17</f>
        <v>129598.572</v>
      </c>
      <c r="L29" s="244"/>
      <c r="M29" s="342"/>
    </row>
    <row r="30" spans="1:18" ht="18.75" x14ac:dyDescent="0.25">
      <c r="A30" s="726" t="s">
        <v>315</v>
      </c>
      <c r="B30" s="510"/>
      <c r="C30" s="510"/>
      <c r="D30" s="510"/>
      <c r="E30" s="242">
        <v>0</v>
      </c>
      <c r="F30" s="294">
        <f t="shared" si="8"/>
        <v>165226.76999999999</v>
      </c>
      <c r="G30" s="242">
        <v>0</v>
      </c>
      <c r="H30" s="243">
        <f>H25</f>
        <v>165226.76999999999</v>
      </c>
      <c r="I30" s="242">
        <v>0</v>
      </c>
      <c r="J30" s="242">
        <v>0</v>
      </c>
      <c r="K30" s="242">
        <v>0</v>
      </c>
      <c r="L30" s="244"/>
      <c r="M30" s="342"/>
    </row>
    <row r="31" spans="1:18" ht="41.25" customHeight="1" thickBot="1" x14ac:dyDescent="0.35">
      <c r="A31" s="724" t="s">
        <v>91</v>
      </c>
      <c r="B31" s="725"/>
      <c r="C31" s="725"/>
      <c r="D31" s="725"/>
      <c r="E31" s="343">
        <f>E18</f>
        <v>186679.14600000001</v>
      </c>
      <c r="F31" s="300">
        <f t="shared" si="8"/>
        <v>130101.20000000001</v>
      </c>
      <c r="G31" s="343">
        <f>G18</f>
        <v>38028.07</v>
      </c>
      <c r="H31" s="344">
        <f>H18</f>
        <v>92073.13</v>
      </c>
      <c r="I31" s="343">
        <f>I18</f>
        <v>0</v>
      </c>
      <c r="J31" s="343">
        <f>J18</f>
        <v>0</v>
      </c>
      <c r="K31" s="343">
        <f>K18</f>
        <v>0</v>
      </c>
      <c r="L31" s="302"/>
      <c r="M31" s="303"/>
      <c r="P31" s="33"/>
      <c r="Q31" s="33"/>
    </row>
    <row r="32" spans="1:18" ht="15.75" x14ac:dyDescent="0.25">
      <c r="A32" s="345"/>
      <c r="B32" s="345"/>
      <c r="C32" s="346"/>
      <c r="D32" s="346"/>
      <c r="E32" s="346"/>
      <c r="F32" s="347"/>
      <c r="G32" s="348"/>
      <c r="H32" s="349"/>
      <c r="I32" s="350"/>
      <c r="J32" s="350"/>
      <c r="K32" s="350"/>
      <c r="L32" s="345"/>
      <c r="M32" s="345"/>
    </row>
    <row r="33" spans="3:11" ht="15.75" x14ac:dyDescent="0.25">
      <c r="E33" s="33"/>
      <c r="F33" s="115"/>
      <c r="G33" s="33"/>
      <c r="H33" s="351"/>
    </row>
    <row r="34" spans="3:11" ht="15.75" x14ac:dyDescent="0.25">
      <c r="C34" s="114"/>
      <c r="D34" s="114"/>
      <c r="E34" s="114"/>
      <c r="F34" s="352"/>
      <c r="G34" s="114"/>
      <c r="H34" s="353"/>
      <c r="I34" s="353"/>
      <c r="J34" s="114"/>
      <c r="K34" s="114"/>
    </row>
    <row r="35" spans="3:11" x14ac:dyDescent="0.25">
      <c r="E35" s="33"/>
    </row>
    <row r="36" spans="3:11" x14ac:dyDescent="0.25">
      <c r="E36" s="33"/>
      <c r="F36" s="354"/>
      <c r="G36" s="137"/>
      <c r="H36" s="252"/>
      <c r="I36" s="252"/>
      <c r="J36" s="137"/>
      <c r="K36" s="137"/>
    </row>
    <row r="37" spans="3:11" x14ac:dyDescent="0.25">
      <c r="E37" s="33"/>
      <c r="F37" s="354"/>
      <c r="G37" s="137"/>
      <c r="H37" s="252"/>
      <c r="I37" s="116"/>
      <c r="J37" s="33"/>
      <c r="K37" s="33"/>
    </row>
    <row r="38" spans="3:11" x14ac:dyDescent="0.25">
      <c r="E38" s="33"/>
      <c r="F38" s="354"/>
      <c r="G38" s="137"/>
      <c r="H38" s="252"/>
      <c r="I38" s="252"/>
      <c r="J38" s="137"/>
      <c r="K38" s="137"/>
    </row>
    <row r="39" spans="3:11" x14ac:dyDescent="0.25">
      <c r="E39" s="137"/>
      <c r="F39" s="354"/>
      <c r="G39" s="137"/>
      <c r="H39" s="252"/>
      <c r="I39" s="252"/>
      <c r="J39" s="137"/>
      <c r="K39" s="137"/>
    </row>
    <row r="40" spans="3:11" x14ac:dyDescent="0.25">
      <c r="F40" s="354"/>
      <c r="G40" s="137"/>
    </row>
    <row r="41" spans="3:11" x14ac:dyDescent="0.25">
      <c r="E41" s="137"/>
      <c r="F41" s="354"/>
      <c r="G41" s="137"/>
      <c r="H41" s="252"/>
      <c r="I41" s="252"/>
      <c r="J41" s="137"/>
      <c r="K41" s="137"/>
    </row>
    <row r="42" spans="3:11" x14ac:dyDescent="0.25">
      <c r="E42" s="137"/>
      <c r="F42" s="354"/>
      <c r="G42" s="137"/>
      <c r="H42" s="252"/>
      <c r="I42" s="252"/>
      <c r="J42" s="137"/>
      <c r="K42" s="137"/>
    </row>
    <row r="43" spans="3:11" x14ac:dyDescent="0.25">
      <c r="F43" s="354"/>
      <c r="G43" s="137"/>
      <c r="H43" s="252"/>
    </row>
    <row r="45" spans="3:11" x14ac:dyDescent="0.25">
      <c r="F45" s="354"/>
      <c r="G45" s="137"/>
      <c r="H45" s="252"/>
      <c r="I45" s="252"/>
      <c r="J45" s="137"/>
      <c r="K45" s="137"/>
    </row>
    <row r="46" spans="3:11" x14ac:dyDescent="0.25">
      <c r="F46" s="354"/>
      <c r="G46" s="137"/>
      <c r="H46" s="252"/>
      <c r="I46" s="252"/>
      <c r="J46" s="137"/>
      <c r="K46" s="137"/>
    </row>
    <row r="47" spans="3:11" x14ac:dyDescent="0.25">
      <c r="F47" s="115"/>
      <c r="G47" s="33"/>
      <c r="H47" s="116"/>
      <c r="I47" s="116"/>
      <c r="J47" s="33"/>
      <c r="K47" s="33"/>
    </row>
  </sheetData>
  <mergeCells count="30">
    <mergeCell ref="L21:L22"/>
    <mergeCell ref="M21:M22"/>
    <mergeCell ref="A31:D31"/>
    <mergeCell ref="A29:D29"/>
    <mergeCell ref="L24:L26"/>
    <mergeCell ref="M24:M26"/>
    <mergeCell ref="A28:D28"/>
    <mergeCell ref="A30:D30"/>
    <mergeCell ref="A4:A5"/>
    <mergeCell ref="A24:A26"/>
    <mergeCell ref="B24:B26"/>
    <mergeCell ref="C24:C26"/>
    <mergeCell ref="A21:A22"/>
    <mergeCell ref="B21:B22"/>
    <mergeCell ref="A16:A18"/>
    <mergeCell ref="B16:B18"/>
    <mergeCell ref="C16:C18"/>
    <mergeCell ref="C21:C22"/>
    <mergeCell ref="M16:M18"/>
    <mergeCell ref="M4:M5"/>
    <mergeCell ref="L2:M2"/>
    <mergeCell ref="L16:L18"/>
    <mergeCell ref="F4:F5"/>
    <mergeCell ref="L4:L5"/>
    <mergeCell ref="G4:K4"/>
    <mergeCell ref="B7:M7"/>
    <mergeCell ref="D4:D5"/>
    <mergeCell ref="E4:E5"/>
    <mergeCell ref="B4:B5"/>
    <mergeCell ref="C4:C5"/>
  </mergeCells>
  <pageMargins left="0.19685039370078741" right="0.19685039370078741" top="0.19685039370078741" bottom="0.19685039370078741" header="0" footer="0"/>
  <pageSetup paperSize="9" scale="46" fitToHeight="0" orientation="landscape" r:id="rId1"/>
  <rowBreaks count="1" manualBreakCount="1">
    <brk id="15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75"/>
  <sheetViews>
    <sheetView tabSelected="1" view="pageBreakPreview" zoomScale="70" zoomScaleNormal="70" zoomScaleSheetLayoutView="70" workbookViewId="0">
      <pane xSplit="2" ySplit="7" topLeftCell="C17" activePane="bottomRight" state="frozen"/>
      <selection activeCell="H33" sqref="H33"/>
      <selection pane="topRight" activeCell="H33" sqref="H33"/>
      <selection pane="bottomLeft" activeCell="H33" sqref="H33"/>
      <selection pane="bottomRight" activeCell="P4" sqref="P4"/>
    </sheetView>
  </sheetViews>
  <sheetFormatPr defaultRowHeight="15" x14ac:dyDescent="0.25"/>
  <cols>
    <col min="1" max="1" width="6.7109375" style="8" customWidth="1"/>
    <col min="2" max="2" width="62.5703125" style="8" customWidth="1"/>
    <col min="3" max="3" width="18.5703125" style="8" customWidth="1"/>
    <col min="4" max="4" width="34.7109375" style="8" customWidth="1"/>
    <col min="5" max="5" width="20.5703125" style="8" customWidth="1"/>
    <col min="6" max="6" width="18.85546875" style="119" customWidth="1"/>
    <col min="7" max="7" width="18.5703125" style="8" customWidth="1"/>
    <col min="8" max="9" width="18" style="120" customWidth="1"/>
    <col min="10" max="11" width="18" style="8" customWidth="1"/>
    <col min="12" max="12" width="28" style="8" customWidth="1"/>
    <col min="13" max="13" width="39.7109375" style="8" customWidth="1"/>
    <col min="14" max="14" width="17.140625" style="8" customWidth="1"/>
    <col min="15" max="16384" width="9.140625" style="8"/>
  </cols>
  <sheetData>
    <row r="1" spans="1:19" ht="15.75" x14ac:dyDescent="0.25">
      <c r="A1" s="2"/>
      <c r="B1" s="3"/>
      <c r="C1" s="4"/>
      <c r="D1" s="3"/>
      <c r="E1" s="3"/>
      <c r="F1" s="121"/>
      <c r="G1" s="3"/>
      <c r="H1" s="6"/>
      <c r="I1" s="6"/>
      <c r="J1" s="7"/>
      <c r="K1" s="7"/>
      <c r="L1" s="7"/>
      <c r="M1" s="7"/>
    </row>
    <row r="2" spans="1:19" ht="15.75" customHeight="1" x14ac:dyDescent="0.25">
      <c r="A2" s="2"/>
      <c r="B2" s="9"/>
      <c r="C2" s="10"/>
      <c r="D2" s="11"/>
      <c r="E2" s="11"/>
      <c r="F2" s="122"/>
      <c r="G2" s="13"/>
      <c r="H2" s="14"/>
      <c r="I2" s="14"/>
      <c r="J2" s="13"/>
      <c r="K2" s="13"/>
      <c r="L2" s="443"/>
      <c r="M2" s="443"/>
    </row>
    <row r="3" spans="1:19" ht="15.75" customHeight="1" thickBot="1" x14ac:dyDescent="0.3">
      <c r="A3" s="2"/>
      <c r="B3" s="9"/>
      <c r="C3" s="10"/>
      <c r="D3" s="11"/>
      <c r="E3" s="11"/>
      <c r="F3" s="122"/>
      <c r="G3" s="13"/>
      <c r="H3" s="14"/>
      <c r="I3" s="14"/>
      <c r="J3" s="13"/>
      <c r="K3" s="13"/>
      <c r="L3" s="123"/>
      <c r="M3" s="123"/>
    </row>
    <row r="4" spans="1:19" ht="18.75" x14ac:dyDescent="0.25">
      <c r="A4" s="705" t="s">
        <v>1</v>
      </c>
      <c r="B4" s="697" t="s">
        <v>14</v>
      </c>
      <c r="C4" s="697" t="s">
        <v>0</v>
      </c>
      <c r="D4" s="697" t="s">
        <v>15</v>
      </c>
      <c r="E4" s="697" t="s">
        <v>157</v>
      </c>
      <c r="F4" s="695" t="s">
        <v>16</v>
      </c>
      <c r="G4" s="699" t="s">
        <v>49</v>
      </c>
      <c r="H4" s="700"/>
      <c r="I4" s="700"/>
      <c r="J4" s="700"/>
      <c r="K4" s="701"/>
      <c r="L4" s="697" t="s">
        <v>17</v>
      </c>
      <c r="M4" s="690" t="s">
        <v>7</v>
      </c>
      <c r="Q4" s="8">
        <v>1.02</v>
      </c>
      <c r="R4" s="8">
        <v>1.06</v>
      </c>
      <c r="S4" s="8">
        <v>1.1000000000000001</v>
      </c>
    </row>
    <row r="5" spans="1:19" ht="56.25" customHeight="1" x14ac:dyDescent="0.25">
      <c r="A5" s="706"/>
      <c r="B5" s="698"/>
      <c r="C5" s="750"/>
      <c r="D5" s="698"/>
      <c r="E5" s="698"/>
      <c r="F5" s="696"/>
      <c r="G5" s="305" t="s">
        <v>158</v>
      </c>
      <c r="H5" s="306" t="s">
        <v>47</v>
      </c>
      <c r="I5" s="202" t="s">
        <v>150</v>
      </c>
      <c r="J5" s="305" t="s">
        <v>151</v>
      </c>
      <c r="K5" s="305" t="s">
        <v>152</v>
      </c>
      <c r="L5" s="698"/>
      <c r="M5" s="691"/>
    </row>
    <row r="6" spans="1:19" ht="18.75" x14ac:dyDescent="0.25">
      <c r="A6" s="20" t="s">
        <v>29</v>
      </c>
      <c r="B6" s="21">
        <v>2</v>
      </c>
      <c r="C6" s="21" t="s">
        <v>18</v>
      </c>
      <c r="D6" s="21" t="s">
        <v>137</v>
      </c>
      <c r="E6" s="21" t="s">
        <v>19</v>
      </c>
      <c r="F6" s="22" t="s">
        <v>134</v>
      </c>
      <c r="G6" s="21" t="s">
        <v>20</v>
      </c>
      <c r="H6" s="23" t="s">
        <v>135</v>
      </c>
      <c r="I6" s="21" t="s">
        <v>21</v>
      </c>
      <c r="J6" s="21" t="s">
        <v>22</v>
      </c>
      <c r="K6" s="21" t="s">
        <v>30</v>
      </c>
      <c r="L6" s="21" t="s">
        <v>31</v>
      </c>
      <c r="M6" s="24" t="s">
        <v>50</v>
      </c>
    </row>
    <row r="7" spans="1:19" ht="18.75" x14ac:dyDescent="0.25">
      <c r="A7" s="307"/>
      <c r="B7" s="702" t="s">
        <v>208</v>
      </c>
      <c r="C7" s="702"/>
      <c r="D7" s="703"/>
      <c r="E7" s="703"/>
      <c r="F7" s="703"/>
      <c r="G7" s="703"/>
      <c r="H7" s="703"/>
      <c r="I7" s="703"/>
      <c r="J7" s="703"/>
      <c r="K7" s="703"/>
      <c r="L7" s="703"/>
      <c r="M7" s="704"/>
    </row>
    <row r="8" spans="1:19" ht="18.75" x14ac:dyDescent="0.25">
      <c r="A8" s="714"/>
      <c r="B8" s="717" t="s">
        <v>142</v>
      </c>
      <c r="C8" s="717" t="s">
        <v>149</v>
      </c>
      <c r="D8" s="187" t="s">
        <v>10</v>
      </c>
      <c r="E8" s="322">
        <f t="shared" ref="E8:K8" si="0">SUM(E9:E11)</f>
        <v>3430.058</v>
      </c>
      <c r="F8" s="323">
        <f t="shared" si="0"/>
        <v>6772.665</v>
      </c>
      <c r="G8" s="322">
        <f t="shared" si="0"/>
        <v>4022.665</v>
      </c>
      <c r="H8" s="324">
        <f t="shared" si="0"/>
        <v>2750</v>
      </c>
      <c r="I8" s="322">
        <f t="shared" si="0"/>
        <v>0</v>
      </c>
      <c r="J8" s="322">
        <f t="shared" si="0"/>
        <v>0</v>
      </c>
      <c r="K8" s="322">
        <f t="shared" si="0"/>
        <v>0</v>
      </c>
      <c r="L8" s="692"/>
      <c r="M8" s="687"/>
    </row>
    <row r="9" spans="1:19" ht="37.5" x14ac:dyDescent="0.25">
      <c r="A9" s="715"/>
      <c r="B9" s="718"/>
      <c r="C9" s="718"/>
      <c r="D9" s="355" t="s">
        <v>34</v>
      </c>
      <c r="E9" s="356">
        <f>E15</f>
        <v>784</v>
      </c>
      <c r="F9" s="331">
        <f t="shared" ref="F9:F14" si="1">SUM(G9:K9)</f>
        <v>2500</v>
      </c>
      <c r="G9" s="356">
        <f t="shared" ref="G9:K9" si="2">G15</f>
        <v>0</v>
      </c>
      <c r="H9" s="357">
        <f t="shared" si="2"/>
        <v>2500</v>
      </c>
      <c r="I9" s="356">
        <f t="shared" si="2"/>
        <v>0</v>
      </c>
      <c r="J9" s="356">
        <f t="shared" si="2"/>
        <v>0</v>
      </c>
      <c r="K9" s="356">
        <f t="shared" si="2"/>
        <v>0</v>
      </c>
      <c r="L9" s="693"/>
      <c r="M9" s="688"/>
    </row>
    <row r="10" spans="1:19" ht="56.25" x14ac:dyDescent="0.25">
      <c r="A10" s="715"/>
      <c r="B10" s="718"/>
      <c r="C10" s="718"/>
      <c r="D10" s="187" t="s">
        <v>9</v>
      </c>
      <c r="E10" s="325">
        <f>E12+E13+E16</f>
        <v>2646.058</v>
      </c>
      <c r="F10" s="331">
        <f t="shared" si="1"/>
        <v>4272.665</v>
      </c>
      <c r="G10" s="325">
        <f>G12+G13+G16</f>
        <v>4022.665</v>
      </c>
      <c r="H10" s="326">
        <f>H12+H13+H16</f>
        <v>250</v>
      </c>
      <c r="I10" s="325">
        <f>I12+I13+I16</f>
        <v>0</v>
      </c>
      <c r="J10" s="325">
        <f>J12+J13+J16</f>
        <v>0</v>
      </c>
      <c r="K10" s="325">
        <f>K12+K13+K16</f>
        <v>0</v>
      </c>
      <c r="L10" s="693"/>
      <c r="M10" s="688"/>
    </row>
    <row r="11" spans="1:19" ht="112.5" x14ac:dyDescent="0.25">
      <c r="A11" s="715"/>
      <c r="B11" s="718"/>
      <c r="C11" s="718"/>
      <c r="D11" s="187" t="s">
        <v>91</v>
      </c>
      <c r="E11" s="325">
        <f t="shared" ref="E11:K11" si="3">E14</f>
        <v>0</v>
      </c>
      <c r="F11" s="331">
        <f t="shared" si="1"/>
        <v>0</v>
      </c>
      <c r="G11" s="325">
        <f t="shared" si="3"/>
        <v>0</v>
      </c>
      <c r="H11" s="326">
        <f t="shared" si="3"/>
        <v>0</v>
      </c>
      <c r="I11" s="325">
        <f t="shared" si="3"/>
        <v>0</v>
      </c>
      <c r="J11" s="325">
        <f t="shared" si="3"/>
        <v>0</v>
      </c>
      <c r="K11" s="325">
        <f t="shared" si="3"/>
        <v>0</v>
      </c>
      <c r="L11" s="693"/>
      <c r="M11" s="688"/>
    </row>
    <row r="12" spans="1:19" ht="96" customHeight="1" x14ac:dyDescent="0.25">
      <c r="A12" s="358" t="s">
        <v>93</v>
      </c>
      <c r="B12" s="359" t="s">
        <v>209</v>
      </c>
      <c r="C12" s="360" t="s">
        <v>149</v>
      </c>
      <c r="D12" s="173" t="s">
        <v>23</v>
      </c>
      <c r="E12" s="174">
        <v>0</v>
      </c>
      <c r="F12" s="175">
        <f t="shared" si="1"/>
        <v>0</v>
      </c>
      <c r="G12" s="174">
        <v>0</v>
      </c>
      <c r="H12" s="176">
        <v>0</v>
      </c>
      <c r="I12" s="174">
        <v>0</v>
      </c>
      <c r="J12" s="174">
        <v>0</v>
      </c>
      <c r="K12" s="174">
        <v>0</v>
      </c>
      <c r="L12" s="140" t="s">
        <v>11</v>
      </c>
      <c r="M12" s="361" t="s">
        <v>145</v>
      </c>
    </row>
    <row r="13" spans="1:19" ht="56.25" x14ac:dyDescent="0.25">
      <c r="A13" s="741" t="s">
        <v>94</v>
      </c>
      <c r="B13" s="743" t="s">
        <v>286</v>
      </c>
      <c r="C13" s="615" t="s">
        <v>149</v>
      </c>
      <c r="D13" s="173" t="s">
        <v>23</v>
      </c>
      <c r="E13" s="174">
        <f>3921.6-1353.942</f>
        <v>2567.6579999999999</v>
      </c>
      <c r="F13" s="175">
        <f t="shared" si="1"/>
        <v>4022.665</v>
      </c>
      <c r="G13" s="174">
        <f>1353.942+2668.723</f>
        <v>4022.665</v>
      </c>
      <c r="H13" s="176">
        <v>0</v>
      </c>
      <c r="I13" s="174">
        <v>0</v>
      </c>
      <c r="J13" s="174">
        <v>0</v>
      </c>
      <c r="K13" s="174">
        <v>0</v>
      </c>
      <c r="L13" s="751" t="s">
        <v>242</v>
      </c>
      <c r="M13" s="754" t="s">
        <v>241</v>
      </c>
      <c r="N13" s="114"/>
    </row>
    <row r="14" spans="1:19" ht="112.5" x14ac:dyDescent="0.25">
      <c r="A14" s="742"/>
      <c r="B14" s="744"/>
      <c r="C14" s="616"/>
      <c r="D14" s="38" t="s">
        <v>91</v>
      </c>
      <c r="E14" s="174">
        <v>0</v>
      </c>
      <c r="F14" s="175">
        <f t="shared" si="1"/>
        <v>0</v>
      </c>
      <c r="G14" s="174">
        <v>0</v>
      </c>
      <c r="H14" s="176">
        <v>0</v>
      </c>
      <c r="I14" s="174">
        <v>0</v>
      </c>
      <c r="J14" s="174">
        <v>0</v>
      </c>
      <c r="K14" s="174">
        <v>0</v>
      </c>
      <c r="L14" s="753"/>
      <c r="M14" s="756"/>
      <c r="N14" s="33"/>
    </row>
    <row r="15" spans="1:19" ht="72" customHeight="1" x14ac:dyDescent="0.25">
      <c r="A15" s="732" t="s">
        <v>95</v>
      </c>
      <c r="B15" s="740" t="s">
        <v>210</v>
      </c>
      <c r="C15" s="615" t="s">
        <v>149</v>
      </c>
      <c r="D15" s="173" t="s">
        <v>5</v>
      </c>
      <c r="E15" s="318">
        <v>784</v>
      </c>
      <c r="F15" s="189">
        <f>SUM(G15:K15)</f>
        <v>2500</v>
      </c>
      <c r="G15" s="318">
        <f>G17+G19</f>
        <v>0</v>
      </c>
      <c r="H15" s="319">
        <f>H17+H19</f>
        <v>2500</v>
      </c>
      <c r="I15" s="318">
        <f t="shared" ref="I15:K15" si="4">I17+I19</f>
        <v>0</v>
      </c>
      <c r="J15" s="318">
        <f t="shared" si="4"/>
        <v>0</v>
      </c>
      <c r="K15" s="318">
        <f t="shared" si="4"/>
        <v>0</v>
      </c>
      <c r="L15" s="751" t="s">
        <v>144</v>
      </c>
      <c r="M15" s="754" t="s">
        <v>145</v>
      </c>
    </row>
    <row r="16" spans="1:19" ht="80.25" customHeight="1" x14ac:dyDescent="0.25">
      <c r="A16" s="733"/>
      <c r="B16" s="740"/>
      <c r="C16" s="713"/>
      <c r="D16" s="173" t="s">
        <v>23</v>
      </c>
      <c r="E16" s="318">
        <v>78.400000000000006</v>
      </c>
      <c r="F16" s="189">
        <f>SUM(G16:K16)</f>
        <v>250</v>
      </c>
      <c r="G16" s="318">
        <f>G18+G20</f>
        <v>0</v>
      </c>
      <c r="H16" s="319">
        <f>H18+H20</f>
        <v>250</v>
      </c>
      <c r="I16" s="318">
        <f t="shared" ref="I16:K16" si="5">I18+I20</f>
        <v>0</v>
      </c>
      <c r="J16" s="318">
        <f t="shared" si="5"/>
        <v>0</v>
      </c>
      <c r="K16" s="318">
        <f t="shared" si="5"/>
        <v>0</v>
      </c>
      <c r="L16" s="752"/>
      <c r="M16" s="755"/>
    </row>
    <row r="17" spans="1:17" ht="37.5" x14ac:dyDescent="0.25">
      <c r="A17" s="732" t="s">
        <v>321</v>
      </c>
      <c r="B17" s="740" t="s">
        <v>322</v>
      </c>
      <c r="C17" s="713"/>
      <c r="D17" s="173" t="s">
        <v>5</v>
      </c>
      <c r="E17" s="318">
        <v>0</v>
      </c>
      <c r="F17" s="189">
        <f>SUM(G17:K17)</f>
        <v>0</v>
      </c>
      <c r="G17" s="318">
        <v>0</v>
      </c>
      <c r="H17" s="319">
        <v>0</v>
      </c>
      <c r="I17" s="318">
        <v>0</v>
      </c>
      <c r="J17" s="318">
        <v>0</v>
      </c>
      <c r="K17" s="318">
        <v>0</v>
      </c>
      <c r="L17" s="752"/>
      <c r="M17" s="755"/>
    </row>
    <row r="18" spans="1:17" ht="56.25" x14ac:dyDescent="0.25">
      <c r="A18" s="733"/>
      <c r="B18" s="740"/>
      <c r="C18" s="713"/>
      <c r="D18" s="173" t="s">
        <v>23</v>
      </c>
      <c r="E18" s="318">
        <v>0</v>
      </c>
      <c r="F18" s="189">
        <f t="shared" ref="F18:F20" si="6">SUM(G18:K18)</f>
        <v>0</v>
      </c>
      <c r="G18" s="318">
        <v>0</v>
      </c>
      <c r="H18" s="319">
        <v>0</v>
      </c>
      <c r="I18" s="318">
        <v>0</v>
      </c>
      <c r="J18" s="318">
        <v>0</v>
      </c>
      <c r="K18" s="318">
        <v>0</v>
      </c>
      <c r="L18" s="752"/>
      <c r="M18" s="755"/>
    </row>
    <row r="19" spans="1:17" ht="60" customHeight="1" x14ac:dyDescent="0.25">
      <c r="A19" s="732" t="s">
        <v>323</v>
      </c>
      <c r="B19" s="740" t="s">
        <v>324</v>
      </c>
      <c r="C19" s="713"/>
      <c r="D19" s="173" t="s">
        <v>5</v>
      </c>
      <c r="E19" s="318">
        <v>0</v>
      </c>
      <c r="F19" s="189">
        <f t="shared" si="6"/>
        <v>2500</v>
      </c>
      <c r="G19" s="318">
        <v>0</v>
      </c>
      <c r="H19" s="319">
        <v>2500</v>
      </c>
      <c r="I19" s="318">
        <v>0</v>
      </c>
      <c r="J19" s="318">
        <v>0</v>
      </c>
      <c r="K19" s="318">
        <v>0</v>
      </c>
      <c r="L19" s="752"/>
      <c r="M19" s="755"/>
    </row>
    <row r="20" spans="1:17" ht="56.25" x14ac:dyDescent="0.25">
      <c r="A20" s="733"/>
      <c r="B20" s="740"/>
      <c r="C20" s="616"/>
      <c r="D20" s="173" t="s">
        <v>23</v>
      </c>
      <c r="E20" s="318">
        <v>0</v>
      </c>
      <c r="F20" s="189">
        <f t="shared" si="6"/>
        <v>250</v>
      </c>
      <c r="G20" s="318">
        <v>0</v>
      </c>
      <c r="H20" s="319">
        <v>250</v>
      </c>
      <c r="I20" s="318">
        <v>0</v>
      </c>
      <c r="J20" s="318">
        <v>0</v>
      </c>
      <c r="K20" s="318">
        <v>0</v>
      </c>
      <c r="L20" s="753"/>
      <c r="M20" s="756"/>
    </row>
    <row r="21" spans="1:17" ht="18.75" x14ac:dyDescent="0.25">
      <c r="A21" s="731" t="s">
        <v>211</v>
      </c>
      <c r="B21" s="545"/>
      <c r="C21" s="545"/>
      <c r="D21" s="545"/>
      <c r="E21" s="238">
        <f t="shared" ref="E21:K21" si="7">SUM(E22:E24)</f>
        <v>3430.058</v>
      </c>
      <c r="F21" s="238">
        <f t="shared" si="7"/>
        <v>6772.665</v>
      </c>
      <c r="G21" s="238">
        <f t="shared" si="7"/>
        <v>4022.665</v>
      </c>
      <c r="H21" s="239">
        <f t="shared" si="7"/>
        <v>2750</v>
      </c>
      <c r="I21" s="238">
        <f t="shared" si="7"/>
        <v>0</v>
      </c>
      <c r="J21" s="238">
        <f t="shared" si="7"/>
        <v>0</v>
      </c>
      <c r="K21" s="238">
        <f t="shared" si="7"/>
        <v>0</v>
      </c>
      <c r="L21" s="240"/>
      <c r="M21" s="341"/>
    </row>
    <row r="22" spans="1:17" ht="18.75" x14ac:dyDescent="0.25">
      <c r="A22" s="734" t="s">
        <v>39</v>
      </c>
      <c r="B22" s="735"/>
      <c r="C22" s="735"/>
      <c r="D22" s="735"/>
      <c r="E22" s="362">
        <f>E9</f>
        <v>784</v>
      </c>
      <c r="F22" s="363">
        <f t="shared" ref="F22:F24" si="8">SUM(G22:K22)</f>
        <v>2500</v>
      </c>
      <c r="G22" s="362">
        <f t="shared" ref="G22:K24" si="9">G9</f>
        <v>0</v>
      </c>
      <c r="H22" s="364">
        <f t="shared" si="9"/>
        <v>2500</v>
      </c>
      <c r="I22" s="365">
        <f t="shared" si="9"/>
        <v>0</v>
      </c>
      <c r="J22" s="362">
        <f t="shared" si="9"/>
        <v>0</v>
      </c>
      <c r="K22" s="362">
        <f t="shared" si="9"/>
        <v>0</v>
      </c>
      <c r="L22" s="366"/>
      <c r="M22" s="367"/>
      <c r="P22" s="33"/>
      <c r="Q22" s="33"/>
    </row>
    <row r="23" spans="1:17" ht="18.75" x14ac:dyDescent="0.25">
      <c r="A23" s="726" t="s">
        <v>9</v>
      </c>
      <c r="B23" s="510"/>
      <c r="C23" s="510"/>
      <c r="D23" s="510"/>
      <c r="E23" s="242">
        <f>E10</f>
        <v>2646.058</v>
      </c>
      <c r="F23" s="363">
        <f t="shared" si="8"/>
        <v>4272.665</v>
      </c>
      <c r="G23" s="242">
        <f t="shared" si="9"/>
        <v>4022.665</v>
      </c>
      <c r="H23" s="243">
        <f t="shared" si="9"/>
        <v>250</v>
      </c>
      <c r="I23" s="242">
        <f t="shared" si="9"/>
        <v>0</v>
      </c>
      <c r="J23" s="242">
        <f t="shared" si="9"/>
        <v>0</v>
      </c>
      <c r="K23" s="242">
        <f t="shared" si="9"/>
        <v>0</v>
      </c>
      <c r="L23" s="244"/>
      <c r="M23" s="342"/>
    </row>
    <row r="24" spans="1:17" ht="32.25" customHeight="1" thickBot="1" x14ac:dyDescent="0.35">
      <c r="A24" s="736" t="s">
        <v>91</v>
      </c>
      <c r="B24" s="737"/>
      <c r="C24" s="737"/>
      <c r="D24" s="737"/>
      <c r="E24" s="112">
        <f>E11</f>
        <v>0</v>
      </c>
      <c r="F24" s="363">
        <f t="shared" si="8"/>
        <v>0</v>
      </c>
      <c r="G24" s="112">
        <f t="shared" si="9"/>
        <v>0</v>
      </c>
      <c r="H24" s="113">
        <f t="shared" si="9"/>
        <v>0</v>
      </c>
      <c r="I24" s="112">
        <f t="shared" si="9"/>
        <v>0</v>
      </c>
      <c r="J24" s="112">
        <f t="shared" si="9"/>
        <v>0</v>
      </c>
      <c r="K24" s="112">
        <f t="shared" si="9"/>
        <v>0</v>
      </c>
      <c r="L24" s="110"/>
      <c r="M24" s="368"/>
      <c r="P24" s="33"/>
      <c r="Q24" s="33"/>
    </row>
    <row r="25" spans="1:17" ht="18.75" x14ac:dyDescent="0.25">
      <c r="A25" s="738" t="s">
        <v>60</v>
      </c>
      <c r="B25" s="739"/>
      <c r="C25" s="739"/>
      <c r="D25" s="739"/>
      <c r="E25" s="369">
        <f>SUM(E26:E32)-E28</f>
        <v>7001462.8399999999</v>
      </c>
      <c r="F25" s="369">
        <f t="shared" ref="F25:K25" si="10">SUM(F26:F32)-F28</f>
        <v>33769207.971489996</v>
      </c>
      <c r="G25" s="369">
        <f t="shared" si="10"/>
        <v>8928399.2300000004</v>
      </c>
      <c r="H25" s="370">
        <f t="shared" si="10"/>
        <v>8241180.3484899998</v>
      </c>
      <c r="I25" s="369">
        <f t="shared" si="10"/>
        <v>7095418.3109999998</v>
      </c>
      <c r="J25" s="369">
        <f t="shared" si="10"/>
        <v>7095463.3109999998</v>
      </c>
      <c r="K25" s="369">
        <f t="shared" si="10"/>
        <v>2408746.7709999997</v>
      </c>
      <c r="L25" s="371"/>
      <c r="M25" s="372"/>
      <c r="P25" s="33"/>
      <c r="Q25" s="33"/>
    </row>
    <row r="26" spans="1:17" ht="18.75" x14ac:dyDescent="0.25">
      <c r="A26" s="734" t="s">
        <v>39</v>
      </c>
      <c r="B26" s="735"/>
      <c r="C26" s="735"/>
      <c r="D26" s="735"/>
      <c r="E26" s="373">
        <f>'Подпрограмма 1'!E64+'Подпрограмма 2'!E102+'Подпрограмма 3'!E38+'Подпрограмма 5'!E22</f>
        <v>3899175.8</v>
      </c>
      <c r="F26" s="374">
        <f t="shared" ref="F26:F32" si="11">SUM(G26:K26)</f>
        <v>18894179.35049</v>
      </c>
      <c r="G26" s="373">
        <f>'Подпрограмма 1'!G64+'Подпрограмма 2'!G102+'Подпрограмма 3'!G38+'Подпрограмма 5'!G22</f>
        <v>4641257.1409999998</v>
      </c>
      <c r="H26" s="324">
        <f>'Подпрограмма 1'!H64+'Подпрограмма 2'!H102+'Подпрограмма 3'!H38+'Подпрограмма 5'!H22</f>
        <v>4929201.2094899993</v>
      </c>
      <c r="I26" s="373">
        <f>'Подпрограмма 1'!I64+'Подпрограмма 2'!I102+'Подпрограмма 3'!I38+'Подпрограмма 5'!I22</f>
        <v>4661838</v>
      </c>
      <c r="J26" s="373">
        <f>'Подпрограмма 1'!J64+'Подпрограмма 2'!J102+'Подпрограмма 3'!J38+'Подпрограмма 5'!J22</f>
        <v>4661883</v>
      </c>
      <c r="K26" s="373">
        <f>'Подпрограмма 1'!K64+'Подпрограмма 2'!K102+'Подпрограмма 3'!K38+'Подпрограмма 5'!K22</f>
        <v>0</v>
      </c>
      <c r="L26" s="366"/>
      <c r="M26" s="367"/>
      <c r="P26" s="33"/>
      <c r="Q26" s="33"/>
    </row>
    <row r="27" spans="1:17" ht="18.75" x14ac:dyDescent="0.25">
      <c r="A27" s="734" t="s">
        <v>40</v>
      </c>
      <c r="B27" s="735"/>
      <c r="C27" s="735"/>
      <c r="D27" s="735"/>
      <c r="E27" s="373">
        <f>'Подпрограмма 1'!E65+'Подпрограмма 2'!E103+'Подпрограмма 3'!E39+'Подпрограмма 4'!E29+'Подпрограмма 5'!E23</f>
        <v>2065511.7819999999</v>
      </c>
      <c r="F27" s="374">
        <f t="shared" si="11"/>
        <v>11056015.327</v>
      </c>
      <c r="G27" s="373">
        <f>'Подпрограмма 1'!G65+'Подпрограмма 2'!G103+'Подпрограмма 3'!G39+'Подпрограмма 4'!G29+'Подпрограмма 5'!G23</f>
        <v>3360868.4640000002</v>
      </c>
      <c r="H27" s="324">
        <f>'Подпрограмма 1'!H65+'Подпрограмма 2'!H103+'Подпрограмма 3'!H39+'Подпрограмма 4'!H29+'Подпрограмма 5'!H23</f>
        <v>2160116.9010000001</v>
      </c>
      <c r="I27" s="373">
        <f>'Подпрограмма 1'!I65+'Подпрограмма 2'!I103+'Подпрограмма 3'!I39+'Подпрограмма 4'!I29+'Подпрограмма 5'!I23</f>
        <v>1853287.834</v>
      </c>
      <c r="J27" s="373">
        <f>'Подпрограмма 1'!J65+'Подпрограмма 2'!J103+'Подпрограмма 3'!J39+'Подпрограмма 4'!J29+'Подпрограмма 5'!J23</f>
        <v>1853287.834</v>
      </c>
      <c r="K27" s="373">
        <f>'Подпрограмма 1'!K65+'Подпрограмма 2'!K103+'Подпрограмма 3'!K39+'Подпрограмма 4'!K29+'Подпрограмма 5'!K23</f>
        <v>1828454.294</v>
      </c>
      <c r="L27" s="366"/>
      <c r="M27" s="367"/>
      <c r="P27" s="33"/>
      <c r="Q27" s="33"/>
    </row>
    <row r="28" spans="1:17" ht="18.75" x14ac:dyDescent="0.25">
      <c r="A28" s="734" t="s">
        <v>315</v>
      </c>
      <c r="B28" s="735"/>
      <c r="C28" s="735"/>
      <c r="D28" s="735"/>
      <c r="E28" s="373">
        <v>0</v>
      </c>
      <c r="F28" s="374">
        <f t="shared" si="11"/>
        <v>319754</v>
      </c>
      <c r="G28" s="373">
        <v>0</v>
      </c>
      <c r="H28" s="324">
        <f>'Подпрограмма 1'!H66+'Подпрограмма 2'!H104+'Подпрограмма 3'!H40+'Подпрограмма 4'!H30</f>
        <v>319754</v>
      </c>
      <c r="I28" s="373">
        <v>0</v>
      </c>
      <c r="J28" s="373">
        <v>0</v>
      </c>
      <c r="K28" s="373">
        <v>0</v>
      </c>
      <c r="L28" s="366"/>
      <c r="M28" s="367"/>
      <c r="P28" s="33"/>
      <c r="Q28" s="33"/>
    </row>
    <row r="29" spans="1:17" ht="35.25" customHeight="1" x14ac:dyDescent="0.3">
      <c r="A29" s="736" t="s">
        <v>91</v>
      </c>
      <c r="B29" s="737"/>
      <c r="C29" s="737"/>
      <c r="D29" s="737"/>
      <c r="E29" s="26">
        <f>'Подпрограмма 1'!E67+'Подпрограмма 2'!E105+'Подпрограмма 4'!E31+'Подпрограмма 5'!E24</f>
        <v>566448.99100000004</v>
      </c>
      <c r="F29" s="374">
        <f t="shared" si="11"/>
        <v>597098.49600000004</v>
      </c>
      <c r="G29" s="26">
        <f>'Подпрограмма 1'!G67+'Подпрограмма 2'!G105+'Подпрограмма 4'!G31+'Подпрограмма 5'!G24</f>
        <v>95192.994000000006</v>
      </c>
      <c r="H29" s="28">
        <f>'Подпрограмма 1'!H67+'Подпрограмма 2'!H105+'Подпрограмма 4'!H31+'Подпрограмма 5'!H24</f>
        <v>501905.50199999998</v>
      </c>
      <c r="I29" s="26">
        <f>'Подпрограмма 1'!I67+'Подпрограмма 2'!I105+'Подпрограмма 4'!I31+'Подпрограмма 5'!I24</f>
        <v>0</v>
      </c>
      <c r="J29" s="26">
        <f>'Подпрограмма 1'!J67+'Подпрограмма 2'!J105+'Подпрограмма 4'!J31+'Подпрограмма 5'!J24</f>
        <v>0</v>
      </c>
      <c r="K29" s="26">
        <f>'Подпрограмма 1'!K67+'Подпрограмма 2'!K105+'Подпрограмма 4'!K31+'Подпрограмма 5'!K24</f>
        <v>0</v>
      </c>
      <c r="L29" s="110"/>
      <c r="M29" s="368"/>
      <c r="P29" s="33"/>
      <c r="Q29" s="33"/>
    </row>
    <row r="30" spans="1:17" ht="15.75" customHeight="1" x14ac:dyDescent="0.3">
      <c r="A30" s="746" t="s">
        <v>51</v>
      </c>
      <c r="B30" s="747"/>
      <c r="C30" s="747"/>
      <c r="D30" s="747"/>
      <c r="E30" s="26">
        <f>'Подпрограмма 1'!E68+'Подпрограмма 2'!E106+'Подпрограмма 3'!E41</f>
        <v>214394.50400000002</v>
      </c>
      <c r="F30" s="374">
        <f t="shared" si="11"/>
        <v>1380030.5729999999</v>
      </c>
      <c r="G30" s="26">
        <f>'Подпрограмма 1'!G68+'Подпрограмма 2'!G106+'Подпрограмма 3'!G41</f>
        <v>246539.18600000002</v>
      </c>
      <c r="H30" s="28">
        <f>'Подпрограмма 1'!H68+'Подпрограмма 2'!H106+'Подпрограмма 3'!H41</f>
        <v>335621.04099999997</v>
      </c>
      <c r="I30" s="26">
        <f>'Подпрограмма 1'!I68+'Подпрограмма 2'!I106+'Подпрограмма 3'!I41</f>
        <v>265956.78200000001</v>
      </c>
      <c r="J30" s="26">
        <f>'Подпрограмма 1'!J68+'Подпрограмма 2'!J106+'Подпрограмма 3'!J41</f>
        <v>265956.78200000001</v>
      </c>
      <c r="K30" s="26">
        <f>'Подпрограмма 1'!K68+'Подпрограмма 2'!K106+'Подпрограмма 3'!K41</f>
        <v>265956.78200000001</v>
      </c>
      <c r="L30" s="110"/>
      <c r="M30" s="368"/>
      <c r="P30" s="33"/>
      <c r="Q30" s="33"/>
    </row>
    <row r="31" spans="1:17" ht="18.75" x14ac:dyDescent="0.3">
      <c r="A31" s="746" t="s">
        <v>81</v>
      </c>
      <c r="B31" s="747"/>
      <c r="C31" s="747"/>
      <c r="D31" s="747"/>
      <c r="E31" s="26">
        <f>'Подпрограмма 1'!E69+'Подпрограмма 2'!E107</f>
        <v>255931.76300000001</v>
      </c>
      <c r="F31" s="374">
        <f t="shared" si="11"/>
        <v>1553884.2250000001</v>
      </c>
      <c r="G31" s="26">
        <f>'Подпрограмма 1'!G69+'Подпрограмма 2'!G107</f>
        <v>296541.44500000001</v>
      </c>
      <c r="H31" s="28">
        <f>'Подпрограмма 1'!H69+'Подпрограмма 2'!H107</f>
        <v>314335.69500000001</v>
      </c>
      <c r="I31" s="26">
        <f>'Подпрограмма 1'!I69+'Подпрограмма 2'!I107</f>
        <v>314335.69500000001</v>
      </c>
      <c r="J31" s="26">
        <f>'Подпрограмма 1'!J69+'Подпрограмма 2'!J107</f>
        <v>314335.69500000001</v>
      </c>
      <c r="K31" s="26">
        <f>'Подпрограмма 1'!K69+'Подпрограмма 2'!K107</f>
        <v>314335.69500000001</v>
      </c>
      <c r="L31" s="110"/>
      <c r="M31" s="368"/>
      <c r="P31" s="33"/>
      <c r="Q31" s="33"/>
    </row>
    <row r="32" spans="1:17" ht="21.75" customHeight="1" thickBot="1" x14ac:dyDescent="0.35">
      <c r="A32" s="628" t="s">
        <v>4</v>
      </c>
      <c r="B32" s="629"/>
      <c r="C32" s="629"/>
      <c r="D32" s="629"/>
      <c r="E32" s="375">
        <f>'Подпрограмма 2'!E108</f>
        <v>0</v>
      </c>
      <c r="F32" s="376">
        <f t="shared" si="11"/>
        <v>288000</v>
      </c>
      <c r="G32" s="375">
        <f>'Подпрограмма 1'!G70+'Подпрограмма 2'!G108</f>
        <v>288000</v>
      </c>
      <c r="H32" s="377">
        <f>'Подпрограмма 1'!H70+'Подпрограмма 2'!H108</f>
        <v>0</v>
      </c>
      <c r="I32" s="375">
        <f>'Подпрограмма 2'!I108</f>
        <v>0</v>
      </c>
      <c r="J32" s="375">
        <f>'Подпрограмма 2'!J108</f>
        <v>0</v>
      </c>
      <c r="K32" s="375">
        <f>'Подпрограмма 2'!K108</f>
        <v>0</v>
      </c>
      <c r="L32" s="302"/>
      <c r="M32" s="303"/>
      <c r="P32" s="33"/>
      <c r="Q32" s="33"/>
    </row>
    <row r="33" spans="1:13" ht="18" x14ac:dyDescent="0.25">
      <c r="A33" s="378"/>
      <c r="B33" s="379"/>
      <c r="C33" s="379"/>
      <c r="D33" s="379"/>
      <c r="E33" s="379"/>
      <c r="F33" s="379"/>
      <c r="G33" s="380"/>
      <c r="H33" s="380"/>
      <c r="I33" s="380"/>
      <c r="J33" s="380"/>
      <c r="K33" s="380"/>
      <c r="L33" s="378"/>
      <c r="M33" s="381"/>
    </row>
    <row r="34" spans="1:13" ht="18.75" x14ac:dyDescent="0.25">
      <c r="A34" s="382"/>
      <c r="B34" s="383" t="s">
        <v>265</v>
      </c>
      <c r="C34" s="748"/>
      <c r="D34" s="748"/>
      <c r="E34" s="748"/>
      <c r="F34" s="384"/>
      <c r="G34" s="385"/>
      <c r="H34" s="382" t="s">
        <v>319</v>
      </c>
      <c r="I34" s="382"/>
      <c r="J34" s="386"/>
      <c r="K34" s="382"/>
      <c r="L34" s="386"/>
      <c r="M34" s="382"/>
    </row>
    <row r="35" spans="1:13" ht="18.75" x14ac:dyDescent="0.25">
      <c r="A35" s="382"/>
      <c r="B35" s="387"/>
      <c r="C35" s="387"/>
      <c r="D35" s="388"/>
      <c r="E35" s="387"/>
      <c r="F35" s="387"/>
      <c r="G35" s="389"/>
      <c r="H35" s="390"/>
      <c r="I35" s="389"/>
      <c r="J35" s="389"/>
      <c r="K35" s="389"/>
      <c r="L35" s="389"/>
      <c r="M35" s="389"/>
    </row>
    <row r="36" spans="1:13" ht="18.75" x14ac:dyDescent="0.25">
      <c r="A36" s="378"/>
      <c r="B36" s="391" t="s">
        <v>138</v>
      </c>
      <c r="C36" s="391"/>
      <c r="D36" s="391"/>
      <c r="E36" s="391"/>
      <c r="F36" s="384"/>
      <c r="G36" s="385"/>
      <c r="H36" s="749" t="s">
        <v>84</v>
      </c>
      <c r="I36" s="749"/>
      <c r="J36" s="749"/>
      <c r="K36" s="749"/>
      <c r="L36" s="378"/>
      <c r="M36" s="378"/>
    </row>
    <row r="37" spans="1:13" ht="18.75" x14ac:dyDescent="0.25">
      <c r="A37" s="378"/>
      <c r="B37" s="379"/>
      <c r="C37" s="388"/>
      <c r="D37" s="388"/>
      <c r="E37" s="388"/>
      <c r="F37" s="388"/>
      <c r="G37" s="382"/>
      <c r="H37" s="392"/>
      <c r="I37" s="392"/>
      <c r="J37" s="392"/>
      <c r="K37" s="392"/>
      <c r="L37" s="378"/>
      <c r="M37" s="378"/>
    </row>
    <row r="38" spans="1:13" ht="18.75" x14ac:dyDescent="0.25">
      <c r="A38" s="378"/>
      <c r="B38" s="391" t="s">
        <v>85</v>
      </c>
      <c r="C38" s="391"/>
      <c r="D38" s="391"/>
      <c r="E38" s="391"/>
      <c r="F38" s="384"/>
      <c r="G38" s="385"/>
      <c r="H38" s="392" t="s">
        <v>266</v>
      </c>
      <c r="I38" s="392"/>
      <c r="J38" s="392"/>
      <c r="K38" s="392"/>
      <c r="L38" s="378"/>
      <c r="M38" s="378"/>
    </row>
    <row r="39" spans="1:13" ht="18.75" x14ac:dyDescent="0.25">
      <c r="A39" s="378"/>
      <c r="B39" s="387"/>
      <c r="C39" s="387"/>
      <c r="D39" s="387"/>
      <c r="E39" s="387"/>
      <c r="F39" s="387"/>
      <c r="G39" s="382"/>
      <c r="H39" s="392"/>
      <c r="I39" s="392"/>
      <c r="J39" s="392"/>
      <c r="K39" s="392"/>
      <c r="L39" s="378"/>
      <c r="M39" s="378"/>
    </row>
    <row r="40" spans="1:13" ht="18.75" x14ac:dyDescent="0.25">
      <c r="A40" s="378"/>
      <c r="B40" s="379"/>
      <c r="C40" s="388"/>
      <c r="D40" s="388"/>
      <c r="E40" s="388"/>
      <c r="F40" s="388"/>
      <c r="G40" s="382"/>
      <c r="H40" s="393"/>
      <c r="I40" s="392"/>
      <c r="J40" s="392"/>
      <c r="K40" s="392"/>
      <c r="L40" s="378"/>
      <c r="M40" s="378"/>
    </row>
    <row r="41" spans="1:13" ht="15.75" x14ac:dyDescent="0.25">
      <c r="H41" s="394"/>
      <c r="I41" s="394"/>
      <c r="J41" s="395"/>
      <c r="K41" s="395"/>
    </row>
    <row r="42" spans="1:13" ht="15.75" x14ac:dyDescent="0.25">
      <c r="E42" s="33"/>
      <c r="H42" s="394"/>
      <c r="I42" s="394"/>
      <c r="J42" s="745"/>
      <c r="K42" s="745"/>
    </row>
    <row r="43" spans="1:13" ht="15.75" x14ac:dyDescent="0.25">
      <c r="E43" s="33"/>
      <c r="H43" s="351"/>
      <c r="I43" s="351"/>
      <c r="J43" s="395"/>
      <c r="K43" s="395"/>
    </row>
    <row r="44" spans="1:13" ht="15.75" x14ac:dyDescent="0.25">
      <c r="E44" s="33"/>
      <c r="F44" s="115"/>
      <c r="G44" s="33"/>
      <c r="H44" s="351"/>
      <c r="M44" s="33"/>
    </row>
    <row r="45" spans="1:13" ht="15.75" x14ac:dyDescent="0.25">
      <c r="C45" s="114"/>
      <c r="D45" s="114"/>
      <c r="E45" s="396"/>
      <c r="F45" s="118"/>
      <c r="G45" s="396"/>
      <c r="H45" s="117"/>
      <c r="I45" s="117"/>
      <c r="J45" s="396"/>
      <c r="K45" s="396"/>
    </row>
    <row r="46" spans="1:13" ht="15.75" x14ac:dyDescent="0.25">
      <c r="C46" s="114"/>
      <c r="D46" s="114"/>
      <c r="E46" s="396"/>
      <c r="F46" s="118"/>
      <c r="G46" s="396"/>
      <c r="H46" s="117"/>
      <c r="I46" s="117"/>
      <c r="J46" s="396"/>
      <c r="K46" s="396"/>
    </row>
    <row r="47" spans="1:13" ht="15.75" x14ac:dyDescent="0.25">
      <c r="C47" s="114"/>
      <c r="D47" s="114"/>
      <c r="E47" s="396"/>
      <c r="F47" s="118"/>
      <c r="G47" s="396"/>
      <c r="H47" s="117"/>
      <c r="I47" s="117"/>
      <c r="J47" s="396"/>
      <c r="K47" s="396"/>
    </row>
    <row r="48" spans="1:13" ht="15.75" x14ac:dyDescent="0.25">
      <c r="C48" s="114"/>
      <c r="D48" s="114"/>
      <c r="E48" s="396"/>
      <c r="F48" s="118"/>
      <c r="G48" s="396"/>
      <c r="H48" s="117"/>
      <c r="I48" s="117"/>
      <c r="J48" s="396"/>
      <c r="K48" s="396"/>
      <c r="L48" s="396"/>
    </row>
    <row r="49" spans="3:11" ht="15.75" x14ac:dyDescent="0.25">
      <c r="C49" s="114"/>
      <c r="D49" s="114"/>
      <c r="E49" s="396"/>
      <c r="F49" s="118"/>
      <c r="G49" s="396"/>
      <c r="H49" s="117"/>
      <c r="I49" s="117"/>
      <c r="J49" s="396"/>
      <c r="K49" s="396"/>
    </row>
    <row r="50" spans="3:11" ht="15.75" x14ac:dyDescent="0.25">
      <c r="C50" s="114"/>
      <c r="D50" s="114"/>
      <c r="E50" s="396"/>
      <c r="F50" s="118"/>
      <c r="G50" s="396"/>
      <c r="H50" s="117"/>
      <c r="I50" s="117"/>
      <c r="J50" s="396"/>
      <c r="K50" s="396"/>
    </row>
    <row r="51" spans="3:11" ht="15.75" x14ac:dyDescent="0.25">
      <c r="C51" s="114"/>
      <c r="D51" s="114"/>
      <c r="E51" s="114"/>
      <c r="F51" s="352"/>
      <c r="G51" s="114"/>
      <c r="H51" s="353"/>
      <c r="I51" s="353"/>
      <c r="J51" s="114"/>
      <c r="K51" s="114"/>
    </row>
    <row r="52" spans="3:11" ht="15.75" x14ac:dyDescent="0.25">
      <c r="E52" s="33"/>
      <c r="H52" s="117"/>
      <c r="I52" s="117"/>
      <c r="J52" s="397"/>
      <c r="K52" s="397"/>
    </row>
    <row r="53" spans="3:11" ht="15.75" x14ac:dyDescent="0.25">
      <c r="E53" s="33"/>
      <c r="F53" s="354"/>
      <c r="G53" s="137"/>
      <c r="H53" s="117"/>
      <c r="I53" s="117"/>
      <c r="J53" s="396"/>
      <c r="K53" s="137"/>
    </row>
    <row r="54" spans="3:11" ht="15.75" x14ac:dyDescent="0.25">
      <c r="E54" s="33"/>
      <c r="F54" s="354"/>
      <c r="G54" s="137"/>
      <c r="H54" s="117"/>
      <c r="I54" s="117"/>
      <c r="J54" s="397"/>
    </row>
    <row r="55" spans="3:11" x14ac:dyDescent="0.25">
      <c r="E55" s="33"/>
      <c r="F55" s="354"/>
      <c r="G55" s="137"/>
      <c r="H55" s="252"/>
      <c r="I55" s="252"/>
      <c r="J55" s="137"/>
      <c r="K55" s="137"/>
    </row>
    <row r="56" spans="3:11" x14ac:dyDescent="0.25">
      <c r="E56" s="137"/>
      <c r="F56" s="354"/>
      <c r="G56" s="137"/>
      <c r="H56" s="252"/>
      <c r="I56" s="252"/>
      <c r="J56" s="137"/>
      <c r="K56" s="137"/>
    </row>
    <row r="57" spans="3:11" x14ac:dyDescent="0.25">
      <c r="F57" s="354"/>
      <c r="G57" s="137"/>
    </row>
    <row r="58" spans="3:11" x14ac:dyDescent="0.25">
      <c r="E58" s="137"/>
      <c r="F58" s="354"/>
      <c r="G58" s="137"/>
      <c r="H58" s="252"/>
      <c r="I58" s="252"/>
      <c r="J58" s="137"/>
      <c r="K58" s="137"/>
    </row>
    <row r="59" spans="3:11" x14ac:dyDescent="0.25">
      <c r="E59" s="137"/>
      <c r="F59" s="354"/>
      <c r="G59" s="137"/>
      <c r="H59" s="252"/>
      <c r="I59" s="252"/>
      <c r="J59" s="137"/>
      <c r="K59" s="137"/>
    </row>
    <row r="60" spans="3:11" x14ac:dyDescent="0.25">
      <c r="F60" s="354"/>
      <c r="G60" s="137"/>
      <c r="H60" s="252"/>
    </row>
    <row r="61" spans="3:11" x14ac:dyDescent="0.25">
      <c r="G61" s="33"/>
      <c r="H61" s="116"/>
      <c r="I61" s="116"/>
      <c r="J61" s="33"/>
      <c r="K61" s="33"/>
    </row>
    <row r="62" spans="3:11" x14ac:dyDescent="0.25">
      <c r="F62" s="354"/>
      <c r="G62" s="137"/>
      <c r="H62" s="137"/>
      <c r="I62" s="252"/>
      <c r="J62" s="137"/>
      <c r="K62" s="137"/>
    </row>
    <row r="63" spans="3:11" x14ac:dyDescent="0.25">
      <c r="F63" s="354"/>
      <c r="G63" s="137"/>
      <c r="H63" s="252"/>
      <c r="I63" s="116"/>
      <c r="J63" s="137"/>
      <c r="K63" s="137"/>
    </row>
    <row r="64" spans="3:11" x14ac:dyDescent="0.25">
      <c r="F64" s="115"/>
      <c r="G64" s="33"/>
      <c r="H64" s="116"/>
      <c r="I64" s="116"/>
      <c r="J64" s="33"/>
      <c r="K64" s="33"/>
    </row>
    <row r="65" spans="6:14" x14ac:dyDescent="0.25">
      <c r="I65" s="116"/>
      <c r="J65" s="58"/>
      <c r="K65" s="58"/>
    </row>
    <row r="66" spans="6:14" x14ac:dyDescent="0.25">
      <c r="F66" s="115"/>
      <c r="G66" s="33"/>
      <c r="H66" s="116"/>
      <c r="I66" s="116"/>
      <c r="J66" s="33"/>
      <c r="K66" s="33"/>
    </row>
    <row r="67" spans="6:14" x14ac:dyDescent="0.25">
      <c r="I67" s="116"/>
      <c r="M67" s="33"/>
      <c r="N67" s="33"/>
    </row>
    <row r="68" spans="6:14" x14ac:dyDescent="0.25">
      <c r="I68" s="116"/>
    </row>
    <row r="69" spans="6:14" x14ac:dyDescent="0.25">
      <c r="I69" s="116"/>
      <c r="J69" s="33"/>
    </row>
    <row r="70" spans="6:14" x14ac:dyDescent="0.25">
      <c r="I70" s="116"/>
    </row>
    <row r="71" spans="6:14" x14ac:dyDescent="0.25">
      <c r="I71" s="116"/>
    </row>
    <row r="72" spans="6:14" x14ac:dyDescent="0.25">
      <c r="I72" s="116"/>
    </row>
    <row r="74" spans="6:14" x14ac:dyDescent="0.25">
      <c r="I74" s="116"/>
      <c r="J74" s="33"/>
    </row>
    <row r="75" spans="6:14" x14ac:dyDescent="0.25">
      <c r="I75" s="116"/>
    </row>
  </sheetData>
  <mergeCells count="46">
    <mergeCell ref="L15:L20"/>
    <mergeCell ref="M15:M20"/>
    <mergeCell ref="C15:C20"/>
    <mergeCell ref="B7:M7"/>
    <mergeCell ref="L2:M2"/>
    <mergeCell ref="F4:F5"/>
    <mergeCell ref="G4:K4"/>
    <mergeCell ref="L4:L5"/>
    <mergeCell ref="M4:M5"/>
    <mergeCell ref="L13:L14"/>
    <mergeCell ref="M13:M14"/>
    <mergeCell ref="A4:A5"/>
    <mergeCell ref="B4:B5"/>
    <mergeCell ref="C4:C5"/>
    <mergeCell ref="D4:D5"/>
    <mergeCell ref="E4:E5"/>
    <mergeCell ref="A8:A11"/>
    <mergeCell ref="B8:B11"/>
    <mergeCell ref="C8:C11"/>
    <mergeCell ref="L8:L11"/>
    <mergeCell ref="M8:M11"/>
    <mergeCell ref="A13:A14"/>
    <mergeCell ref="B13:B14"/>
    <mergeCell ref="C13:C14"/>
    <mergeCell ref="J42:K42"/>
    <mergeCell ref="A29:D29"/>
    <mergeCell ref="A30:D30"/>
    <mergeCell ref="A31:D31"/>
    <mergeCell ref="A32:D32"/>
    <mergeCell ref="C34:E34"/>
    <mergeCell ref="H36:I36"/>
    <mergeCell ref="J36:K36"/>
    <mergeCell ref="A21:D21"/>
    <mergeCell ref="A22:D22"/>
    <mergeCell ref="A15:A16"/>
    <mergeCell ref="B15:B16"/>
    <mergeCell ref="A28:D28"/>
    <mergeCell ref="A17:A18"/>
    <mergeCell ref="A26:D26"/>
    <mergeCell ref="A27:D27"/>
    <mergeCell ref="A23:D23"/>
    <mergeCell ref="A24:D24"/>
    <mergeCell ref="A25:D25"/>
    <mergeCell ref="B17:B18"/>
    <mergeCell ref="A19:A20"/>
    <mergeCell ref="B19:B20"/>
  </mergeCells>
  <pageMargins left="0.19685039370078741" right="0.19685039370078741" top="0.19685039370078741" bottom="0.19685039370078741" header="0" footer="0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Подпрограмма 1</vt:lpstr>
      <vt:lpstr>Подпрограмма 2</vt:lpstr>
      <vt:lpstr>Подпрограмма 3</vt:lpstr>
      <vt:lpstr>Подпрограмма 4</vt:lpstr>
      <vt:lpstr>Подпрограмма 5</vt:lpstr>
      <vt:lpstr>'Подпрограмма 1'!Заголовки_для_печати</vt:lpstr>
      <vt:lpstr>'Подпрограмма 2'!Заголовки_для_печати</vt:lpstr>
      <vt:lpstr>'Подпрограмма 3'!Заголовки_для_печати</vt:lpstr>
      <vt:lpstr>'Подпрограмма 4'!Заголовки_для_печати</vt:lpstr>
      <vt:lpstr>'Подпрограмма 5'!Заголовки_для_печати</vt:lpstr>
      <vt:lpstr>'Подпрограмма 1'!Область_печати</vt:lpstr>
      <vt:lpstr>'Подпрограмма 2'!Область_печати</vt:lpstr>
      <vt:lpstr>'Подпрограмма 3'!Область_печати</vt:lpstr>
      <vt:lpstr>'Подпрограмма 4'!Область_печати</vt:lpstr>
      <vt:lpstr>'Подпрограмма 5'!Область_печати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BeloglazovaEG</dc:creator>
  <cp:lastModifiedBy>Зиминова Анна Юрьевна</cp:lastModifiedBy>
  <cp:lastPrinted>2018-07-02T13:00:58Z</cp:lastPrinted>
  <dcterms:created xsi:type="dcterms:W3CDTF">2014-05-07T08:21:43Z</dcterms:created>
  <dcterms:modified xsi:type="dcterms:W3CDTF">2018-07-11T11:22:21Z</dcterms:modified>
</cp:coreProperties>
</file>