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60" windowWidth="29040" windowHeight="15780"/>
  </bookViews>
  <sheets>
    <sheet name="22.01.2024 изм. Пр.1 МП 2" sheetId="30" r:id="rId1"/>
  </sheets>
  <externalReferences>
    <externalReference r:id="rId2"/>
  </externalReferences>
  <definedNames>
    <definedName name="_xlnm._FilterDatabase" localSheetId="0" hidden="1">'22.01.2024 изм. Пр.1 МП 2'!$A$7:$S$7</definedName>
    <definedName name="_xlnm.Print_Titles" localSheetId="0">'22.01.2024 изм. Пр.1 МП 2'!$4:$5</definedName>
    <definedName name="_xlnm.Print_Area" localSheetId="0">'22.01.2024 изм. Пр.1 МП 2'!$A$1:$S$411</definedName>
  </definedNames>
  <calcPr calcId="145621"/>
</workbook>
</file>

<file path=xl/calcChain.xml><?xml version="1.0" encoding="utf-8"?>
<calcChain xmlns="http://schemas.openxmlformats.org/spreadsheetml/2006/main">
  <c r="K289" i="30" l="1"/>
  <c r="K288" i="30"/>
  <c r="R349" i="30"/>
  <c r="R289" i="30"/>
  <c r="R109" i="30"/>
  <c r="K313" i="30"/>
  <c r="K323" i="30"/>
  <c r="K45" i="30"/>
  <c r="R420" i="30" l="1"/>
  <c r="R416" i="30"/>
  <c r="Q416" i="30"/>
  <c r="P416" i="30"/>
  <c r="O416" i="30"/>
  <c r="F416" i="30"/>
  <c r="R404" i="30"/>
  <c r="R403" i="30" s="1"/>
  <c r="R399" i="30"/>
  <c r="Q399" i="30"/>
  <c r="P399" i="30"/>
  <c r="P392" i="30" s="1"/>
  <c r="K399" i="30"/>
  <c r="K398" i="30" s="1"/>
  <c r="F399" i="30"/>
  <c r="R398" i="30"/>
  <c r="Q398" i="30"/>
  <c r="P398" i="30"/>
  <c r="F398" i="30"/>
  <c r="R394" i="30"/>
  <c r="R392" i="30" s="1"/>
  <c r="R391" i="30" s="1"/>
  <c r="Q394" i="30"/>
  <c r="P394" i="30"/>
  <c r="K394" i="30"/>
  <c r="K393" i="30" s="1"/>
  <c r="F394" i="30"/>
  <c r="R393" i="30"/>
  <c r="Q393" i="30"/>
  <c r="P393" i="30"/>
  <c r="F393" i="30"/>
  <c r="E393" i="30"/>
  <c r="Q392" i="30"/>
  <c r="Q404" i="30" s="1"/>
  <c r="Q403" i="30" s="1"/>
  <c r="Q391" i="30"/>
  <c r="Q388" i="30"/>
  <c r="R384" i="30"/>
  <c r="Q384" i="30"/>
  <c r="P384" i="30"/>
  <c r="K384" i="30"/>
  <c r="F384" i="30"/>
  <c r="Q383" i="30"/>
  <c r="P383" i="30"/>
  <c r="Q382" i="30"/>
  <c r="Q389" i="30" s="1"/>
  <c r="P382" i="30"/>
  <c r="P381" i="30" s="1"/>
  <c r="Q381" i="30"/>
  <c r="R379" i="30"/>
  <c r="F379" i="30"/>
  <c r="K377" i="30"/>
  <c r="F377" i="30"/>
  <c r="Q376" i="30"/>
  <c r="P376" i="30"/>
  <c r="F376" i="30"/>
  <c r="E371" i="30"/>
  <c r="E370" i="30"/>
  <c r="R369" i="30"/>
  <c r="Q369" i="30"/>
  <c r="P369" i="30"/>
  <c r="K369" i="30"/>
  <c r="F369" i="30"/>
  <c r="E365" i="30"/>
  <c r="E364" i="30"/>
  <c r="R363" i="30"/>
  <c r="Q363" i="30"/>
  <c r="P363" i="30"/>
  <c r="K363" i="30"/>
  <c r="F363" i="30"/>
  <c r="E363" i="30" s="1"/>
  <c r="R362" i="30"/>
  <c r="Q362" i="30"/>
  <c r="P362" i="30"/>
  <c r="K362" i="30"/>
  <c r="F362" i="30"/>
  <c r="E362" i="30" s="1"/>
  <c r="R361" i="30"/>
  <c r="Q361" i="30"/>
  <c r="P361" i="30"/>
  <c r="P360" i="30" s="1"/>
  <c r="E360" i="30" s="1"/>
  <c r="O361" i="30"/>
  <c r="F361" i="30"/>
  <c r="R360" i="30"/>
  <c r="Q360" i="30"/>
  <c r="K360" i="30"/>
  <c r="F360" i="30"/>
  <c r="E356" i="30"/>
  <c r="E355" i="30"/>
  <c r="E354" i="30"/>
  <c r="R353" i="30"/>
  <c r="Q353" i="30"/>
  <c r="P353" i="30"/>
  <c r="K353" i="30"/>
  <c r="F353" i="30"/>
  <c r="E353" i="30" s="1"/>
  <c r="E352" i="30"/>
  <c r="R346" i="30"/>
  <c r="P349" i="30"/>
  <c r="P348" i="30"/>
  <c r="E348" i="30"/>
  <c r="E347" i="30"/>
  <c r="Q346" i="30"/>
  <c r="P346" i="30"/>
  <c r="K346" i="30"/>
  <c r="F346" i="30"/>
  <c r="F342" i="30"/>
  <c r="E342" i="30"/>
  <c r="E341" i="30"/>
  <c r="E340" i="30"/>
  <c r="R339" i="30"/>
  <c r="Q339" i="30"/>
  <c r="P339" i="30"/>
  <c r="E339" i="30" s="1"/>
  <c r="K339" i="30"/>
  <c r="F339" i="30"/>
  <c r="R338" i="30"/>
  <c r="R335" i="30" s="1"/>
  <c r="Q338" i="30"/>
  <c r="K338" i="30"/>
  <c r="F338" i="30"/>
  <c r="R337" i="30"/>
  <c r="R377" i="30" s="1"/>
  <c r="Q337" i="30"/>
  <c r="Q335" i="30" s="1"/>
  <c r="P337" i="30"/>
  <c r="K337" i="30"/>
  <c r="F337" i="30"/>
  <c r="R336" i="30"/>
  <c r="R376" i="30" s="1"/>
  <c r="Q336" i="30"/>
  <c r="P336" i="30"/>
  <c r="K336" i="30"/>
  <c r="F336" i="30"/>
  <c r="E336" i="30" s="1"/>
  <c r="F335" i="30"/>
  <c r="F331" i="30"/>
  <c r="E331" i="30" s="1"/>
  <c r="F330" i="30"/>
  <c r="F328" i="30" s="1"/>
  <c r="E330" i="30"/>
  <c r="E329" i="30"/>
  <c r="R328" i="30"/>
  <c r="Q328" i="30"/>
  <c r="P328" i="30"/>
  <c r="K328" i="30"/>
  <c r="F324" i="30"/>
  <c r="F321" i="30" s="1"/>
  <c r="E324" i="30"/>
  <c r="R323" i="30"/>
  <c r="Q323" i="30"/>
  <c r="P323" i="30"/>
  <c r="F323" i="30"/>
  <c r="R322" i="30"/>
  <c r="Q322" i="30"/>
  <c r="K322" i="30"/>
  <c r="R321" i="30"/>
  <c r="Q321" i="30"/>
  <c r="Q318" i="30" s="1"/>
  <c r="P321" i="30"/>
  <c r="P379" i="30" s="1"/>
  <c r="K321" i="30"/>
  <c r="R320" i="30"/>
  <c r="R318" i="30" s="1"/>
  <c r="Q320" i="30"/>
  <c r="F320" i="30"/>
  <c r="R319" i="30"/>
  <c r="Q319" i="30"/>
  <c r="Q377" i="30" s="1"/>
  <c r="P319" i="30"/>
  <c r="O319" i="30"/>
  <c r="E319" i="30" s="1"/>
  <c r="F319" i="30"/>
  <c r="F318" i="30"/>
  <c r="F314" i="30"/>
  <c r="E314" i="30"/>
  <c r="R313" i="30"/>
  <c r="Q313" i="30"/>
  <c r="Q312" i="30" s="1"/>
  <c r="P313" i="30"/>
  <c r="F313" i="30"/>
  <c r="E313" i="30"/>
  <c r="P312" i="30"/>
  <c r="K312" i="30"/>
  <c r="R311" i="30"/>
  <c r="Q311" i="30"/>
  <c r="P311" i="30"/>
  <c r="K311" i="30"/>
  <c r="K379" i="30" s="1"/>
  <c r="F311" i="30"/>
  <c r="P310" i="30"/>
  <c r="K310" i="30"/>
  <c r="R306" i="30"/>
  <c r="F306" i="30"/>
  <c r="Q305" i="30"/>
  <c r="O305" i="30"/>
  <c r="E300" i="30"/>
  <c r="E299" i="30"/>
  <c r="E298" i="30"/>
  <c r="R297" i="30"/>
  <c r="Q297" i="30"/>
  <c r="P297" i="30"/>
  <c r="K297" i="30"/>
  <c r="F297" i="30"/>
  <c r="R296" i="30"/>
  <c r="Q296" i="30"/>
  <c r="P296" i="30"/>
  <c r="K296" i="30"/>
  <c r="F296" i="30"/>
  <c r="E296" i="30"/>
  <c r="R295" i="30"/>
  <c r="Q295" i="30"/>
  <c r="P295" i="30"/>
  <c r="O295" i="30"/>
  <c r="K293" i="30" s="1"/>
  <c r="F295" i="30"/>
  <c r="R294" i="30"/>
  <c r="R305" i="30" s="1"/>
  <c r="Q294" i="30"/>
  <c r="P294" i="30"/>
  <c r="P305" i="30" s="1"/>
  <c r="O294" i="30"/>
  <c r="F294" i="30"/>
  <c r="R293" i="30"/>
  <c r="P293" i="30"/>
  <c r="P289" i="30"/>
  <c r="E289" i="30"/>
  <c r="P288" i="30"/>
  <c r="K285" i="30"/>
  <c r="K306" i="30" s="1"/>
  <c r="K407" i="30" s="1"/>
  <c r="E288" i="30"/>
  <c r="Q287" i="30"/>
  <c r="F287" i="30"/>
  <c r="Q286" i="30"/>
  <c r="Q307" i="30" s="1"/>
  <c r="F286" i="30"/>
  <c r="R285" i="30"/>
  <c r="Q285" i="30"/>
  <c r="Q284" i="30" s="1"/>
  <c r="P285" i="30"/>
  <c r="F285" i="30"/>
  <c r="F284" i="30"/>
  <c r="K280" i="30"/>
  <c r="Q279" i="30"/>
  <c r="E274" i="30"/>
  <c r="E273" i="30"/>
  <c r="R272" i="30"/>
  <c r="Q272" i="30"/>
  <c r="P272" i="30"/>
  <c r="E272" i="30" s="1"/>
  <c r="K272" i="30"/>
  <c r="F272" i="30"/>
  <c r="E268" i="30"/>
  <c r="E267" i="30"/>
  <c r="E266" i="30"/>
  <c r="R265" i="30"/>
  <c r="Q265" i="30"/>
  <c r="P265" i="30"/>
  <c r="K265" i="30"/>
  <c r="F265" i="30"/>
  <c r="E265" i="30"/>
  <c r="R264" i="30"/>
  <c r="Q264" i="30"/>
  <c r="P264" i="30"/>
  <c r="K264" i="30"/>
  <c r="K261" i="30" s="1"/>
  <c r="F264" i="30"/>
  <c r="R263" i="30"/>
  <c r="Q263" i="30"/>
  <c r="Q261" i="30" s="1"/>
  <c r="P263" i="30"/>
  <c r="P261" i="30" s="1"/>
  <c r="O263" i="30"/>
  <c r="F263" i="30"/>
  <c r="R262" i="30"/>
  <c r="R279" i="30" s="1"/>
  <c r="Q262" i="30"/>
  <c r="P262" i="30"/>
  <c r="O262" i="30"/>
  <c r="O252" i="30" s="1"/>
  <c r="K250" i="30" s="1"/>
  <c r="F262" i="30"/>
  <c r="E257" i="30"/>
  <c r="E256" i="30"/>
  <c r="E255" i="30"/>
  <c r="R254" i="30"/>
  <c r="Q254" i="30"/>
  <c r="P254" i="30"/>
  <c r="K254" i="30"/>
  <c r="F254" i="30"/>
  <c r="E254" i="30" s="1"/>
  <c r="K253" i="30"/>
  <c r="F253" i="30"/>
  <c r="Q252" i="30"/>
  <c r="F252" i="30"/>
  <c r="F250" i="30" s="1"/>
  <c r="R251" i="30"/>
  <c r="Q251" i="30"/>
  <c r="P251" i="30"/>
  <c r="O251" i="30"/>
  <c r="F251" i="30"/>
  <c r="F246" i="30"/>
  <c r="E246" i="30"/>
  <c r="R245" i="30"/>
  <c r="Q245" i="30"/>
  <c r="P245" i="30"/>
  <c r="K245" i="30"/>
  <c r="E245" i="30" s="1"/>
  <c r="F245" i="30"/>
  <c r="R244" i="30"/>
  <c r="Q244" i="30"/>
  <c r="Q243" i="30" s="1"/>
  <c r="P244" i="30"/>
  <c r="P243" i="30" s="1"/>
  <c r="K244" i="30"/>
  <c r="F244" i="30"/>
  <c r="E244" i="30"/>
  <c r="R243" i="30"/>
  <c r="K243" i="30"/>
  <c r="F243" i="30"/>
  <c r="E239" i="30"/>
  <c r="R238" i="30"/>
  <c r="Q238" i="30"/>
  <c r="P238" i="30"/>
  <c r="K238" i="30"/>
  <c r="F238" i="30"/>
  <c r="E238" i="30"/>
  <c r="F234" i="30"/>
  <c r="E234" i="30" s="1"/>
  <c r="R233" i="30"/>
  <c r="Q233" i="30"/>
  <c r="Q232" i="30" s="1"/>
  <c r="P233" i="30"/>
  <c r="K233" i="30"/>
  <c r="F233" i="30"/>
  <c r="R232" i="30"/>
  <c r="K232" i="30"/>
  <c r="F232" i="30"/>
  <c r="R231" i="30"/>
  <c r="Q231" i="30"/>
  <c r="Q229" i="30" s="1"/>
  <c r="P231" i="30"/>
  <c r="K231" i="30"/>
  <c r="F231" i="30"/>
  <c r="E231" i="30"/>
  <c r="R230" i="30"/>
  <c r="R229" i="30" s="1"/>
  <c r="Q230" i="30"/>
  <c r="K230" i="30"/>
  <c r="F230" i="30"/>
  <c r="F229" i="30" s="1"/>
  <c r="K229" i="30"/>
  <c r="E225" i="30"/>
  <c r="R224" i="30"/>
  <c r="Q224" i="30"/>
  <c r="P224" i="30"/>
  <c r="K224" i="30"/>
  <c r="F224" i="30"/>
  <c r="E224" i="30" s="1"/>
  <c r="E220" i="30"/>
  <c r="R219" i="30"/>
  <c r="Q219" i="30"/>
  <c r="P219" i="30"/>
  <c r="K219" i="30"/>
  <c r="E219" i="30" s="1"/>
  <c r="F219" i="30"/>
  <c r="F215" i="30"/>
  <c r="E215" i="30"/>
  <c r="R214" i="30"/>
  <c r="Q214" i="30"/>
  <c r="P214" i="30"/>
  <c r="K214" i="30"/>
  <c r="E214" i="30" s="1"/>
  <c r="F214" i="30"/>
  <c r="E210" i="30"/>
  <c r="R209" i="30"/>
  <c r="Q209" i="30"/>
  <c r="P209" i="30"/>
  <c r="K209" i="30"/>
  <c r="E209" i="30" s="1"/>
  <c r="F209" i="30"/>
  <c r="F205" i="30"/>
  <c r="E205" i="30"/>
  <c r="R204" i="30"/>
  <c r="R203" i="30" s="1"/>
  <c r="Q204" i="30"/>
  <c r="P204" i="30"/>
  <c r="K204" i="30"/>
  <c r="K195" i="30" s="1"/>
  <c r="F204" i="30"/>
  <c r="F203" i="30" s="1"/>
  <c r="Q203" i="30"/>
  <c r="P203" i="30"/>
  <c r="E199" i="30"/>
  <c r="E198" i="30"/>
  <c r="R197" i="30"/>
  <c r="Q197" i="30"/>
  <c r="P197" i="30"/>
  <c r="K197" i="30"/>
  <c r="E197" i="30" s="1"/>
  <c r="F197" i="30"/>
  <c r="R196" i="30"/>
  <c r="R194" i="30" s="1"/>
  <c r="Q196" i="30"/>
  <c r="P196" i="30"/>
  <c r="K196" i="30"/>
  <c r="F196" i="30"/>
  <c r="E196" i="30" s="1"/>
  <c r="R195" i="30"/>
  <c r="Q195" i="30"/>
  <c r="Q194" i="30" s="1"/>
  <c r="P195" i="30"/>
  <c r="F195" i="30"/>
  <c r="E195" i="30" s="1"/>
  <c r="P194" i="30"/>
  <c r="K194" i="30"/>
  <c r="E190" i="30"/>
  <c r="R189" i="30"/>
  <c r="Q189" i="30"/>
  <c r="P189" i="30"/>
  <c r="K189" i="30"/>
  <c r="F189" i="30"/>
  <c r="E189" i="30"/>
  <c r="P185" i="30"/>
  <c r="K185" i="30"/>
  <c r="F185" i="30"/>
  <c r="F182" i="30" s="1"/>
  <c r="E185" i="30"/>
  <c r="R184" i="30"/>
  <c r="Q184" i="30"/>
  <c r="P184" i="30"/>
  <c r="K184" i="30"/>
  <c r="E184" i="30" s="1"/>
  <c r="F184" i="30"/>
  <c r="R183" i="30"/>
  <c r="Q183" i="30"/>
  <c r="K183" i="30"/>
  <c r="R182" i="30"/>
  <c r="Q182" i="30"/>
  <c r="P182" i="30"/>
  <c r="K182" i="30"/>
  <c r="E182" i="30"/>
  <c r="R181" i="30"/>
  <c r="R180" i="30" s="1"/>
  <c r="Q181" i="30"/>
  <c r="F181" i="30"/>
  <c r="F180" i="30" s="1"/>
  <c r="Q180" i="30"/>
  <c r="E176" i="30"/>
  <c r="R175" i="30"/>
  <c r="Q175" i="30"/>
  <c r="P175" i="30"/>
  <c r="K175" i="30"/>
  <c r="F175" i="30"/>
  <c r="E175" i="30" s="1"/>
  <c r="R174" i="30"/>
  <c r="R173" i="30" s="1"/>
  <c r="Q174" i="30"/>
  <c r="Q173" i="30" s="1"/>
  <c r="P174" i="30"/>
  <c r="K174" i="30"/>
  <c r="F174" i="30"/>
  <c r="E174" i="30" s="1"/>
  <c r="P173" i="30"/>
  <c r="K173" i="30"/>
  <c r="E169" i="30"/>
  <c r="R168" i="30"/>
  <c r="Q168" i="30"/>
  <c r="P168" i="30"/>
  <c r="K168" i="30"/>
  <c r="F168" i="30"/>
  <c r="E168" i="30"/>
  <c r="E164" i="30"/>
  <c r="R163" i="30"/>
  <c r="Q163" i="30"/>
  <c r="P163" i="30"/>
  <c r="E163" i="30" s="1"/>
  <c r="K163" i="30"/>
  <c r="F163" i="30"/>
  <c r="P159" i="30"/>
  <c r="E159" i="30" s="1"/>
  <c r="K159" i="30"/>
  <c r="F159" i="30"/>
  <c r="R158" i="30"/>
  <c r="R157" i="30" s="1"/>
  <c r="Q158" i="30"/>
  <c r="P158" i="30"/>
  <c r="P155" i="30" s="1"/>
  <c r="K158" i="30"/>
  <c r="F158" i="30"/>
  <c r="E158" i="30" s="1"/>
  <c r="Q157" i="30"/>
  <c r="F157" i="30"/>
  <c r="R156" i="30"/>
  <c r="Q156" i="30"/>
  <c r="P156" i="30"/>
  <c r="P282" i="30" s="1"/>
  <c r="K156" i="30"/>
  <c r="K282" i="30" s="1"/>
  <c r="F156" i="30"/>
  <c r="Q155" i="30"/>
  <c r="Q154" i="30" s="1"/>
  <c r="Q152" i="30"/>
  <c r="K149" i="30"/>
  <c r="E144" i="30"/>
  <c r="E143" i="30"/>
  <c r="E142" i="30"/>
  <c r="R141" i="30"/>
  <c r="Q141" i="30"/>
  <c r="P141" i="30"/>
  <c r="K141" i="30"/>
  <c r="F141" i="30"/>
  <c r="E141" i="30"/>
  <c r="R140" i="30"/>
  <c r="Q140" i="30"/>
  <c r="P140" i="30"/>
  <c r="K140" i="30"/>
  <c r="E140" i="30" s="1"/>
  <c r="F140" i="30"/>
  <c r="R139" i="30"/>
  <c r="Q139" i="30"/>
  <c r="Q150" i="30" s="1"/>
  <c r="P139" i="30"/>
  <c r="O139" i="30"/>
  <c r="F139" i="30"/>
  <c r="F137" i="30" s="1"/>
  <c r="E137" i="30" s="1"/>
  <c r="E139" i="30"/>
  <c r="R138" i="30"/>
  <c r="Q138" i="30"/>
  <c r="P138" i="30"/>
  <c r="P137" i="30" s="1"/>
  <c r="O138" i="30"/>
  <c r="E138" i="30" s="1"/>
  <c r="F138" i="30"/>
  <c r="R137" i="30"/>
  <c r="Q137" i="30"/>
  <c r="K137" i="30"/>
  <c r="E133" i="30"/>
  <c r="R132" i="30"/>
  <c r="Q132" i="30"/>
  <c r="P132" i="30"/>
  <c r="K132" i="30"/>
  <c r="F132" i="30"/>
  <c r="E132" i="30" s="1"/>
  <c r="E128" i="30"/>
  <c r="R127" i="30"/>
  <c r="Q127" i="30"/>
  <c r="P127" i="30"/>
  <c r="K127" i="30"/>
  <c r="F127" i="30"/>
  <c r="E127" i="30"/>
  <c r="F123" i="30"/>
  <c r="E123" i="30"/>
  <c r="E122" i="30"/>
  <c r="R121" i="30"/>
  <c r="Q121" i="30"/>
  <c r="P121" i="30"/>
  <c r="K121" i="30"/>
  <c r="F121" i="30"/>
  <c r="E121" i="30" s="1"/>
  <c r="R120" i="30"/>
  <c r="Q120" i="30"/>
  <c r="P120" i="30"/>
  <c r="P118" i="30" s="1"/>
  <c r="K120" i="30"/>
  <c r="F120" i="30"/>
  <c r="R119" i="30"/>
  <c r="R118" i="30" s="1"/>
  <c r="Q119" i="30"/>
  <c r="Q118" i="30" s="1"/>
  <c r="P119" i="30"/>
  <c r="K119" i="30"/>
  <c r="F119" i="30"/>
  <c r="E119" i="30"/>
  <c r="K118" i="30"/>
  <c r="F118" i="30"/>
  <c r="F114" i="30"/>
  <c r="E114" i="30"/>
  <c r="R113" i="30"/>
  <c r="Q113" i="30"/>
  <c r="P113" i="30"/>
  <c r="K113" i="30"/>
  <c r="F113" i="30"/>
  <c r="E113" i="30" s="1"/>
  <c r="R106" i="30"/>
  <c r="Q109" i="30"/>
  <c r="Q106" i="30" s="1"/>
  <c r="P109" i="30"/>
  <c r="K109" i="30"/>
  <c r="F109" i="30"/>
  <c r="E109" i="30" s="1"/>
  <c r="P108" i="30"/>
  <c r="K108" i="30"/>
  <c r="F108" i="30"/>
  <c r="E108" i="30" s="1"/>
  <c r="P107" i="30"/>
  <c r="P90" i="30" s="1"/>
  <c r="K107" i="30"/>
  <c r="F107" i="30"/>
  <c r="E107" i="30" s="1"/>
  <c r="P106" i="30"/>
  <c r="K106" i="30"/>
  <c r="R102" i="30"/>
  <c r="R100" i="30" s="1"/>
  <c r="Q102" i="30"/>
  <c r="Q100" i="30" s="1"/>
  <c r="P102" i="30"/>
  <c r="P100" i="30" s="1"/>
  <c r="E100" i="30" s="1"/>
  <c r="K102" i="30"/>
  <c r="F102" i="30"/>
  <c r="F100" i="30" s="1"/>
  <c r="E101" i="30"/>
  <c r="K100" i="30"/>
  <c r="F96" i="30"/>
  <c r="E96" i="30"/>
  <c r="R95" i="30"/>
  <c r="Q95" i="30"/>
  <c r="Q92" i="30" s="1"/>
  <c r="Q151" i="30" s="1"/>
  <c r="P95" i="30"/>
  <c r="K95" i="30"/>
  <c r="R94" i="30"/>
  <c r="Q94" i="30"/>
  <c r="P94" i="30"/>
  <c r="F94" i="30"/>
  <c r="R93" i="30"/>
  <c r="R152" i="30" s="1"/>
  <c r="Q93" i="30"/>
  <c r="P93" i="30"/>
  <c r="P152" i="30" s="1"/>
  <c r="K93" i="30"/>
  <c r="K152" i="30" s="1"/>
  <c r="F93" i="30"/>
  <c r="E93" i="30" s="1"/>
  <c r="F92" i="30"/>
  <c r="R91" i="30"/>
  <c r="R150" i="30" s="1"/>
  <c r="Q91" i="30"/>
  <c r="P91" i="30"/>
  <c r="P150" i="30" s="1"/>
  <c r="K91" i="30"/>
  <c r="K150" i="30" s="1"/>
  <c r="R90" i="30"/>
  <c r="Q90" i="30"/>
  <c r="K90" i="30"/>
  <c r="Q87" i="30"/>
  <c r="F87" i="30"/>
  <c r="R85" i="30"/>
  <c r="Q85" i="30"/>
  <c r="P85" i="30"/>
  <c r="E80" i="30"/>
  <c r="R79" i="30"/>
  <c r="Q79" i="30"/>
  <c r="P79" i="30"/>
  <c r="K79" i="30"/>
  <c r="F79" i="30"/>
  <c r="E79" i="30" s="1"/>
  <c r="E75" i="30"/>
  <c r="R74" i="30"/>
  <c r="Q74" i="30"/>
  <c r="P74" i="30"/>
  <c r="K74" i="30"/>
  <c r="F74" i="30"/>
  <c r="E74" i="30"/>
  <c r="E70" i="30"/>
  <c r="E69" i="30"/>
  <c r="R68" i="30"/>
  <c r="Q68" i="30"/>
  <c r="P68" i="30"/>
  <c r="K68" i="30"/>
  <c r="F68" i="30"/>
  <c r="E68" i="30"/>
  <c r="R67" i="30"/>
  <c r="Q67" i="30"/>
  <c r="P67" i="30"/>
  <c r="K67" i="30"/>
  <c r="K65" i="30" s="1"/>
  <c r="F67" i="30"/>
  <c r="R66" i="30"/>
  <c r="Q66" i="30"/>
  <c r="Q65" i="30" s="1"/>
  <c r="P66" i="30"/>
  <c r="P65" i="30" s="1"/>
  <c r="K66" i="30"/>
  <c r="F66" i="30"/>
  <c r="R65" i="30"/>
  <c r="F65" i="30"/>
  <c r="F61" i="30"/>
  <c r="E61" i="30" s="1"/>
  <c r="R60" i="30"/>
  <c r="Q60" i="30"/>
  <c r="P60" i="30"/>
  <c r="K60" i="30"/>
  <c r="E56" i="30"/>
  <c r="R55" i="30"/>
  <c r="Q55" i="30"/>
  <c r="P55" i="30"/>
  <c r="K55" i="30"/>
  <c r="F55" i="30"/>
  <c r="E55" i="30" s="1"/>
  <c r="E51" i="30"/>
  <c r="R50" i="30"/>
  <c r="Q50" i="30"/>
  <c r="P50" i="30"/>
  <c r="K50" i="30"/>
  <c r="F50" i="30"/>
  <c r="E50" i="30"/>
  <c r="R46" i="30"/>
  <c r="Q46" i="30"/>
  <c r="P46" i="30"/>
  <c r="P43" i="30" s="1"/>
  <c r="K46" i="30"/>
  <c r="K43" i="30" s="1"/>
  <c r="K87" i="30" s="1"/>
  <c r="F46" i="30"/>
  <c r="R45" i="30"/>
  <c r="R42" i="30" s="1"/>
  <c r="Q45" i="30"/>
  <c r="P45" i="30"/>
  <c r="P44" i="30" s="1"/>
  <c r="F45" i="30"/>
  <c r="R44" i="30"/>
  <c r="F44" i="30"/>
  <c r="R43" i="30"/>
  <c r="R87" i="30" s="1"/>
  <c r="Q43" i="30"/>
  <c r="F43" i="30"/>
  <c r="K42" i="30"/>
  <c r="K40" i="30" s="1"/>
  <c r="F42" i="30"/>
  <c r="R41" i="30"/>
  <c r="Q41" i="30"/>
  <c r="P41" i="30"/>
  <c r="K41" i="30"/>
  <c r="K85" i="30" s="1"/>
  <c r="R38" i="30"/>
  <c r="Q38" i="30"/>
  <c r="F38" i="30"/>
  <c r="R37" i="30"/>
  <c r="F37" i="30"/>
  <c r="E33" i="30"/>
  <c r="R32" i="30"/>
  <c r="Q32" i="30"/>
  <c r="P32" i="30"/>
  <c r="K32" i="30"/>
  <c r="E32" i="30" s="1"/>
  <c r="F32" i="30"/>
  <c r="E28" i="30"/>
  <c r="R27" i="30"/>
  <c r="Q27" i="30"/>
  <c r="P27" i="30"/>
  <c r="K27" i="30"/>
  <c r="F27" i="30"/>
  <c r="E27" i="30" s="1"/>
  <c r="E23" i="30"/>
  <c r="R22" i="30"/>
  <c r="Q22" i="30"/>
  <c r="P22" i="30"/>
  <c r="K22" i="30"/>
  <c r="F22" i="30"/>
  <c r="E22" i="30"/>
  <c r="R21" i="30"/>
  <c r="R20" i="30" s="1"/>
  <c r="Q21" i="30"/>
  <c r="P21" i="30"/>
  <c r="K21" i="30"/>
  <c r="K20" i="30" s="1"/>
  <c r="E20" i="30" s="1"/>
  <c r="F21" i="30"/>
  <c r="F20" i="30" s="1"/>
  <c r="Q20" i="30"/>
  <c r="P20" i="30"/>
  <c r="E16" i="30"/>
  <c r="R15" i="30"/>
  <c r="Q15" i="30"/>
  <c r="P15" i="30"/>
  <c r="K15" i="30"/>
  <c r="F15" i="30"/>
  <c r="E15" i="30" s="1"/>
  <c r="E11" i="30"/>
  <c r="R10" i="30"/>
  <c r="Q10" i="30"/>
  <c r="P10" i="30"/>
  <c r="K10" i="30"/>
  <c r="F10" i="30"/>
  <c r="E10" i="30"/>
  <c r="R9" i="30"/>
  <c r="Q9" i="30"/>
  <c r="P9" i="30"/>
  <c r="P8" i="30" s="1"/>
  <c r="K9" i="30"/>
  <c r="F9" i="30"/>
  <c r="R8" i="30"/>
  <c r="Q8" i="30"/>
  <c r="K8" i="30"/>
  <c r="E8" i="30" s="1"/>
  <c r="F8" i="30"/>
  <c r="K86" i="30" l="1"/>
  <c r="K84" i="30" s="1"/>
  <c r="E87" i="30"/>
  <c r="R407" i="30"/>
  <c r="P149" i="30"/>
  <c r="P87" i="30"/>
  <c r="P409" i="30" s="1"/>
  <c r="E43" i="30"/>
  <c r="P154" i="30"/>
  <c r="R86" i="30"/>
  <c r="R84" i="30" s="1"/>
  <c r="R40" i="30"/>
  <c r="P404" i="30"/>
  <c r="P403" i="30" s="1"/>
  <c r="P391" i="30"/>
  <c r="Q37" i="30"/>
  <c r="E42" i="30"/>
  <c r="K409" i="30"/>
  <c r="Q149" i="30"/>
  <c r="Q89" i="30"/>
  <c r="E118" i="30"/>
  <c r="K406" i="30"/>
  <c r="F151" i="30"/>
  <c r="E243" i="30"/>
  <c r="E262" i="30"/>
  <c r="F279" i="30"/>
  <c r="E398" i="30"/>
  <c r="K38" i="30"/>
  <c r="E45" i="30"/>
  <c r="Q44" i="30"/>
  <c r="Q42" i="30"/>
  <c r="Q86" i="30" s="1"/>
  <c r="E65" i="30"/>
  <c r="E66" i="30"/>
  <c r="Q84" i="30"/>
  <c r="F90" i="30"/>
  <c r="P92" i="30"/>
  <c r="P151" i="30" s="1"/>
  <c r="E102" i="30"/>
  <c r="F152" i="30"/>
  <c r="E152" i="30" s="1"/>
  <c r="R155" i="30"/>
  <c r="Q282" i="30"/>
  <c r="P157" i="30"/>
  <c r="K157" i="30"/>
  <c r="E157" i="30" s="1"/>
  <c r="K155" i="30"/>
  <c r="K181" i="30"/>
  <c r="K180" i="30" s="1"/>
  <c r="P183" i="30"/>
  <c r="P181" i="30"/>
  <c r="P180" i="30" s="1"/>
  <c r="E180" i="30" s="1"/>
  <c r="P232" i="30"/>
  <c r="E232" i="30" s="1"/>
  <c r="P230" i="30"/>
  <c r="P229" i="30" s="1"/>
  <c r="E229" i="30" s="1"/>
  <c r="F261" i="30"/>
  <c r="E261" i="30" s="1"/>
  <c r="E263" i="30"/>
  <c r="O279" i="30"/>
  <c r="E285" i="30"/>
  <c r="P286" i="30"/>
  <c r="P307" i="30" s="1"/>
  <c r="P287" i="30"/>
  <c r="K309" i="30"/>
  <c r="P309" i="30"/>
  <c r="F312" i="30"/>
  <c r="E312" i="30" s="1"/>
  <c r="F310" i="30"/>
  <c r="R312" i="30"/>
  <c r="R310" i="30"/>
  <c r="E321" i="30"/>
  <c r="E338" i="30"/>
  <c r="E21" i="30"/>
  <c r="Q40" i="30"/>
  <c r="P42" i="30"/>
  <c r="K44" i="30"/>
  <c r="E44" i="30" s="1"/>
  <c r="F60" i="30"/>
  <c r="E60" i="30" s="1"/>
  <c r="Q409" i="30"/>
  <c r="F91" i="30"/>
  <c r="E95" i="30"/>
  <c r="K94" i="30"/>
  <c r="E94" i="30" s="1"/>
  <c r="K92" i="30"/>
  <c r="E120" i="30"/>
  <c r="R149" i="30"/>
  <c r="F155" i="30"/>
  <c r="F282" i="30"/>
  <c r="E282" i="30" s="1"/>
  <c r="E156" i="30"/>
  <c r="R282" i="30"/>
  <c r="R409" i="30" s="1"/>
  <c r="F183" i="30"/>
  <c r="E183" i="30" s="1"/>
  <c r="E204" i="30"/>
  <c r="E233" i="30"/>
  <c r="R252" i="30"/>
  <c r="P253" i="30"/>
  <c r="Q280" i="30"/>
  <c r="F307" i="30"/>
  <c r="R287" i="30"/>
  <c r="R286" i="30"/>
  <c r="F305" i="30"/>
  <c r="E294" i="30"/>
  <c r="F293" i="30"/>
  <c r="E297" i="30"/>
  <c r="Q310" i="30"/>
  <c r="P318" i="30"/>
  <c r="P377" i="30"/>
  <c r="E377" i="30" s="1"/>
  <c r="E323" i="30"/>
  <c r="K320" i="30"/>
  <c r="E328" i="30"/>
  <c r="E337" i="30"/>
  <c r="E349" i="30"/>
  <c r="P338" i="30"/>
  <c r="P335" i="30" s="1"/>
  <c r="E384" i="30"/>
  <c r="F382" i="30"/>
  <c r="R383" i="30"/>
  <c r="R382" i="30"/>
  <c r="P389" i="30"/>
  <c r="P388" i="30" s="1"/>
  <c r="K392" i="30"/>
  <c r="E394" i="30"/>
  <c r="F392" i="30"/>
  <c r="F409" i="30"/>
  <c r="E9" i="30"/>
  <c r="P38" i="30"/>
  <c r="F41" i="30"/>
  <c r="E46" i="30"/>
  <c r="E67" i="30"/>
  <c r="F86" i="30"/>
  <c r="R92" i="30"/>
  <c r="R151" i="30" s="1"/>
  <c r="F106" i="30"/>
  <c r="E106" i="30" s="1"/>
  <c r="F173" i="30"/>
  <c r="E173" i="30" s="1"/>
  <c r="F194" i="30"/>
  <c r="E194" i="30" s="1"/>
  <c r="K203" i="30"/>
  <c r="E203" i="30" s="1"/>
  <c r="E251" i="30"/>
  <c r="Q253" i="30"/>
  <c r="Q250" i="30" s="1"/>
  <c r="R261" i="30"/>
  <c r="E264" i="30"/>
  <c r="P306" i="30"/>
  <c r="P304" i="30" s="1"/>
  <c r="K286" i="30"/>
  <c r="K307" i="30" s="1"/>
  <c r="K287" i="30"/>
  <c r="E295" i="30"/>
  <c r="Q306" i="30"/>
  <c r="Q304" i="30" s="1"/>
  <c r="E311" i="30"/>
  <c r="E369" i="30"/>
  <c r="F383" i="30"/>
  <c r="K383" i="30"/>
  <c r="K382" i="30"/>
  <c r="P322" i="30"/>
  <c r="P320" i="30"/>
  <c r="P378" i="30" s="1"/>
  <c r="K376" i="30"/>
  <c r="K335" i="30"/>
  <c r="E361" i="30"/>
  <c r="P279" i="30"/>
  <c r="P252" i="30"/>
  <c r="P280" i="30" s="1"/>
  <c r="P407" i="30" s="1"/>
  <c r="F280" i="30"/>
  <c r="R280" i="30"/>
  <c r="R253" i="30"/>
  <c r="Q293" i="30"/>
  <c r="Q379" i="30"/>
  <c r="E379" i="30" s="1"/>
  <c r="F322" i="30"/>
  <c r="E322" i="30" s="1"/>
  <c r="E346" i="30"/>
  <c r="E399" i="30"/>
  <c r="K284" i="30" l="1"/>
  <c r="E335" i="30"/>
  <c r="K381" i="30"/>
  <c r="K389" i="30"/>
  <c r="K388" i="30" s="1"/>
  <c r="E409" i="30"/>
  <c r="E293" i="30"/>
  <c r="K151" i="30"/>
  <c r="K148" i="30" s="1"/>
  <c r="K89" i="30"/>
  <c r="E310" i="30"/>
  <c r="F309" i="30"/>
  <c r="F378" i="30"/>
  <c r="Q281" i="30"/>
  <c r="Q408" i="30" s="1"/>
  <c r="P250" i="30"/>
  <c r="E253" i="30"/>
  <c r="Q407" i="30"/>
  <c r="E92" i="30"/>
  <c r="E287" i="30"/>
  <c r="E252" i="30"/>
  <c r="F85" i="30"/>
  <c r="E41" i="30"/>
  <c r="E392" i="30"/>
  <c r="F391" i="30"/>
  <c r="F404" i="30"/>
  <c r="R389" i="30"/>
  <c r="R388" i="30" s="1"/>
  <c r="R381" i="30"/>
  <c r="E306" i="30"/>
  <c r="K304" i="30"/>
  <c r="F281" i="30"/>
  <c r="E281" i="30" s="1"/>
  <c r="E155" i="30"/>
  <c r="F154" i="30"/>
  <c r="F40" i="30"/>
  <c r="K37" i="30"/>
  <c r="E37" i="30" s="1"/>
  <c r="E38" i="30"/>
  <c r="E376" i="30"/>
  <c r="P375" i="30"/>
  <c r="R89" i="30"/>
  <c r="E383" i="30"/>
  <c r="E181" i="30"/>
  <c r="E86" i="30"/>
  <c r="P37" i="30"/>
  <c r="P408" i="30"/>
  <c r="K318" i="30"/>
  <c r="E318" i="30" s="1"/>
  <c r="E320" i="30"/>
  <c r="Q378" i="30"/>
  <c r="Q375" i="30" s="1"/>
  <c r="Q309" i="30"/>
  <c r="F304" i="30"/>
  <c r="E305" i="30"/>
  <c r="E286" i="30"/>
  <c r="R250" i="30"/>
  <c r="R148" i="30"/>
  <c r="R406" i="30"/>
  <c r="R378" i="30"/>
  <c r="R375" i="30" s="1"/>
  <c r="R309" i="30"/>
  <c r="K378" i="30"/>
  <c r="K375" i="30" s="1"/>
  <c r="E279" i="30"/>
  <c r="E151" i="30"/>
  <c r="P281" i="30"/>
  <c r="P278" i="30" s="1"/>
  <c r="P406" i="30"/>
  <c r="P405" i="30" s="1"/>
  <c r="P415" i="30" s="1"/>
  <c r="P417" i="30" s="1"/>
  <c r="P418" i="30" s="1"/>
  <c r="P148" i="30"/>
  <c r="E280" i="30"/>
  <c r="P284" i="30"/>
  <c r="E230" i="30"/>
  <c r="K391" i="30"/>
  <c r="K404" i="30"/>
  <c r="K403" i="30" s="1"/>
  <c r="E382" i="30"/>
  <c r="F389" i="30"/>
  <c r="F381" i="30"/>
  <c r="E381" i="30" s="1"/>
  <c r="R307" i="30"/>
  <c r="R304" i="30" s="1"/>
  <c r="R284" i="30"/>
  <c r="E307" i="30"/>
  <c r="E91" i="30"/>
  <c r="F150" i="30"/>
  <c r="E150" i="30" s="1"/>
  <c r="P86" i="30"/>
  <c r="P84" i="30" s="1"/>
  <c r="P40" i="30"/>
  <c r="K154" i="30"/>
  <c r="K281" i="30"/>
  <c r="K278" i="30" s="1"/>
  <c r="R281" i="30"/>
  <c r="R278" i="30" s="1"/>
  <c r="R154" i="30"/>
  <c r="F149" i="30"/>
  <c r="E90" i="30"/>
  <c r="F89" i="30"/>
  <c r="Q406" i="30"/>
  <c r="Q148" i="30"/>
  <c r="P89" i="30"/>
  <c r="E304" i="30" l="1"/>
  <c r="E284" i="30"/>
  <c r="E40" i="30"/>
  <c r="E404" i="30"/>
  <c r="F403" i="30"/>
  <c r="E403" i="30" s="1"/>
  <c r="F407" i="30"/>
  <c r="E407" i="30" s="1"/>
  <c r="E85" i="30"/>
  <c r="E378" i="30"/>
  <c r="F375" i="30"/>
  <c r="E375" i="30" s="1"/>
  <c r="E89" i="30"/>
  <c r="F278" i="30"/>
  <c r="F408" i="30"/>
  <c r="K408" i="30"/>
  <c r="E154" i="30"/>
  <c r="E391" i="30"/>
  <c r="E309" i="30"/>
  <c r="Q405" i="30"/>
  <c r="Q415" i="30" s="1"/>
  <c r="Q417" i="30" s="1"/>
  <c r="Q418" i="30" s="1"/>
  <c r="E149" i="30"/>
  <c r="F406" i="30"/>
  <c r="F148" i="30"/>
  <c r="E148" i="30" s="1"/>
  <c r="R408" i="30"/>
  <c r="R405" i="30" s="1"/>
  <c r="R415" i="30" s="1"/>
  <c r="E389" i="30"/>
  <c r="F388" i="30"/>
  <c r="E388" i="30" s="1"/>
  <c r="F84" i="30"/>
  <c r="E84" i="30" s="1"/>
  <c r="E250" i="30"/>
  <c r="Q278" i="30"/>
  <c r="K405" i="30" l="1"/>
  <c r="O415" i="30" s="1"/>
  <c r="O417" i="30" s="1"/>
  <c r="O418" i="30" s="1"/>
  <c r="R421" i="30"/>
  <c r="R417" i="30"/>
  <c r="R418" i="30" s="1"/>
  <c r="E406" i="30"/>
  <c r="F405" i="30"/>
  <c r="E278" i="30"/>
  <c r="E408" i="30"/>
  <c r="F415" i="30" l="1"/>
  <c r="J417" i="30" s="1"/>
  <c r="E405" i="30"/>
</calcChain>
</file>

<file path=xl/sharedStrings.xml><?xml version="1.0" encoding="utf-8"?>
<sst xmlns="http://schemas.openxmlformats.org/spreadsheetml/2006/main" count="1945" uniqueCount="203">
  <si>
    <t>№ П\П</t>
  </si>
  <si>
    <t>Мероприятие подпрограммы</t>
  </si>
  <si>
    <t>Источники финансирования</t>
  </si>
  <si>
    <t>Объем финансирования по годам (тыс. руб.)</t>
  </si>
  <si>
    <t>2023 год</t>
  </si>
  <si>
    <t>2024 год</t>
  </si>
  <si>
    <t xml:space="preserve">Итого:         </t>
  </si>
  <si>
    <t>Комитет по культуре</t>
  </si>
  <si>
    <t>Средства бюджета Одинцовского городского округа Московской области</t>
  </si>
  <si>
    <t>1.1.</t>
  </si>
  <si>
    <t>1.2.</t>
  </si>
  <si>
    <t>2.</t>
  </si>
  <si>
    <t>2.1.</t>
  </si>
  <si>
    <t>Количество объектов культурного наследия, находящихся в собственности муниципальных образований, по которым в текущем году разработана проектная документация</t>
  </si>
  <si>
    <t>2.2.</t>
  </si>
  <si>
    <t>2.3.</t>
  </si>
  <si>
    <t>Мероприятие 02.03                            Обеспечение условий доступности для инвалидов объектов культурного наследия, находящихся в собственности муниципальных образований</t>
  </si>
  <si>
    <t xml:space="preserve">Итого по  подпрограмме </t>
  </si>
  <si>
    <t xml:space="preserve"> Комитет по культуре, муниципальные музеи</t>
  </si>
  <si>
    <t>Средства бюджета Московской области</t>
  </si>
  <si>
    <t>Внебюджетные средства</t>
  </si>
  <si>
    <t>1.3.</t>
  </si>
  <si>
    <t xml:space="preserve"> Комитет по культуре, учреждения культуры</t>
  </si>
  <si>
    <t>Средства федерального бюджета</t>
  </si>
  <si>
    <t>Обеспечение роста числа пользователей муниципальных библиотек Московской области</t>
  </si>
  <si>
    <t>3.</t>
  </si>
  <si>
    <t>3.1.</t>
  </si>
  <si>
    <t>4.</t>
  </si>
  <si>
    <t>4.1.</t>
  </si>
  <si>
    <t>4.2.</t>
  </si>
  <si>
    <t>4.3.</t>
  </si>
  <si>
    <t>Основное мероприятие А2                      Федеральный проект "Творческие люди"</t>
  </si>
  <si>
    <t>5.1.</t>
  </si>
  <si>
    <t>5.2.</t>
  </si>
  <si>
    <t xml:space="preserve"> Комитет по культуре,  учреждения ДМШ и ДШИ</t>
  </si>
  <si>
    <t>1.</t>
  </si>
  <si>
    <t xml:space="preserve"> Комитет по культуре, учреждения ДМШ и ДШИ</t>
  </si>
  <si>
    <t>1.1</t>
  </si>
  <si>
    <t xml:space="preserve">Итого по программе </t>
  </si>
  <si>
    <t>Основное мероприятие 01                "Обеспечение функций муниципальных организаций дополнительного образования сферы культуры"</t>
  </si>
  <si>
    <t>Мероприятие 01.01                                               Расходы на обеспечение деятельности (оказание услуг) муниципальных организаций дополнительного образования сферы культуры</t>
  </si>
  <si>
    <t>2025 год</t>
  </si>
  <si>
    <t>2026 год</t>
  </si>
  <si>
    <t>2027 год</t>
  </si>
  <si>
    <t>2023-2027 гг.</t>
  </si>
  <si>
    <t xml:space="preserve">Ответственный за выполнение мероприятия </t>
  </si>
  <si>
    <t>2</t>
  </si>
  <si>
    <t>Мероприятие 03.01                         Модернизация (развитие) материально-технической базы муниципальных музеев</t>
  </si>
  <si>
    <t>Мероприятие 01.01                                        Расходы на обеспечение    деятельности (оказание услуг) муниципальных учреждений - библиотеки</t>
  </si>
  <si>
    <t>Мероприятие 01.03                       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</si>
  <si>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 xml:space="preserve">Мероприятие 02.02                               Сохранение объектов культурного наследия (памятников истории и культуры), находящихся в собственности муниципальных образований </t>
  </si>
  <si>
    <t>3.2.</t>
  </si>
  <si>
    <t xml:space="preserve">Число посещений культурных мероприятий </t>
  </si>
  <si>
    <t>4.4.</t>
  </si>
  <si>
    <t>Основное мероприятие 06  "Создание условий для массового отдыха жителей городского округа в парках культуры и отдыха"</t>
  </si>
  <si>
    <t>6.</t>
  </si>
  <si>
    <t xml:space="preserve">Мероприятие А1 01                                          Создание модельных муниципальных библиотек  </t>
  </si>
  <si>
    <t>Мероприятие А2.03                     Государственная поддержка лучших сельских учреждений культуры и лучших работников сельских учреждений культуры</t>
  </si>
  <si>
    <t xml:space="preserve">Мероприятие А2.04                      Финансирование организаций дополнительного образования сферы культуры, направленное на социальную поддержку одаренных детей  </t>
  </si>
  <si>
    <t>Мероприятие 01.01                                     Создание доступной среды в муниципальных учреждениях культуры</t>
  </si>
  <si>
    <t>2.1</t>
  </si>
  <si>
    <t>2.2</t>
  </si>
  <si>
    <t>Основное мероприятие 04                "Обеспечение пожарной безопасности и создание доступной среды"</t>
  </si>
  <si>
    <t>Мероприятие 04.01                                             Выполнение работ по обеспечению пожарной безопасности в организациях дополнительного образования сферы культуры</t>
  </si>
  <si>
    <t>Мероприятие 04.02                                             Создание доступной среды в муниципальных учреждениях дополнительного образования сферы культуры</t>
  </si>
  <si>
    <t>Мероприятие А1 03                                         Государственная поддержка отрасли культуры (в части модернизации муниципальных детских школ искусств по видам искусств путем их реконструкции, капитального ремонта)</t>
  </si>
  <si>
    <t>Мероприятие А1 02                                         Приобретение музыкальных инструментов для муниципальных организаций дополнительного образования в сфере культуры</t>
  </si>
  <si>
    <t>Администрация Одинцовского городского округа</t>
  </si>
  <si>
    <t>Мероприятие 01.01                                Организация и проведение ежегодных профильных конкурсов, фестивалей для организаций туристской индустрии</t>
  </si>
  <si>
    <t>4.5.</t>
  </si>
  <si>
    <t>4.6.</t>
  </si>
  <si>
    <t>3.3.</t>
  </si>
  <si>
    <t>4.1</t>
  </si>
  <si>
    <t>4.2</t>
  </si>
  <si>
    <t>Сроки исполнения мероприятия</t>
  </si>
  <si>
    <t>х</t>
  </si>
  <si>
    <t xml:space="preserve">Всего  </t>
  </si>
  <si>
    <t>Итого                   2023 год</t>
  </si>
  <si>
    <t>В том числе по кварталам:</t>
  </si>
  <si>
    <t>I</t>
  </si>
  <si>
    <t>II</t>
  </si>
  <si>
    <t>III</t>
  </si>
  <si>
    <t>IV</t>
  </si>
  <si>
    <t>Мероприятие А1 01                                               Проведение капитального ремонта, технического переоснащения и благоустройство территорий муниципальных объектов культуры</t>
  </si>
  <si>
    <t>Основное мероприятие 03                "Обеспечение современных условий организации образовательного и учебно-производственного процесса"</t>
  </si>
  <si>
    <t>Мероприятие 03.01                                               Модернизация (развитие) материально-технической базы организаций дополнительного образования сферы культуры</t>
  </si>
  <si>
    <t>Мероприятие 03.02                                              Проведение капитального ремонта, текущего ремонта организаций дополнительного образования сферы культуры</t>
  </si>
  <si>
    <t xml:space="preserve">Проведены работы по  установке на объектах культурного наследия, находящихся в собственности Московской области, информационных надписей и обозначений, (шт.) </t>
  </si>
  <si>
    <t xml:space="preserve">Проведены работы по сохранению объектов культурного наследия религиозного назначения, находящихся в федеральной собственности и собственности Московской области, (шт.) </t>
  </si>
  <si>
    <t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(работ), (%)</t>
  </si>
  <si>
    <t>Проведены работы  по капитальному ремонту, текущему ремонту, техническому переоснащению и благоустройству территорий в муниципальных музеях Московской области, (ед.)</t>
  </si>
  <si>
    <t>Выполнены работы по обеспечению пожарной безопасности муниципальных музеев Московской области, (ед.)</t>
  </si>
  <si>
    <t>Созданы новые постановки и (или)  улучшено материально-техническое оснащение профессиональных репертуарных театров, находящихся в населенных пунктах с численностью населения до 300 тысяч человек, (ед.)</t>
  </si>
  <si>
    <t>Предоставлена стипендия главы муниципального образования Московской области, (чел.)</t>
  </si>
  <si>
    <t>Проведена модернизация (развитие) материально-технической базы муниципальных театрально-концертных организаций и учреждения культуры, осуществляющих демонстрацию кинофильмов, кинопрокат, развитие киноискусства, (ед.)</t>
  </si>
  <si>
    <t>Предоставлена адресная финансовая социальная поддержка по итогам рейтингования обучающихся муниципальных организаций дополнительного образования сферы культуры, (ед.)</t>
  </si>
  <si>
    <t>Проведены праздничные и культурно-массовых мероприятия, фестивали, конкурсы,  (ед.)</t>
  </si>
  <si>
    <t>Выполнены работы по обеспечению пожарной безопасности муниципальных театрально-концертных организаций и учреждений культуры, осуществляющих демонстрацию кинофильмов, кинопрокат, (ед.)</t>
  </si>
  <si>
    <t>Оборудованы в соответствии с требованиями доступности для инвалидов и других маломобильных групп населения объекты организаций культуры (ед.)</t>
  </si>
  <si>
    <t>Капитально отремонтированы объекты культурно-досуговых учреждений муниципальных образований Московской области (ед.)</t>
  </si>
  <si>
    <t>Оснащены  образовательные учреждения в сфере культуры (детские школы искусств по видам искусств и училищ) музыкальными инструментами, оборудованием и учебными материалами, (ед.)</t>
  </si>
  <si>
    <t>Оснащены муниципальные организации дополнительного образования в сфере культуры (детские школы искусств по видам искусств музыкальными инструментами, (ед.)</t>
  </si>
  <si>
    <t>Реконструированы и (или) капитально отремонтированы региональные и муниципальные детские школы искусств по видам искусств, (ед.)</t>
  </si>
  <si>
    <t>Оборудованы  в соответствии с требованиями доступности для инвалидов и других маломобильных групп населения  объекты организаций дополнительного образования сферы культуры, (ед.)</t>
  </si>
  <si>
    <t>6.1.</t>
  </si>
  <si>
    <t>Проведены праздничные и культурно-массовые мероприятия, фестивали, конкурсы,  (ед.)</t>
  </si>
  <si>
    <t>ПЕРЕЧЕНЬ МЕРОПРИЯТИЙ МУНИЦИПАЛЬНОЙ ПРОГРАММЫ ОДИНЦОВСКОГО ГОРОДСКОГО ОКРУГА
МОСКОВСКОЙ ОБЛАСТИ 
«Культура и туризм» на 2023-2027 годы</t>
  </si>
  <si>
    <t>Всего (тыс. руб.)</t>
  </si>
  <si>
    <t>Соотношение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</si>
  <si>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Председатель Комитета</t>
  </si>
  <si>
    <t>И.Е. Ватрунина</t>
  </si>
  <si>
    <t>Мероприятие 01.02                              Приобретение, реставрация музейных предметов (культурных ценностей)</t>
  </si>
  <si>
    <t>Мероприятие 01.03                                                  Создание выставок (в том числе музейных композиций) муниципальными музеями</t>
  </si>
  <si>
    <t>Созданы  выставки и экспозиции в муниципальных музеях Московской области, (ед.)</t>
  </si>
  <si>
    <t>Муниципальные библиотеки Московской области (юридические лица), обновившие книжный фонд, (ед.)</t>
  </si>
  <si>
    <t>Проведена модернизация (развитие) материально-технической базы муниципальных культурно-досуговых учреждений культуры, (ед.)</t>
  </si>
  <si>
    <t>Проведен капитальный ремонт, текущий ремонт и благоустройство территорий культурно-досуговых учреждений культуры, (ед.)</t>
  </si>
  <si>
    <t>Основное мероприятие 01                      "Государственная охрана объектов культурного наследия (местного муниципального значения)"</t>
  </si>
  <si>
    <t>Мероприятие 01.01                                     Установка на объектах культурного наследия, находящихся в собственности муниципального образования информационных надписей</t>
  </si>
  <si>
    <t>Мероприятие 01.02                                     Разработка проектов границ территорий и зон охраны объектов культурного наследия местного (муниципального) значения</t>
  </si>
  <si>
    <t>Основное мероприятие 02                   "Сохранение, использование и популяризация объектов культурного наследия, находящихся в собственности муниципального образования"</t>
  </si>
  <si>
    <t>Мероприятие 02.01                                            Разработка проектной документации по сохранению объектов культурного наследия, находящихся в собственности муниципальных образований</t>
  </si>
  <si>
    <t>Основное мероприятие  01                     "Обеспечение выполнения функций муниципальных музеев"</t>
  </si>
  <si>
    <t>Мероприятие 01.01                                              Расходы на обеспечение деятельности (оказания услуг) муниципальных учреждений - музеи, галереи</t>
  </si>
  <si>
    <t>Приобретены культурные ценности и отреставрированы музейные предметы в муниципальных музеях Московской области, (ед.)</t>
  </si>
  <si>
    <t>Основное мероприятие  03                               "Модернизация материально-технической базы, проведение капитального ремонта, текущего ремонта, благоустройство территорий муниципальных музеев Московской области"</t>
  </si>
  <si>
    <t>Мероприятие 03.02                                   Проведение капитального ремонта, текущего ремонта и благоустройство территорий муниципальных музеев</t>
  </si>
  <si>
    <t>Мероприятие 03.04                                       Выполнение работ по обеспечению пожарной безопасности в муниципальных музеях</t>
  </si>
  <si>
    <t>Основное мероприятие  01                "Организация библиотечного обслуживания населения муниципальными библиотеками Московской области"</t>
  </si>
  <si>
    <t xml:space="preserve">
Фактическое количество библиотек в городском округе (сетевые единицы), (ед.)</t>
  </si>
  <si>
    <t>Мероприятие 01.02                                            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</si>
  <si>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 xml:space="preserve">
Количество библиотек в городском округе (сетевые единицы), организовавших библиотечное обслуживание населения, комплектование и обеспечение сохранности библиотечных фондов библиотек городского округа (ед.)</t>
  </si>
  <si>
    <t>Основное мероприятие  02                       "Модернизация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области"</t>
  </si>
  <si>
    <t>Мероприятие 02.01                                    Модернизация (развитие) материально-технической базы муниципальных библиотек</t>
  </si>
  <si>
    <t xml:space="preserve">Проведена модернизация (развитие) материально-технической базы муниципальных библиотек (юридические лица), (ед.) </t>
  </si>
  <si>
    <t>Мероприятие 02.02                               Проведение капитального ремонта, текущего ремонта и благоустройство территорий муниципальных библиотек</t>
  </si>
  <si>
    <t>Мероприятие 02.03                                    Выполнение работ по обеспечению пожарной безопасности в муниципальных библиотеках</t>
  </si>
  <si>
    <t>Основное мероприятие А1               Федеральный проект "Культурная среда"</t>
  </si>
  <si>
    <t>Основное мероприятие  01                 "Обеспечение функций театрально-концертных учреждений, муниципальных учреждений культуры Московской области"</t>
  </si>
  <si>
    <t>Мероприятие 01.01                                     Расходы на обеспечение    деятельности (оказание услуг) муниципальных учреждений - театрально-концертные организации</t>
  </si>
  <si>
    <t>Мероприятие 01.02                                            Мероприятия в сфере культуры</t>
  </si>
  <si>
    <t>Мероприятие 01.04                                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</si>
  <si>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Основное мероприятие 02                      "Реализация отдельных функций органа местного самоуправления в сфере культуры"</t>
  </si>
  <si>
    <t xml:space="preserve">Мероприятие 02.02                                       Стипендии выдающимся деятелям культуры, искусства и молодым авторам </t>
  </si>
  <si>
    <t>Основное мероприятие 04                    "Обеспечение функций культурно-досуговых учреждений"</t>
  </si>
  <si>
    <t>Мероприятие 04.01                                             Расходы на обеспечение   деятельности (оказание услуг) муниципальных учреждений - культурно-досуговые учреждения</t>
  </si>
  <si>
    <r>
      <t xml:space="preserve"> </t>
    </r>
    <r>
      <rPr>
        <sz val="12"/>
        <rFont val="Times New Roman"/>
        <family val="1"/>
        <charset val="204"/>
      </rPr>
      <t>Фактическое количество культурно-досуговых учреждений в городском округе (юридические лица), (ед.)</t>
    </r>
  </si>
  <si>
    <t>Мероприятие 04.02                                      Мероприятия в сфере культуры</t>
  </si>
  <si>
    <t>Основное мероприятие 05                       "Модернизация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</si>
  <si>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Мероприятие 05.01                                           Модернизация (развитие) материально-технической базы театрально-концертных учреждений культуры</t>
  </si>
  <si>
    <t>Мероприятие 05.02                                        Модернизация (развитие) материально-технической базы культурно-досуговых учреждений культуры</t>
  </si>
  <si>
    <t>Мероприятие 05.03                                         Проведение капитального ремонта, текущего ремонта и благоустройство территорий театрально-концертных учреждений культуры</t>
  </si>
  <si>
    <t>Мероприятие 05.04                                        Проведение капитального ремонта, текущего ремонта и благоустройство территорий культурно-досуговых учреждений культуры</t>
  </si>
  <si>
    <t>Мероприятие 05.05                                     Выполнение работ по обеспечению пожарной безопасности в театрально-концертных организациях</t>
  </si>
  <si>
    <t>Мероприятие 05.06                                     Выполнение работ по обеспечению пожарной безопасности в культурно-досуговых учреждениях</t>
  </si>
  <si>
    <t>Выполнены работы по обеспечению пожарной безопасности в муниципальных культурно-досуговых учреждениях (ед.)</t>
  </si>
  <si>
    <t>Мероприятие 06.01                                         Расходы на обеспечение деятельности  (оказание услуг) муниципальных учреждений -  парк культуры и отдыха</t>
  </si>
  <si>
    <r>
      <t xml:space="preserve">
</t>
    </r>
    <r>
      <rPr>
        <sz val="12"/>
        <rFont val="Times New Roman"/>
        <family val="1"/>
        <charset val="204"/>
      </rPr>
      <t>Фактическое количество парков культуры и отдыха (юридические лица), (ед.)</t>
    </r>
  </si>
  <si>
    <t>Мероприятие 06.02                                         Создание условий для массового отдыха жителей городского округа в парках культуры и отдыха</t>
  </si>
  <si>
    <t>Основное мероприятие  01                     "Создание доступной среды"</t>
  </si>
  <si>
    <t>Основное мероприятие А1                     Федеральный проект "Культурная среда"</t>
  </si>
  <si>
    <t>Мероприятие  А1 01                                Государственная поддержка отрасли культуры (в части приобретения музыкальных инструментов, оборудования и учебных материалов для оснащения образовательных организаций в сфере культуры)</t>
  </si>
  <si>
    <t>Основное мероприятие  01                   "Развитие рынка туристских услуг, развитие внутреннего и въездного туризма"</t>
  </si>
  <si>
    <t>Проведенено профильных конкурсов, фестивалей для организаций туристской индустрии, (ед.)</t>
  </si>
  <si>
    <t>Основное мероприятие 01                             "Создание условий для реализации полномочий органов местного самоуправления"</t>
  </si>
  <si>
    <t>Мероприятие 01.01                                      Обеспечение деятельности муниципальных органов - учреждения в сфере культуры</t>
  </si>
  <si>
    <t>Обеспечена деятельность муниципальных органов - Комитет по культуре Администрации Одинцовского городского округа, (ед.)</t>
  </si>
  <si>
    <t>Мероприятие 01.02                                       Мероприятия в сфере культуры</t>
  </si>
  <si>
    <t>Проведено мероприятий в сфере культуры, (ед.)</t>
  </si>
  <si>
    <t xml:space="preserve">Основное мероприятие А1 Федеральный проект «Культурная среда» </t>
  </si>
  <si>
    <t>5.</t>
  </si>
  <si>
    <t>Мероприятие A1.01                                       Оснащение муниципальных театров</t>
  </si>
  <si>
    <t>Оснащены муниципальные театры, (ед.)</t>
  </si>
  <si>
    <t>7.</t>
  </si>
  <si>
    <t>7.1.</t>
  </si>
  <si>
    <t>1</t>
  </si>
  <si>
    <t>Проведена модернизация (развитие) материально-технической базы организаций дополнительного образования сферы культуры, (ед.)</t>
  </si>
  <si>
    <t>".</t>
  </si>
  <si>
    <t>1.4.</t>
  </si>
  <si>
    <t>Мероприятие 01.04                                                  Сохранение достигнутого уровня заработной платы работников муниципальных учреждений культуры</t>
  </si>
  <si>
    <t>Основное мероприятие 07 "Обеспечение функций муниципальных учреждений культуры Московской области"</t>
  </si>
  <si>
    <t xml:space="preserve"> Подпрограмма 1 «Сохранение,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Федерации»
</t>
  </si>
  <si>
    <t>Подпрограмма 2 «Развитие музейного дела»</t>
  </si>
  <si>
    <t>Достижение соотношения средней заработной платы работников учреждений культуры без учета внешних совместителей и среднемесячной начисленной заработной платы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области, процент.</t>
  </si>
  <si>
    <t xml:space="preserve"> Подпрограмма 3 «Развитие библиотечного дела»</t>
  </si>
  <si>
    <t xml:space="preserve"> Подпрограмма 4 «Развитие профессионального искусства, гастрольно-концертной и культурно-досуговой деятельности, кинематографии»
</t>
  </si>
  <si>
    <t>8.</t>
  </si>
  <si>
    <t>8.1.</t>
  </si>
  <si>
    <t>8.2.</t>
  </si>
  <si>
    <t xml:space="preserve"> Подпрограмма 5 «Укрепление материально-технической базы муниципальных учреждений культуры»</t>
  </si>
  <si>
    <t xml:space="preserve">  Подпрограмма 6 «Развитие образования в сфере культуры »
</t>
  </si>
  <si>
    <t xml:space="preserve"> Подпрограмма 7 «Развитие туризма»
</t>
  </si>
  <si>
    <t xml:space="preserve"> Подпрограмма 8 "Обеспечивающая подпрограмма"
</t>
  </si>
  <si>
    <t>Мероприятие 07.01                                                  Сохранение достигнутого уровня заработной платы работников муниципальных учреждений культ</t>
  </si>
  <si>
    <t>Итого                   2024 год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</si>
  <si>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Аминистрации Одинцовского                                                                                                                                                                                           городского округа Московской области                                                                                                                                                                                                                                        от ______________ №______________                                                                                                                                        "Приложение 1 к муниципальной программе</t>
  </si>
  <si>
    <t>Осуществлена поставка товаров, работ, услуг в целях модернизации (развития) материально-технической базы государственных музеев, (ед.)</t>
  </si>
  <si>
    <t xml:space="preserve">Муниципальные библиотеки Московской области, выполнившие работы по обеспечению пожарной безопасности, (ед.) </t>
  </si>
  <si>
    <r>
      <t>Созданы модельные муниципальные библиотеки,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(ед.)</t>
    </r>
  </si>
  <si>
    <t xml:space="preserve">Проведен капитальный ремонт, текущий ремонт и благоустройство территорий муниципальных театрально-концертных организаций и учреждений культуры, осуществляющих демонстрацию кинофильмов, кинопрокат, развитие киноискусства, (ед.) </t>
  </si>
  <si>
    <t>Оказана государственная поддержка лучшим сельским учреждениям культуры, (ед.)</t>
  </si>
  <si>
    <t>Проведен капитальный ремонт, текущий ремонт в организациях дополнительного образования сферы культуры, (ед.)</t>
  </si>
  <si>
    <t>Завершены работы по обеспечению пожарной безопасности в организациях дополнительного образования сферы культуры, (ед.)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</si>
</sst>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00"/>
    <numFmt numFmtId="166" formatCode="0.0"/>
    <numFmt numFmtId="167" formatCode="#,##0.00000"/>
    <numFmt numFmtId="168" formatCode="#,##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60">
    <xf numFmtId="0" fontId="0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2" fillId="0" borderId="0" xfId="58" applyFont="1"/>
    <xf numFmtId="0" fontId="16" fillId="0" borderId="0" xfId="58" applyFont="1"/>
    <xf numFmtId="0" fontId="5" fillId="0" borderId="0" xfId="58" applyFont="1"/>
    <xf numFmtId="0" fontId="5" fillId="2" borderId="0" xfId="58" applyFont="1" applyFill="1"/>
    <xf numFmtId="0" fontId="7" fillId="2" borderId="0" xfId="58" applyFont="1" applyFill="1" applyAlignment="1">
      <alignment horizontal="left"/>
    </xf>
    <xf numFmtId="0" fontId="2" fillId="2" borderId="0" xfId="58" applyFont="1" applyFill="1"/>
    <xf numFmtId="2" fontId="7" fillId="2" borderId="0" xfId="58" applyNumberFormat="1" applyFont="1" applyFill="1" applyAlignment="1">
      <alignment horizontal="left"/>
    </xf>
    <xf numFmtId="166" fontId="2" fillId="2" borderId="0" xfId="58" applyNumberFormat="1" applyFont="1" applyFill="1"/>
    <xf numFmtId="165" fontId="7" fillId="2" borderId="0" xfId="58" applyNumberFormat="1" applyFont="1" applyFill="1" applyAlignment="1">
      <alignment horizontal="left"/>
    </xf>
    <xf numFmtId="0" fontId="2" fillId="2" borderId="0" xfId="58" applyFont="1" applyFill="1" applyAlignment="1">
      <alignment vertical="top"/>
    </xf>
    <xf numFmtId="167" fontId="2" fillId="2" borderId="0" xfId="58" applyNumberFormat="1" applyFont="1" applyFill="1"/>
    <xf numFmtId="0" fontId="9" fillId="2" borderId="0" xfId="58" applyFont="1" applyFill="1"/>
    <xf numFmtId="0" fontId="9" fillId="2" borderId="0" xfId="58" applyFont="1" applyFill="1" applyAlignment="1">
      <alignment wrapText="1"/>
    </xf>
    <xf numFmtId="167" fontId="2" fillId="2" borderId="0" xfId="58" applyNumberFormat="1" applyFont="1" applyFill="1" applyAlignment="1">
      <alignment wrapText="1"/>
    </xf>
    <xf numFmtId="0" fontId="2" fillId="2" borderId="0" xfId="58" applyFont="1" applyFill="1" applyAlignment="1">
      <alignment horizontal="center" vertical="top" wrapText="1"/>
    </xf>
    <xf numFmtId="165" fontId="9" fillId="2" borderId="0" xfId="58" applyNumberFormat="1" applyFont="1" applyFill="1" applyAlignment="1">
      <alignment horizontal="left"/>
    </xf>
    <xf numFmtId="0" fontId="5" fillId="2" borderId="0" xfId="58" applyFont="1" applyFill="1" applyAlignment="1">
      <alignment horizontal="left" vertical="top" wrapText="1"/>
    </xf>
    <xf numFmtId="165" fontId="2" fillId="2" borderId="0" xfId="58" applyNumberFormat="1" applyFont="1" applyFill="1"/>
    <xf numFmtId="0" fontId="10" fillId="2" borderId="0" xfId="58" applyFont="1" applyFill="1" applyAlignment="1">
      <alignment horizontal="left" vertical="top" wrapText="1"/>
    </xf>
    <xf numFmtId="165" fontId="2" fillId="0" borderId="0" xfId="58" applyNumberFormat="1" applyFont="1"/>
    <xf numFmtId="165" fontId="25" fillId="0" borderId="0" xfId="58" applyNumberFormat="1" applyFont="1"/>
    <xf numFmtId="165" fontId="6" fillId="0" borderId="0" xfId="58" applyNumberFormat="1" applyFont="1" applyAlignment="1">
      <alignment horizontal="right" vertical="top" wrapText="1"/>
    </xf>
    <xf numFmtId="0" fontId="2" fillId="3" borderId="0" xfId="58" applyFont="1" applyFill="1"/>
    <xf numFmtId="0" fontId="3" fillId="2" borderId="0" xfId="59" applyFont="1" applyFill="1" applyAlignment="1">
      <alignment horizontal="left" vertical="center" wrapText="1"/>
    </xf>
    <xf numFmtId="0" fontId="4" fillId="0" borderId="0" xfId="58" applyFont="1" applyAlignment="1">
      <alignment horizontal="center" vertical="center" wrapText="1"/>
    </xf>
    <xf numFmtId="0" fontId="4" fillId="0" borderId="1" xfId="58" applyFont="1" applyBorder="1" applyAlignment="1">
      <alignment horizontal="center" vertical="center"/>
    </xf>
    <xf numFmtId="0" fontId="2" fillId="2" borderId="0" xfId="58" applyFont="1" applyFill="1" applyAlignment="1">
      <alignment horizontal="center" vertical="top" wrapText="1"/>
    </xf>
    <xf numFmtId="0" fontId="5" fillId="2" borderId="0" xfId="58" applyFont="1" applyFill="1" applyAlignment="1">
      <alignment horizontal="left" vertical="top" wrapText="1"/>
    </xf>
    <xf numFmtId="165" fontId="6" fillId="0" borderId="0" xfId="58" applyNumberFormat="1" applyFont="1" applyAlignment="1">
      <alignment horizontal="right" vertical="top" wrapText="1"/>
    </xf>
    <xf numFmtId="165" fontId="2" fillId="0" borderId="0" xfId="58" applyNumberFormat="1" applyFont="1" applyAlignment="1">
      <alignment horizontal="center"/>
    </xf>
    <xf numFmtId="0" fontId="6" fillId="0" borderId="2" xfId="58" applyFont="1" applyFill="1" applyBorder="1" applyAlignment="1">
      <alignment horizontal="center" vertical="center" wrapText="1"/>
    </xf>
    <xf numFmtId="0" fontId="6" fillId="0" borderId="3" xfId="58" applyFont="1" applyFill="1" applyBorder="1" applyAlignment="1">
      <alignment horizontal="center" vertical="center" wrapText="1"/>
    </xf>
    <xf numFmtId="0" fontId="6" fillId="0" borderId="4" xfId="58" applyFont="1" applyFill="1" applyBorder="1" applyAlignment="1">
      <alignment horizontal="center" vertical="center" wrapText="1"/>
    </xf>
    <xf numFmtId="0" fontId="6" fillId="0" borderId="9" xfId="58" applyFont="1" applyFill="1" applyBorder="1" applyAlignment="1">
      <alignment horizontal="center" vertical="center" wrapText="1"/>
    </xf>
    <xf numFmtId="0" fontId="6" fillId="0" borderId="5" xfId="58" applyFont="1" applyFill="1" applyBorder="1" applyAlignment="1">
      <alignment horizontal="center" vertical="center" wrapText="1"/>
    </xf>
    <xf numFmtId="0" fontId="6" fillId="0" borderId="5" xfId="58" applyFont="1" applyFill="1" applyBorder="1" applyAlignment="1">
      <alignment horizontal="center" vertical="center" wrapText="1"/>
    </xf>
    <xf numFmtId="0" fontId="6" fillId="0" borderId="2" xfId="58" applyFont="1" applyFill="1" applyBorder="1" applyAlignment="1">
      <alignment horizontal="center" vertical="center" wrapText="1"/>
    </xf>
    <xf numFmtId="0" fontId="4" fillId="0" borderId="2" xfId="58" applyFont="1" applyFill="1" applyBorder="1" applyAlignment="1">
      <alignment horizontal="left" vertical="top" wrapText="1"/>
    </xf>
    <xf numFmtId="0" fontId="4" fillId="0" borderId="2" xfId="58" applyFont="1" applyFill="1" applyBorder="1" applyAlignment="1">
      <alignment horizontal="left" vertical="top"/>
    </xf>
    <xf numFmtId="0" fontId="4" fillId="0" borderId="6" xfId="58" applyFont="1" applyFill="1" applyBorder="1" applyAlignment="1">
      <alignment horizontal="left" vertical="top"/>
    </xf>
    <xf numFmtId="0" fontId="4" fillId="0" borderId="8" xfId="58" applyFont="1" applyFill="1" applyBorder="1" applyAlignment="1">
      <alignment horizontal="left" vertical="top"/>
    </xf>
    <xf numFmtId="0" fontId="4" fillId="0" borderId="7" xfId="58" applyFont="1" applyFill="1" applyBorder="1" applyAlignment="1">
      <alignment horizontal="left" vertical="top"/>
    </xf>
    <xf numFmtId="0" fontId="6" fillId="0" borderId="2" xfId="58" applyFont="1" applyFill="1" applyBorder="1" applyAlignment="1">
      <alignment horizontal="center" vertical="top" wrapText="1"/>
    </xf>
    <xf numFmtId="0" fontId="6" fillId="0" borderId="2" xfId="58" applyFont="1" applyFill="1" applyBorder="1" applyAlignment="1">
      <alignment horizontal="left" vertical="top" wrapText="1"/>
    </xf>
    <xf numFmtId="0" fontId="6" fillId="0" borderId="2" xfId="58" applyFont="1" applyFill="1" applyBorder="1" applyAlignment="1">
      <alignment vertical="top" wrapText="1"/>
    </xf>
    <xf numFmtId="167" fontId="6" fillId="0" borderId="3" xfId="58" applyNumberFormat="1" applyFont="1" applyFill="1" applyBorder="1" applyAlignment="1">
      <alignment vertical="top" wrapText="1"/>
    </xf>
    <xf numFmtId="167" fontId="6" fillId="0" borderId="3" xfId="58" applyNumberFormat="1" applyFont="1" applyFill="1" applyBorder="1" applyAlignment="1">
      <alignment horizontal="center" vertical="top" wrapText="1"/>
    </xf>
    <xf numFmtId="167" fontId="6" fillId="0" borderId="4" xfId="58" applyNumberFormat="1" applyFont="1" applyFill="1" applyBorder="1" applyAlignment="1">
      <alignment horizontal="center" vertical="top" wrapText="1"/>
    </xf>
    <xf numFmtId="167" fontId="6" fillId="0" borderId="5" xfId="58" applyNumberFormat="1" applyFont="1" applyFill="1" applyBorder="1" applyAlignment="1">
      <alignment horizontal="center" vertical="top" wrapText="1"/>
    </xf>
    <xf numFmtId="167" fontId="6" fillId="0" borderId="2" xfId="58" applyNumberFormat="1" applyFont="1" applyFill="1" applyBorder="1" applyAlignment="1">
      <alignment vertical="top" wrapText="1"/>
    </xf>
    <xf numFmtId="166" fontId="3" fillId="0" borderId="2" xfId="58" applyNumberFormat="1" applyFont="1" applyFill="1" applyBorder="1" applyAlignment="1">
      <alignment horizontal="center" vertical="center" wrapText="1"/>
    </xf>
    <xf numFmtId="0" fontId="18" fillId="0" borderId="2" xfId="58" applyFont="1" applyFill="1" applyBorder="1" applyAlignment="1">
      <alignment horizontal="center" vertical="top" wrapText="1"/>
    </xf>
    <xf numFmtId="167" fontId="6" fillId="0" borderId="2" xfId="58" applyNumberFormat="1" applyFont="1" applyFill="1" applyBorder="1" applyAlignment="1">
      <alignment horizontal="center" vertical="top" wrapText="1"/>
    </xf>
    <xf numFmtId="49" fontId="3" fillId="0" borderId="6" xfId="58" applyNumberFormat="1" applyFont="1" applyFill="1" applyBorder="1" applyAlignment="1">
      <alignment horizontal="center" vertical="top" wrapText="1"/>
    </xf>
    <xf numFmtId="0" fontId="3" fillId="0" borderId="2" xfId="58" applyFont="1" applyFill="1" applyBorder="1" applyAlignment="1">
      <alignment horizontal="left" vertical="top" wrapText="1"/>
    </xf>
    <xf numFmtId="0" fontId="3" fillId="0" borderId="2" xfId="58" applyFont="1" applyFill="1" applyBorder="1" applyAlignment="1">
      <alignment horizontal="center" vertical="top" wrapText="1"/>
    </xf>
    <xf numFmtId="166" fontId="3" fillId="0" borderId="6" xfId="58" applyNumberFormat="1" applyFont="1" applyFill="1" applyBorder="1" applyAlignment="1">
      <alignment horizontal="center" vertical="center" wrapText="1"/>
    </xf>
    <xf numFmtId="49" fontId="3" fillId="0" borderId="8" xfId="58" applyNumberFormat="1" applyFont="1" applyFill="1" applyBorder="1" applyAlignment="1">
      <alignment horizontal="center" vertical="top" wrapText="1"/>
    </xf>
    <xf numFmtId="0" fontId="17" fillId="0" borderId="2" xfId="58" applyFont="1" applyFill="1" applyBorder="1" applyAlignment="1">
      <alignment horizontal="center" vertical="top" wrapText="1"/>
    </xf>
    <xf numFmtId="0" fontId="3" fillId="0" borderId="2" xfId="58" applyFont="1" applyFill="1" applyBorder="1" applyAlignment="1">
      <alignment vertical="top" wrapText="1"/>
    </xf>
    <xf numFmtId="167" fontId="3" fillId="0" borderId="2" xfId="58" applyNumberFormat="1" applyFont="1" applyFill="1" applyBorder="1" applyAlignment="1">
      <alignment horizontal="center" vertical="top" wrapText="1"/>
    </xf>
    <xf numFmtId="167" fontId="3" fillId="0" borderId="3" xfId="58" applyNumberFormat="1" applyFont="1" applyFill="1" applyBorder="1" applyAlignment="1">
      <alignment horizontal="center" vertical="top" wrapText="1"/>
    </xf>
    <xf numFmtId="167" fontId="3" fillId="0" borderId="4" xfId="58" applyNumberFormat="1" applyFont="1" applyFill="1" applyBorder="1" applyAlignment="1">
      <alignment horizontal="center" vertical="top" wrapText="1"/>
    </xf>
    <xf numFmtId="167" fontId="3" fillId="0" borderId="5" xfId="58" applyNumberFormat="1" applyFont="1" applyFill="1" applyBorder="1" applyAlignment="1">
      <alignment horizontal="center" vertical="top" wrapText="1"/>
    </xf>
    <xf numFmtId="167" fontId="3" fillId="0" borderId="2" xfId="58" applyNumberFormat="1" applyFont="1" applyFill="1" applyBorder="1" applyAlignment="1">
      <alignment vertical="top" wrapText="1"/>
    </xf>
    <xf numFmtId="166" fontId="3" fillId="0" borderId="8" xfId="58" applyNumberFormat="1" applyFont="1" applyFill="1" applyBorder="1" applyAlignment="1">
      <alignment horizontal="center" vertical="center" wrapText="1"/>
    </xf>
    <xf numFmtId="0" fontId="3" fillId="0" borderId="6" xfId="58" applyFont="1" applyFill="1" applyBorder="1" applyAlignment="1">
      <alignment horizontal="center" vertical="center" wrapText="1"/>
    </xf>
    <xf numFmtId="167" fontId="6" fillId="0" borderId="6" xfId="58" applyNumberFormat="1" applyFont="1" applyFill="1" applyBorder="1" applyAlignment="1">
      <alignment horizontal="center" vertical="center" wrapText="1"/>
    </xf>
    <xf numFmtId="167" fontId="6" fillId="0" borderId="3" xfId="58" applyNumberFormat="1" applyFont="1" applyFill="1" applyBorder="1" applyAlignment="1">
      <alignment horizontal="center" vertical="center" wrapText="1"/>
    </xf>
    <xf numFmtId="167" fontId="6" fillId="0" borderId="4" xfId="58" applyNumberFormat="1" applyFont="1" applyFill="1" applyBorder="1" applyAlignment="1">
      <alignment horizontal="center" vertical="center" wrapText="1"/>
    </xf>
    <xf numFmtId="167" fontId="6" fillId="0" borderId="5" xfId="58" applyNumberFormat="1" applyFont="1" applyFill="1" applyBorder="1" applyAlignment="1">
      <alignment horizontal="center" vertical="center" wrapText="1"/>
    </xf>
    <xf numFmtId="0" fontId="3" fillId="0" borderId="8" xfId="58" applyFont="1" applyFill="1" applyBorder="1" applyAlignment="1">
      <alignment horizontal="center" vertical="center" wrapText="1"/>
    </xf>
    <xf numFmtId="167" fontId="6" fillId="0" borderId="7" xfId="58" applyNumberFormat="1" applyFont="1" applyFill="1" applyBorder="1" applyAlignment="1">
      <alignment horizontal="center" vertical="center" wrapText="1"/>
    </xf>
    <xf numFmtId="167" fontId="6" fillId="0" borderId="2" xfId="58" applyNumberFormat="1" applyFont="1" applyFill="1" applyBorder="1" applyAlignment="1">
      <alignment horizontal="center" vertical="center" wrapText="1"/>
    </xf>
    <xf numFmtId="49" fontId="3" fillId="0" borderId="7" xfId="58" applyNumberFormat="1" applyFont="1" applyFill="1" applyBorder="1" applyAlignment="1">
      <alignment horizontal="center" vertical="top" wrapText="1"/>
    </xf>
    <xf numFmtId="0" fontId="3" fillId="0" borderId="7" xfId="58" applyFont="1" applyFill="1" applyBorder="1" applyAlignment="1">
      <alignment horizontal="center" vertical="center" wrapText="1"/>
    </xf>
    <xf numFmtId="167" fontId="3" fillId="0" borderId="2" xfId="58" applyNumberFormat="1" applyFont="1" applyFill="1" applyBorder="1" applyAlignment="1">
      <alignment horizontal="center" vertical="center" wrapText="1"/>
    </xf>
    <xf numFmtId="166" fontId="3" fillId="0" borderId="7" xfId="58" applyNumberFormat="1" applyFont="1" applyFill="1" applyBorder="1" applyAlignment="1">
      <alignment horizontal="center" vertical="center" wrapText="1"/>
    </xf>
    <xf numFmtId="167" fontId="6" fillId="0" borderId="6" xfId="58" applyNumberFormat="1" applyFont="1" applyFill="1" applyBorder="1" applyAlignment="1">
      <alignment horizontal="center" vertical="top" wrapText="1"/>
    </xf>
    <xf numFmtId="167" fontId="6" fillId="0" borderId="5" xfId="58" applyNumberFormat="1" applyFont="1" applyFill="1" applyBorder="1" applyAlignment="1">
      <alignment horizontal="center" vertical="center" wrapText="1"/>
    </xf>
    <xf numFmtId="167" fontId="6" fillId="0" borderId="7" xfId="58" applyNumberFormat="1" applyFont="1" applyFill="1" applyBorder="1" applyAlignment="1">
      <alignment horizontal="center" vertical="top" wrapText="1"/>
    </xf>
    <xf numFmtId="167" fontId="6" fillId="0" borderId="2" xfId="58" applyNumberFormat="1" applyFont="1" applyFill="1" applyBorder="1" applyAlignment="1">
      <alignment horizontal="center" vertical="top" wrapText="1"/>
    </xf>
    <xf numFmtId="49" fontId="6" fillId="0" borderId="2" xfId="58" applyNumberFormat="1" applyFont="1" applyFill="1" applyBorder="1" applyAlignment="1">
      <alignment horizontal="center" vertical="top" wrapText="1"/>
    </xf>
    <xf numFmtId="0" fontId="6" fillId="0" borderId="2" xfId="58" applyFont="1" applyFill="1" applyBorder="1" applyAlignment="1">
      <alignment vertical="top" wrapText="1"/>
    </xf>
    <xf numFmtId="0" fontId="3" fillId="0" borderId="6" xfId="58" applyFont="1" applyFill="1" applyBorder="1" applyAlignment="1">
      <alignment horizontal="center" vertical="top" wrapText="1"/>
    </xf>
    <xf numFmtId="0" fontId="3" fillId="0" borderId="8" xfId="58" applyFont="1" applyFill="1" applyBorder="1" applyAlignment="1">
      <alignment horizontal="center" vertical="top" wrapText="1"/>
    </xf>
    <xf numFmtId="0" fontId="3" fillId="0" borderId="7" xfId="58" applyFont="1" applyFill="1" applyBorder="1" applyAlignment="1">
      <alignment horizontal="center" vertical="top" wrapText="1"/>
    </xf>
    <xf numFmtId="0" fontId="17" fillId="0" borderId="7" xfId="58" applyFont="1" applyFill="1" applyBorder="1" applyAlignment="1">
      <alignment horizontal="center" vertical="top" wrapText="1"/>
    </xf>
    <xf numFmtId="0" fontId="6" fillId="0" borderId="2" xfId="58" applyFont="1" applyFill="1" applyBorder="1" applyAlignment="1">
      <alignment horizontal="center" vertical="center"/>
    </xf>
    <xf numFmtId="0" fontId="4" fillId="0" borderId="2" xfId="58" applyFont="1" applyFill="1" applyBorder="1" applyAlignment="1">
      <alignment horizontal="left" vertical="center"/>
    </xf>
    <xf numFmtId="0" fontId="6" fillId="0" borderId="6" xfId="58" applyFont="1" applyFill="1" applyBorder="1" applyAlignment="1">
      <alignment horizontal="center" vertical="top" wrapText="1"/>
    </xf>
    <xf numFmtId="0" fontId="6" fillId="0" borderId="8" xfId="58" applyFont="1" applyFill="1" applyBorder="1" applyAlignment="1">
      <alignment horizontal="center" vertical="top" wrapText="1"/>
    </xf>
    <xf numFmtId="0" fontId="6" fillId="0" borderId="7" xfId="58" applyFont="1" applyFill="1" applyBorder="1" applyAlignment="1">
      <alignment horizontal="center" vertical="top" wrapText="1"/>
    </xf>
    <xf numFmtId="0" fontId="6" fillId="0" borderId="2" xfId="58" applyFont="1" applyFill="1" applyBorder="1" applyAlignment="1">
      <alignment horizontal="left" vertical="top" wrapText="1"/>
    </xf>
    <xf numFmtId="0" fontId="3" fillId="0" borderId="2" xfId="58" applyFont="1" applyFill="1" applyBorder="1" applyAlignment="1">
      <alignment horizontal="left" vertical="top" wrapText="1"/>
    </xf>
    <xf numFmtId="3" fontId="3" fillId="0" borderId="2" xfId="58" applyNumberFormat="1" applyFont="1" applyFill="1" applyBorder="1" applyAlignment="1">
      <alignment horizontal="center" vertical="center" wrapText="1"/>
    </xf>
    <xf numFmtId="0" fontId="3" fillId="0" borderId="2" xfId="58" applyFont="1" applyFill="1" applyBorder="1" applyAlignment="1">
      <alignment horizontal="center" vertical="center" wrapText="1"/>
    </xf>
    <xf numFmtId="49" fontId="3" fillId="0" borderId="2" xfId="58" applyNumberFormat="1" applyFont="1" applyFill="1" applyBorder="1" applyAlignment="1">
      <alignment horizontal="center" vertical="center" wrapText="1"/>
    </xf>
    <xf numFmtId="16" fontId="3" fillId="0" borderId="6" xfId="58" applyNumberFormat="1" applyFont="1" applyFill="1" applyBorder="1" applyAlignment="1">
      <alignment horizontal="center" vertical="top" wrapText="1"/>
    </xf>
    <xf numFmtId="16" fontId="3" fillId="0" borderId="8" xfId="58" applyNumberFormat="1" applyFont="1" applyFill="1" applyBorder="1" applyAlignment="1">
      <alignment horizontal="center" vertical="top" wrapText="1"/>
    </xf>
    <xf numFmtId="16" fontId="3" fillId="0" borderId="7" xfId="58" applyNumberFormat="1" applyFont="1" applyFill="1" applyBorder="1" applyAlignment="1">
      <alignment horizontal="center" vertical="top" wrapText="1"/>
    </xf>
    <xf numFmtId="167" fontId="3" fillId="0" borderId="5" xfId="58" applyNumberFormat="1" applyFont="1" applyFill="1" applyBorder="1" applyAlignment="1">
      <alignment horizontal="right" vertical="top" wrapText="1"/>
    </xf>
    <xf numFmtId="0" fontId="6" fillId="0" borderId="6" xfId="58" applyFont="1" applyFill="1" applyBorder="1" applyAlignment="1">
      <alignment horizontal="left" vertical="top" wrapText="1"/>
    </xf>
    <xf numFmtId="0" fontId="6" fillId="0" borderId="8" xfId="58" applyFont="1" applyFill="1" applyBorder="1" applyAlignment="1">
      <alignment horizontal="left" vertical="top" wrapText="1"/>
    </xf>
    <xf numFmtId="0" fontId="6" fillId="0" borderId="7" xfId="58" applyFont="1" applyFill="1" applyBorder="1" applyAlignment="1">
      <alignment horizontal="left" vertical="top" wrapText="1"/>
    </xf>
    <xf numFmtId="0" fontId="6" fillId="0" borderId="6" xfId="58" applyFont="1" applyFill="1" applyBorder="1" applyAlignment="1">
      <alignment vertical="top" wrapText="1"/>
    </xf>
    <xf numFmtId="0" fontId="3" fillId="0" borderId="6" xfId="58" applyFont="1" applyFill="1" applyBorder="1" applyAlignment="1">
      <alignment horizontal="left" vertical="top" wrapText="1"/>
    </xf>
    <xf numFmtId="0" fontId="3" fillId="0" borderId="8" xfId="58" applyFont="1" applyFill="1" applyBorder="1" applyAlignment="1">
      <alignment horizontal="left" vertical="top" wrapText="1"/>
    </xf>
    <xf numFmtId="0" fontId="3" fillId="0" borderId="7" xfId="58" applyFont="1" applyFill="1" applyBorder="1" applyAlignment="1">
      <alignment horizontal="left" vertical="top" wrapText="1"/>
    </xf>
    <xf numFmtId="0" fontId="3" fillId="0" borderId="6" xfId="58" applyFont="1" applyFill="1" applyBorder="1" applyAlignment="1">
      <alignment vertical="top" wrapText="1"/>
    </xf>
    <xf numFmtId="165" fontId="6" fillId="0" borderId="2" xfId="58" applyNumberFormat="1" applyFont="1" applyFill="1" applyBorder="1" applyAlignment="1">
      <alignment horizontal="right" vertical="center" wrapText="1"/>
    </xf>
    <xf numFmtId="165" fontId="6" fillId="0" borderId="3" xfId="58" applyNumberFormat="1" applyFont="1" applyFill="1" applyBorder="1" applyAlignment="1">
      <alignment horizontal="center" vertical="center" wrapText="1"/>
    </xf>
    <xf numFmtId="165" fontId="6" fillId="0" borderId="4" xfId="58" applyNumberFormat="1" applyFont="1" applyFill="1" applyBorder="1" applyAlignment="1">
      <alignment horizontal="center" vertical="center" wrapText="1"/>
    </xf>
    <xf numFmtId="165" fontId="6" fillId="0" borderId="5" xfId="58" applyNumberFormat="1" applyFont="1" applyFill="1" applyBorder="1" applyAlignment="1">
      <alignment horizontal="center" vertical="center" wrapText="1"/>
    </xf>
    <xf numFmtId="165" fontId="6" fillId="0" borderId="5" xfId="58" applyNumberFormat="1" applyFont="1" applyFill="1" applyBorder="1" applyAlignment="1">
      <alignment horizontal="right" vertical="center" wrapText="1"/>
    </xf>
    <xf numFmtId="165" fontId="3" fillId="0" borderId="3" xfId="58" applyNumberFormat="1" applyFont="1" applyFill="1" applyBorder="1" applyAlignment="1">
      <alignment horizontal="center" vertical="center" wrapText="1"/>
    </xf>
    <xf numFmtId="165" fontId="3" fillId="0" borderId="4" xfId="58" applyNumberFormat="1" applyFont="1" applyFill="1" applyBorder="1" applyAlignment="1">
      <alignment horizontal="center" vertical="center" wrapText="1"/>
    </xf>
    <xf numFmtId="165" fontId="3" fillId="0" borderId="5" xfId="58" applyNumberFormat="1" applyFont="1" applyFill="1" applyBorder="1" applyAlignment="1">
      <alignment horizontal="center" vertical="center" wrapText="1"/>
    </xf>
    <xf numFmtId="165" fontId="3" fillId="0" borderId="5" xfId="58" applyNumberFormat="1" applyFont="1" applyFill="1" applyBorder="1" applyAlignment="1">
      <alignment horizontal="right" vertical="center" wrapText="1"/>
    </xf>
    <xf numFmtId="165" fontId="3" fillId="0" borderId="2" xfId="58" applyNumberFormat="1" applyFont="1" applyFill="1" applyBorder="1" applyAlignment="1">
      <alignment horizontal="right" vertical="center" wrapText="1"/>
    </xf>
    <xf numFmtId="0" fontId="18" fillId="0" borderId="6" xfId="58" applyFont="1" applyFill="1" applyBorder="1" applyAlignment="1">
      <alignment horizontal="center" vertical="center" wrapText="1"/>
    </xf>
    <xf numFmtId="168" fontId="3" fillId="0" borderId="2" xfId="58" applyNumberFormat="1" applyFont="1" applyFill="1" applyBorder="1" applyAlignment="1">
      <alignment horizontal="center" vertical="center" wrapText="1"/>
    </xf>
    <xf numFmtId="167" fontId="3" fillId="0" borderId="3" xfId="58" applyNumberFormat="1" applyFont="1" applyFill="1" applyBorder="1" applyAlignment="1">
      <alignment horizontal="right" vertical="top" wrapText="1"/>
    </xf>
    <xf numFmtId="167" fontId="3" fillId="0" borderId="4" xfId="58" applyNumberFormat="1" applyFont="1" applyFill="1" applyBorder="1" applyAlignment="1">
      <alignment horizontal="right" vertical="top" wrapText="1"/>
    </xf>
    <xf numFmtId="167" fontId="3" fillId="0" borderId="5" xfId="58" applyNumberFormat="1" applyFont="1" applyFill="1" applyBorder="1" applyAlignment="1">
      <alignment horizontal="right" vertical="top" wrapText="1"/>
    </xf>
    <xf numFmtId="3" fontId="6" fillId="0" borderId="2" xfId="58" applyNumberFormat="1" applyFont="1" applyFill="1" applyBorder="1" applyAlignment="1">
      <alignment horizontal="center" vertical="center" wrapText="1"/>
    </xf>
    <xf numFmtId="165" fontId="6" fillId="0" borderId="2" xfId="58" applyNumberFormat="1" applyFont="1" applyFill="1" applyBorder="1" applyAlignment="1">
      <alignment vertical="top" wrapText="1"/>
    </xf>
    <xf numFmtId="165" fontId="6" fillId="0" borderId="3" xfId="58" applyNumberFormat="1" applyFont="1" applyFill="1" applyBorder="1" applyAlignment="1">
      <alignment horizontal="center" vertical="top" wrapText="1"/>
    </xf>
    <xf numFmtId="165" fontId="6" fillId="0" borderId="4" xfId="58" applyNumberFormat="1" applyFont="1" applyFill="1" applyBorder="1" applyAlignment="1">
      <alignment horizontal="center" vertical="top" wrapText="1"/>
    </xf>
    <xf numFmtId="165" fontId="6" fillId="0" borderId="5" xfId="58" applyNumberFormat="1" applyFont="1" applyFill="1" applyBorder="1" applyAlignment="1">
      <alignment horizontal="center" vertical="top" wrapText="1"/>
    </xf>
    <xf numFmtId="165" fontId="3" fillId="0" borderId="3" xfId="58" applyNumberFormat="1" applyFont="1" applyFill="1" applyBorder="1" applyAlignment="1">
      <alignment horizontal="center" vertical="top" wrapText="1"/>
    </xf>
    <xf numFmtId="165" fontId="3" fillId="0" borderId="4" xfId="58" applyNumberFormat="1" applyFont="1" applyFill="1" applyBorder="1" applyAlignment="1">
      <alignment horizontal="center" vertical="top" wrapText="1"/>
    </xf>
    <xf numFmtId="165" fontId="3" fillId="0" borderId="5" xfId="58" applyNumberFormat="1" applyFont="1" applyFill="1" applyBorder="1" applyAlignment="1">
      <alignment horizontal="center" vertical="top" wrapText="1"/>
    </xf>
    <xf numFmtId="165" fontId="3" fillId="0" borderId="2" xfId="58" applyNumberFormat="1" applyFont="1" applyFill="1" applyBorder="1" applyAlignment="1">
      <alignment vertical="top" wrapText="1"/>
    </xf>
    <xf numFmtId="0" fontId="24" fillId="0" borderId="6" xfId="58" applyFont="1" applyFill="1" applyBorder="1" applyAlignment="1">
      <alignment horizontal="left" vertical="top" wrapText="1"/>
    </xf>
    <xf numFmtId="0" fontId="24" fillId="0" borderId="8" xfId="58" applyFont="1" applyFill="1" applyBorder="1" applyAlignment="1">
      <alignment horizontal="left" vertical="top" wrapText="1"/>
    </xf>
    <xf numFmtId="167" fontId="6" fillId="0" borderId="5" xfId="58" applyNumberFormat="1" applyFont="1" applyFill="1" applyBorder="1" applyAlignment="1">
      <alignment horizontal="right" vertical="top" wrapText="1"/>
    </xf>
    <xf numFmtId="0" fontId="24" fillId="0" borderId="7" xfId="58" applyFont="1" applyFill="1" applyBorder="1" applyAlignment="1">
      <alignment horizontal="left" vertical="top" wrapText="1"/>
    </xf>
    <xf numFmtId="167" fontId="3" fillId="0" borderId="2" xfId="58" applyNumberFormat="1" applyFont="1" applyFill="1" applyBorder="1" applyAlignment="1">
      <alignment horizontal="center" vertical="top" wrapText="1"/>
    </xf>
    <xf numFmtId="0" fontId="4" fillId="0" borderId="3" xfId="58" applyFont="1" applyFill="1" applyBorder="1" applyAlignment="1">
      <alignment horizontal="left" vertical="center" wrapText="1"/>
    </xf>
    <xf numFmtId="0" fontId="4" fillId="0" borderId="4" xfId="58" applyFont="1" applyFill="1" applyBorder="1" applyAlignment="1">
      <alignment horizontal="left" vertical="center"/>
    </xf>
    <xf numFmtId="165" fontId="6" fillId="0" borderId="5" xfId="58" applyNumberFormat="1" applyFont="1" applyFill="1" applyBorder="1" applyAlignment="1">
      <alignment horizontal="right" vertical="top" wrapText="1"/>
    </xf>
    <xf numFmtId="165" fontId="3" fillId="0" borderId="5" xfId="58" applyNumberFormat="1" applyFont="1" applyFill="1" applyBorder="1" applyAlignment="1">
      <alignment horizontal="right" vertical="top" wrapText="1"/>
    </xf>
    <xf numFmtId="166" fontId="3" fillId="0" borderId="2" xfId="58" applyNumberFormat="1" applyFont="1" applyFill="1" applyBorder="1" applyAlignment="1">
      <alignment horizontal="center" vertical="center" wrapText="1"/>
    </xf>
    <xf numFmtId="166" fontId="3" fillId="0" borderId="6" xfId="58" applyNumberFormat="1" applyFont="1" applyFill="1" applyBorder="1" applyAlignment="1">
      <alignment horizontal="center" vertical="center" wrapText="1"/>
    </xf>
    <xf numFmtId="0" fontId="3" fillId="0" borderId="6" xfId="58" applyFont="1" applyFill="1" applyBorder="1" applyAlignment="1">
      <alignment horizontal="left" vertical="center" wrapText="1"/>
    </xf>
    <xf numFmtId="0" fontId="3" fillId="0" borderId="7" xfId="58" applyFont="1" applyFill="1" applyBorder="1" applyAlignment="1">
      <alignment horizontal="left" vertical="center" wrapText="1"/>
    </xf>
    <xf numFmtId="0" fontId="4" fillId="0" borderId="3" xfId="58" applyFont="1" applyFill="1" applyBorder="1" applyAlignment="1">
      <alignment horizontal="left" vertical="top" wrapText="1"/>
    </xf>
    <xf numFmtId="0" fontId="4" fillId="0" borderId="4" xfId="58" applyFont="1" applyFill="1" applyBorder="1" applyAlignment="1">
      <alignment horizontal="left" vertical="top"/>
    </xf>
    <xf numFmtId="0" fontId="8" fillId="0" borderId="0" xfId="58" applyFont="1" applyFill="1"/>
    <xf numFmtId="0" fontId="19" fillId="0" borderId="0" xfId="58" applyFont="1" applyFill="1"/>
    <xf numFmtId="0" fontId="8" fillId="0" borderId="0" xfId="58" applyFont="1" applyFill="1" applyAlignment="1">
      <alignment horizontal="right" vertical="center"/>
    </xf>
    <xf numFmtId="0" fontId="2" fillId="0" borderId="0" xfId="58" applyFont="1" applyFill="1"/>
    <xf numFmtId="0" fontId="21" fillId="0" borderId="0" xfId="58" applyFont="1" applyFill="1"/>
    <xf numFmtId="0" fontId="22" fillId="0" borderId="0" xfId="58" applyFont="1" applyFill="1"/>
    <xf numFmtId="165" fontId="23" fillId="0" borderId="0" xfId="58" applyNumberFormat="1" applyFont="1" applyFill="1" applyAlignment="1">
      <alignment horizontal="right" vertical="top" wrapText="1"/>
    </xf>
    <xf numFmtId="165" fontId="23" fillId="0" borderId="0" xfId="58" applyNumberFormat="1" applyFont="1" applyFill="1" applyAlignment="1">
      <alignment horizontal="right" vertical="top" wrapText="1"/>
    </xf>
    <xf numFmtId="165" fontId="2" fillId="0" borderId="0" xfId="58" applyNumberFormat="1" applyFont="1" applyFill="1"/>
    <xf numFmtId="2" fontId="7" fillId="0" borderId="0" xfId="58" applyNumberFormat="1" applyFont="1" applyFill="1" applyAlignment="1">
      <alignment horizontal="left"/>
    </xf>
    <xf numFmtId="0" fontId="26" fillId="0" borderId="10" xfId="58" applyFont="1" applyFill="1" applyBorder="1" applyAlignment="1">
      <alignment horizontal="center" vertical="center" wrapText="1"/>
    </xf>
    <xf numFmtId="0" fontId="7" fillId="0" borderId="0" xfId="58" applyFont="1" applyFill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</xf>
  </cellXfs>
  <cellStyles count="60">
    <cellStyle name="Обычный" xfId="0" builtinId="0"/>
    <cellStyle name="Обычный 10" xfId="57"/>
    <cellStyle name="Обычный 2" xfId="1"/>
    <cellStyle name="Обычный 2 10" xfId="4"/>
    <cellStyle name="Обычный 2 10 2" xfId="5"/>
    <cellStyle name="Обычный 2 11" xfId="6"/>
    <cellStyle name="Обычный 2 12" xfId="7"/>
    <cellStyle name="Обычный 2 13" xfId="8"/>
    <cellStyle name="Обычный 2 16" xfId="58"/>
    <cellStyle name="Обычный 2 2" xfId="9"/>
    <cellStyle name="Обычный 2 2 2" xfId="10"/>
    <cellStyle name="Обычный 2 2 3" xfId="11"/>
    <cellStyle name="Обычный 2 2 4" xfId="12"/>
    <cellStyle name="Обычный 2 3" xfId="13"/>
    <cellStyle name="Обычный 2 3 2" xfId="14"/>
    <cellStyle name="Обычный 2 3 3" xfId="15"/>
    <cellStyle name="Обычный 2 4" xfId="16"/>
    <cellStyle name="Обычный 2 5" xfId="17"/>
    <cellStyle name="Обычный 2 6" xfId="18"/>
    <cellStyle name="Обычный 2 6 2" xfId="19"/>
    <cellStyle name="Обычный 2 7" xfId="20"/>
    <cellStyle name="Обычный 2 7 2" xfId="21"/>
    <cellStyle name="Обычный 2 8" xfId="22"/>
    <cellStyle name="Обычный 2 9" xfId="23"/>
    <cellStyle name="Обычный 3" xfId="3"/>
    <cellStyle name="Обычный 3 2" xfId="24"/>
    <cellStyle name="Обычный 4" xfId="25"/>
    <cellStyle name="Обычный 4 2" xfId="26"/>
    <cellStyle name="Обычный 5" xfId="27"/>
    <cellStyle name="Обычный 5 2" xfId="2"/>
    <cellStyle name="Обычный 5 2 10" xfId="28"/>
    <cellStyle name="Обычный 5 2 11" xfId="29"/>
    <cellStyle name="Обычный 5 2 12" xfId="30"/>
    <cellStyle name="Обычный 5 2 15" xfId="59"/>
    <cellStyle name="Обычный 5 2 2" xfId="31"/>
    <cellStyle name="Обычный 5 2 2 2" xfId="32"/>
    <cellStyle name="Обычный 5 2 2 2 2" xfId="33"/>
    <cellStyle name="Обычный 5 2 2 2 2 2" xfId="34"/>
    <cellStyle name="Обычный 5 2 2 2 3" xfId="35"/>
    <cellStyle name="Обычный 5 2 2 3" xfId="36"/>
    <cellStyle name="Обычный 5 2 3" xfId="37"/>
    <cellStyle name="Обычный 5 2 3 2" xfId="38"/>
    <cellStyle name="Обычный 5 2 3 2 2" xfId="39"/>
    <cellStyle name="Обычный 5 2 3 3" xfId="40"/>
    <cellStyle name="Обычный 5 2 4" xfId="41"/>
    <cellStyle name="Обычный 5 2 4 2" xfId="42"/>
    <cellStyle name="Обычный 5 2 5" xfId="43"/>
    <cellStyle name="Обычный 5 2 6" xfId="44"/>
    <cellStyle name="Обычный 5 2 7" xfId="45"/>
    <cellStyle name="Обычный 5 2 8" xfId="46"/>
    <cellStyle name="Обычный 5 2 9" xfId="47"/>
    <cellStyle name="Обычный 5 3" xfId="48"/>
    <cellStyle name="Обычный 6" xfId="49"/>
    <cellStyle name="Обычный 6 2" xfId="50"/>
    <cellStyle name="Обычный 7" xfId="51"/>
    <cellStyle name="Обычный 8" xfId="52"/>
    <cellStyle name="Обычный 8 2" xfId="53"/>
    <cellStyle name="Обычный 9" xfId="54"/>
    <cellStyle name="Финансовый 2" xfId="55"/>
    <cellStyle name="Финансовый 3" xfId="56"/>
  </cellStyles>
  <dxfs count="0"/>
  <tableStyles count="0" defaultTableStyle="TableStyleMedium2" defaultPivotStyle="PivotStyleLight16"/>
  <colors>
    <mruColors>
      <color rgb="FFFF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72;&#1083;&#1103;%202%2021.2.2023%20&#1080;&#1079;&#1084;.%20&#1082;%20&#1056;&#1057;&#1044;%2008.02.2023%20&#1055;&#1088;&#1080;&#1083;.1%20&#1052;&#1055;%202023-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2.2023 изм. Пр.1 МП 2 "/>
      <sheetName val="Пояснит. 31.12.2023 "/>
      <sheetName val="04.12.2023 изм. Пр.1 МП 2  (2)"/>
      <sheetName val="31.12.2024"/>
    </sheetNames>
    <sheetDataSet>
      <sheetData sheetId="0"/>
      <sheetData sheetId="1"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425"/>
  <sheetViews>
    <sheetView tabSelected="1" topLeftCell="B374" zoomScale="70" zoomScaleNormal="70" zoomScaleSheetLayoutView="50" zoomScalePageLayoutView="84" workbookViewId="0">
      <selection activeCell="T390" sqref="T390"/>
    </sheetView>
  </sheetViews>
  <sheetFormatPr defaultColWidth="9.140625" defaultRowHeight="15" outlineLevelRow="1" x14ac:dyDescent="0.25"/>
  <cols>
    <col min="1" max="1" width="7.28515625" style="1" customWidth="1"/>
    <col min="2" max="2" width="47.28515625" style="1" customWidth="1"/>
    <col min="3" max="3" width="15" style="2" customWidth="1"/>
    <col min="4" max="4" width="32.140625" style="1" customWidth="1"/>
    <col min="5" max="5" width="23" style="1" customWidth="1"/>
    <col min="6" max="6" width="13.42578125" style="1" customWidth="1"/>
    <col min="7" max="7" width="14.5703125" style="1" customWidth="1"/>
    <col min="8" max="8" width="11.85546875" style="1" customWidth="1"/>
    <col min="9" max="9" width="11.5703125" style="1" customWidth="1"/>
    <col min="10" max="14" width="13.28515625" style="1" customWidth="1"/>
    <col min="15" max="16" width="18.42578125" style="1" customWidth="1"/>
    <col min="17" max="18" width="18" style="1" customWidth="1"/>
    <col min="19" max="19" width="21.42578125" style="1" customWidth="1"/>
    <col min="20" max="20" width="31.42578125" style="1" customWidth="1"/>
    <col min="21" max="21" width="14.85546875" style="1" customWidth="1"/>
    <col min="22" max="22" width="13" style="1" customWidth="1"/>
    <col min="23" max="16384" width="9.140625" style="1"/>
  </cols>
  <sheetData>
    <row r="1" spans="1:25" ht="108.75" customHeight="1" x14ac:dyDescent="0.25">
      <c r="Q1" s="24" t="s">
        <v>195</v>
      </c>
      <c r="R1" s="24"/>
      <c r="S1" s="24"/>
    </row>
    <row r="2" spans="1:25" ht="66" customHeight="1" x14ac:dyDescent="0.25">
      <c r="A2" s="25" t="s">
        <v>106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3"/>
      <c r="U2" s="3"/>
      <c r="V2" s="3"/>
      <c r="W2" s="3"/>
      <c r="X2" s="3"/>
      <c r="Y2" s="3"/>
    </row>
    <row r="3" spans="1:25" s="3" customFormat="1" ht="21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5" ht="24.75" customHeight="1" x14ac:dyDescent="0.25">
      <c r="A4" s="31" t="s">
        <v>0</v>
      </c>
      <c r="B4" s="31" t="s">
        <v>1</v>
      </c>
      <c r="C4" s="31" t="s">
        <v>74</v>
      </c>
      <c r="D4" s="31" t="s">
        <v>2</v>
      </c>
      <c r="E4" s="31" t="s">
        <v>107</v>
      </c>
      <c r="F4" s="32" t="s">
        <v>3</v>
      </c>
      <c r="G4" s="33"/>
      <c r="H4" s="33"/>
      <c r="I4" s="33"/>
      <c r="J4" s="33"/>
      <c r="K4" s="34"/>
      <c r="L4" s="34"/>
      <c r="M4" s="34"/>
      <c r="N4" s="34"/>
      <c r="O4" s="34"/>
      <c r="P4" s="33"/>
      <c r="Q4" s="33"/>
      <c r="R4" s="35"/>
      <c r="S4" s="31" t="s">
        <v>45</v>
      </c>
      <c r="T4" s="4"/>
      <c r="U4" s="4"/>
      <c r="V4" s="3"/>
      <c r="W4" s="3"/>
      <c r="X4" s="3"/>
      <c r="Y4" s="3"/>
    </row>
    <row r="5" spans="1:25" ht="31.5" customHeight="1" x14ac:dyDescent="0.25">
      <c r="A5" s="31"/>
      <c r="B5" s="31"/>
      <c r="C5" s="31"/>
      <c r="D5" s="31"/>
      <c r="E5" s="31"/>
      <c r="F5" s="32" t="s">
        <v>4</v>
      </c>
      <c r="G5" s="33"/>
      <c r="H5" s="33"/>
      <c r="I5" s="33"/>
      <c r="J5" s="33"/>
      <c r="K5" s="31" t="s">
        <v>5</v>
      </c>
      <c r="L5" s="31"/>
      <c r="M5" s="31"/>
      <c r="N5" s="31"/>
      <c r="O5" s="31"/>
      <c r="P5" s="36" t="s">
        <v>41</v>
      </c>
      <c r="Q5" s="37" t="s">
        <v>42</v>
      </c>
      <c r="R5" s="37" t="s">
        <v>43</v>
      </c>
      <c r="S5" s="31"/>
      <c r="T5" s="4"/>
      <c r="U5" s="4"/>
      <c r="V5" s="3"/>
      <c r="W5" s="3"/>
      <c r="X5" s="3"/>
      <c r="Y5" s="3"/>
    </row>
    <row r="6" spans="1:25" ht="31.5" customHeight="1" x14ac:dyDescent="0.2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2">
        <v>6</v>
      </c>
      <c r="G6" s="33"/>
      <c r="H6" s="33"/>
      <c r="I6" s="33"/>
      <c r="J6" s="33"/>
      <c r="K6" s="31">
        <v>7</v>
      </c>
      <c r="L6" s="31"/>
      <c r="M6" s="31"/>
      <c r="N6" s="31"/>
      <c r="O6" s="31"/>
      <c r="P6" s="36">
        <v>8</v>
      </c>
      <c r="Q6" s="37">
        <v>9</v>
      </c>
      <c r="R6" s="37">
        <v>10</v>
      </c>
      <c r="S6" s="37">
        <v>11</v>
      </c>
      <c r="T6" s="4"/>
      <c r="U6" s="4"/>
      <c r="V6" s="3"/>
      <c r="W6" s="3"/>
      <c r="X6" s="3"/>
      <c r="Y6" s="3"/>
    </row>
    <row r="7" spans="1:25" ht="23.25" customHeight="1" x14ac:dyDescent="0.3">
      <c r="A7" s="38" t="s">
        <v>181</v>
      </c>
      <c r="B7" s="39"/>
      <c r="C7" s="39"/>
      <c r="D7" s="39"/>
      <c r="E7" s="39"/>
      <c r="F7" s="40"/>
      <c r="G7" s="40"/>
      <c r="H7" s="40"/>
      <c r="I7" s="40"/>
      <c r="J7" s="40"/>
      <c r="K7" s="41"/>
      <c r="L7" s="41"/>
      <c r="M7" s="41"/>
      <c r="N7" s="41"/>
      <c r="O7" s="42"/>
      <c r="P7" s="39"/>
      <c r="Q7" s="39"/>
      <c r="R7" s="39"/>
      <c r="S7" s="39"/>
      <c r="T7" s="5"/>
      <c r="U7" s="4"/>
      <c r="V7" s="3"/>
      <c r="W7" s="3"/>
      <c r="X7" s="3"/>
      <c r="Y7" s="3"/>
    </row>
    <row r="8" spans="1:25" ht="30.75" customHeight="1" x14ac:dyDescent="0.3">
      <c r="A8" s="43">
        <v>1</v>
      </c>
      <c r="B8" s="44" t="s">
        <v>117</v>
      </c>
      <c r="C8" s="43" t="s">
        <v>44</v>
      </c>
      <c r="D8" s="45" t="s">
        <v>6</v>
      </c>
      <c r="E8" s="46">
        <f>SUM(F8:R8)</f>
        <v>0</v>
      </c>
      <c r="F8" s="47">
        <f>F9</f>
        <v>0</v>
      </c>
      <c r="G8" s="48"/>
      <c r="H8" s="48"/>
      <c r="I8" s="48"/>
      <c r="J8" s="49"/>
      <c r="K8" s="47">
        <f>SUM(S9:S9)</f>
        <v>0</v>
      </c>
      <c r="L8" s="48"/>
      <c r="M8" s="48"/>
      <c r="N8" s="48"/>
      <c r="O8" s="49"/>
      <c r="P8" s="50">
        <f>SUM(P9:P9)</f>
        <v>0</v>
      </c>
      <c r="Q8" s="50">
        <f>SUM(Q9:Q9)</f>
        <v>0</v>
      </c>
      <c r="R8" s="50">
        <f>SUM(R9:R9)</f>
        <v>0</v>
      </c>
      <c r="S8" s="51" t="s">
        <v>7</v>
      </c>
      <c r="T8" s="5"/>
      <c r="U8" s="4"/>
      <c r="V8" s="3"/>
      <c r="W8" s="3"/>
      <c r="X8" s="3"/>
      <c r="Y8" s="3"/>
    </row>
    <row r="9" spans="1:25" ht="50.25" customHeight="1" x14ac:dyDescent="0.3">
      <c r="A9" s="43"/>
      <c r="B9" s="44"/>
      <c r="C9" s="52"/>
      <c r="D9" s="45" t="s">
        <v>8</v>
      </c>
      <c r="E9" s="46">
        <f>SUM(F9:R9)</f>
        <v>0</v>
      </c>
      <c r="F9" s="53">
        <f>F11+F16</f>
        <v>0</v>
      </c>
      <c r="G9" s="53"/>
      <c r="H9" s="53"/>
      <c r="I9" s="53"/>
      <c r="J9" s="53"/>
      <c r="K9" s="47">
        <f>K11+K16</f>
        <v>0</v>
      </c>
      <c r="L9" s="48"/>
      <c r="M9" s="48"/>
      <c r="N9" s="48"/>
      <c r="O9" s="49"/>
      <c r="P9" s="50">
        <f>P11+P16</f>
        <v>0</v>
      </c>
      <c r="Q9" s="50">
        <f>Q11+Q16</f>
        <v>0</v>
      </c>
      <c r="R9" s="50">
        <f>R11+R16</f>
        <v>0</v>
      </c>
      <c r="S9" s="51"/>
      <c r="T9" s="5"/>
      <c r="U9" s="4"/>
      <c r="V9" s="3"/>
      <c r="W9" s="3"/>
      <c r="X9" s="3"/>
      <c r="Y9" s="3"/>
    </row>
    <row r="10" spans="1:25" ht="30.75" customHeight="1" x14ac:dyDescent="0.3">
      <c r="A10" s="54" t="s">
        <v>9</v>
      </c>
      <c r="B10" s="55" t="s">
        <v>118</v>
      </c>
      <c r="C10" s="56" t="s">
        <v>44</v>
      </c>
      <c r="D10" s="45" t="s">
        <v>6</v>
      </c>
      <c r="E10" s="46">
        <f>SUM(F10:R10)</f>
        <v>0</v>
      </c>
      <c r="F10" s="53">
        <f>F11</f>
        <v>0</v>
      </c>
      <c r="G10" s="53"/>
      <c r="H10" s="53"/>
      <c r="I10" s="53"/>
      <c r="J10" s="53"/>
      <c r="K10" s="47">
        <f>SUM(K11:K11)</f>
        <v>0</v>
      </c>
      <c r="L10" s="48"/>
      <c r="M10" s="48"/>
      <c r="N10" s="48"/>
      <c r="O10" s="49"/>
      <c r="P10" s="50">
        <f>SUM(P11:P11)</f>
        <v>0</v>
      </c>
      <c r="Q10" s="50">
        <f>SUM(Q11:Q11)</f>
        <v>0</v>
      </c>
      <c r="R10" s="50">
        <f>SUM(R11:R11)</f>
        <v>0</v>
      </c>
      <c r="S10" s="57" t="s">
        <v>7</v>
      </c>
      <c r="T10" s="5"/>
      <c r="U10" s="4"/>
      <c r="V10" s="3"/>
      <c r="W10" s="3"/>
      <c r="X10" s="3"/>
      <c r="Y10" s="3"/>
    </row>
    <row r="11" spans="1:25" ht="51.75" customHeight="1" x14ac:dyDescent="0.3">
      <c r="A11" s="58"/>
      <c r="B11" s="55"/>
      <c r="C11" s="59"/>
      <c r="D11" s="60" t="s">
        <v>8</v>
      </c>
      <c r="E11" s="46">
        <f>SUM(F11:R11)</f>
        <v>0</v>
      </c>
      <c r="F11" s="61">
        <v>0</v>
      </c>
      <c r="G11" s="61"/>
      <c r="H11" s="61"/>
      <c r="I11" s="61"/>
      <c r="J11" s="61"/>
      <c r="K11" s="62">
        <v>0</v>
      </c>
      <c r="L11" s="63"/>
      <c r="M11" s="63"/>
      <c r="N11" s="63"/>
      <c r="O11" s="64"/>
      <c r="P11" s="65">
        <v>0</v>
      </c>
      <c r="Q11" s="65">
        <v>0</v>
      </c>
      <c r="R11" s="65">
        <v>0</v>
      </c>
      <c r="S11" s="66"/>
      <c r="T11" s="5"/>
      <c r="U11" s="4"/>
      <c r="V11" s="3"/>
      <c r="W11" s="3"/>
      <c r="X11" s="3"/>
      <c r="Y11" s="3"/>
    </row>
    <row r="12" spans="1:25" ht="22.5" customHeight="1" x14ac:dyDescent="0.3">
      <c r="A12" s="58"/>
      <c r="B12" s="67" t="s">
        <v>87</v>
      </c>
      <c r="C12" s="67" t="s">
        <v>44</v>
      </c>
      <c r="D12" s="67" t="s">
        <v>75</v>
      </c>
      <c r="E12" s="68" t="s">
        <v>76</v>
      </c>
      <c r="F12" s="68" t="s">
        <v>77</v>
      </c>
      <c r="G12" s="69" t="s">
        <v>78</v>
      </c>
      <c r="H12" s="70"/>
      <c r="I12" s="70"/>
      <c r="J12" s="71"/>
      <c r="K12" s="68" t="s">
        <v>194</v>
      </c>
      <c r="L12" s="69" t="s">
        <v>78</v>
      </c>
      <c r="M12" s="70"/>
      <c r="N12" s="70"/>
      <c r="O12" s="71"/>
      <c r="P12" s="31" t="s">
        <v>41</v>
      </c>
      <c r="Q12" s="31" t="s">
        <v>42</v>
      </c>
      <c r="R12" s="31" t="s">
        <v>43</v>
      </c>
      <c r="S12" s="66"/>
      <c r="T12" s="5"/>
      <c r="U12" s="4"/>
      <c r="V12" s="3"/>
      <c r="W12" s="3"/>
      <c r="X12" s="3"/>
      <c r="Y12" s="3"/>
    </row>
    <row r="13" spans="1:25" ht="20.25" customHeight="1" x14ac:dyDescent="0.3">
      <c r="A13" s="58"/>
      <c r="B13" s="72"/>
      <c r="C13" s="72"/>
      <c r="D13" s="72"/>
      <c r="E13" s="73"/>
      <c r="F13" s="73"/>
      <c r="G13" s="74" t="s">
        <v>79</v>
      </c>
      <c r="H13" s="74" t="s">
        <v>80</v>
      </c>
      <c r="I13" s="74" t="s">
        <v>81</v>
      </c>
      <c r="J13" s="74" t="s">
        <v>82</v>
      </c>
      <c r="K13" s="73"/>
      <c r="L13" s="74" t="s">
        <v>79</v>
      </c>
      <c r="M13" s="74" t="s">
        <v>80</v>
      </c>
      <c r="N13" s="74" t="s">
        <v>81</v>
      </c>
      <c r="O13" s="74" t="s">
        <v>82</v>
      </c>
      <c r="P13" s="31"/>
      <c r="Q13" s="31"/>
      <c r="R13" s="31"/>
      <c r="S13" s="66"/>
      <c r="T13" s="5"/>
      <c r="U13" s="4"/>
      <c r="V13" s="3"/>
      <c r="W13" s="3"/>
      <c r="X13" s="3"/>
      <c r="Y13" s="3"/>
    </row>
    <row r="14" spans="1:25" ht="43.5" customHeight="1" x14ac:dyDescent="0.3">
      <c r="A14" s="75"/>
      <c r="B14" s="76"/>
      <c r="C14" s="76"/>
      <c r="D14" s="76"/>
      <c r="E14" s="77" t="s">
        <v>75</v>
      </c>
      <c r="F14" s="77" t="s">
        <v>75</v>
      </c>
      <c r="G14" s="77" t="s">
        <v>75</v>
      </c>
      <c r="H14" s="77" t="s">
        <v>75</v>
      </c>
      <c r="I14" s="77" t="s">
        <v>75</v>
      </c>
      <c r="J14" s="77" t="s">
        <v>75</v>
      </c>
      <c r="K14" s="77" t="s">
        <v>75</v>
      </c>
      <c r="L14" s="77" t="s">
        <v>75</v>
      </c>
      <c r="M14" s="77" t="s">
        <v>75</v>
      </c>
      <c r="N14" s="77" t="s">
        <v>75</v>
      </c>
      <c r="O14" s="77" t="s">
        <v>75</v>
      </c>
      <c r="P14" s="77" t="s">
        <v>75</v>
      </c>
      <c r="Q14" s="77" t="s">
        <v>75</v>
      </c>
      <c r="R14" s="77" t="s">
        <v>75</v>
      </c>
      <c r="S14" s="78"/>
      <c r="T14" s="5"/>
      <c r="U14" s="4"/>
      <c r="V14" s="3"/>
      <c r="W14" s="3"/>
      <c r="X14" s="3"/>
      <c r="Y14" s="3"/>
    </row>
    <row r="15" spans="1:25" ht="30.75" customHeight="1" x14ac:dyDescent="0.3">
      <c r="A15" s="54" t="s">
        <v>10</v>
      </c>
      <c r="B15" s="55" t="s">
        <v>119</v>
      </c>
      <c r="C15" s="56" t="s">
        <v>44</v>
      </c>
      <c r="D15" s="45" t="s">
        <v>6</v>
      </c>
      <c r="E15" s="50">
        <f>SUM(F15:R15)</f>
        <v>0</v>
      </c>
      <c r="F15" s="47">
        <f>F16</f>
        <v>0</v>
      </c>
      <c r="G15" s="48"/>
      <c r="H15" s="48"/>
      <c r="I15" s="48"/>
      <c r="J15" s="49"/>
      <c r="K15" s="47">
        <f>SUM(K16:K16)</f>
        <v>0</v>
      </c>
      <c r="L15" s="48"/>
      <c r="M15" s="48"/>
      <c r="N15" s="48"/>
      <c r="O15" s="49"/>
      <c r="P15" s="50">
        <f>SUM(P16:P16)</f>
        <v>0</v>
      </c>
      <c r="Q15" s="50">
        <f>SUM(Q16:Q16)</f>
        <v>0</v>
      </c>
      <c r="R15" s="50">
        <f>SUM(R16:R16)</f>
        <v>0</v>
      </c>
      <c r="S15" s="57" t="s">
        <v>7</v>
      </c>
      <c r="T15" s="5"/>
      <c r="U15" s="4"/>
      <c r="V15" s="3"/>
      <c r="W15" s="3"/>
      <c r="X15" s="3"/>
      <c r="Y15" s="3"/>
    </row>
    <row r="16" spans="1:25" ht="55.5" customHeight="1" x14ac:dyDescent="0.3">
      <c r="A16" s="58"/>
      <c r="B16" s="55"/>
      <c r="C16" s="59"/>
      <c r="D16" s="60" t="s">
        <v>8</v>
      </c>
      <c r="E16" s="50">
        <f>SUM(F16:R16)</f>
        <v>0</v>
      </c>
      <c r="F16" s="62">
        <v>0</v>
      </c>
      <c r="G16" s="63"/>
      <c r="H16" s="63"/>
      <c r="I16" s="63"/>
      <c r="J16" s="64"/>
      <c r="K16" s="62">
        <v>0</v>
      </c>
      <c r="L16" s="63"/>
      <c r="M16" s="63"/>
      <c r="N16" s="63"/>
      <c r="O16" s="64"/>
      <c r="P16" s="65">
        <v>0</v>
      </c>
      <c r="Q16" s="65">
        <v>0</v>
      </c>
      <c r="R16" s="65">
        <v>0</v>
      </c>
      <c r="S16" s="66"/>
      <c r="T16" s="5"/>
      <c r="U16" s="4"/>
      <c r="V16" s="3"/>
      <c r="W16" s="3"/>
      <c r="X16" s="3"/>
      <c r="Y16" s="3"/>
    </row>
    <row r="17" spans="1:25" ht="22.5" hidden="1" customHeight="1" outlineLevel="1" x14ac:dyDescent="0.3">
      <c r="A17" s="58"/>
      <c r="B17" s="67" t="s">
        <v>13</v>
      </c>
      <c r="C17" s="67" t="s">
        <v>44</v>
      </c>
      <c r="D17" s="67" t="s">
        <v>75</v>
      </c>
      <c r="E17" s="68" t="s">
        <v>76</v>
      </c>
      <c r="F17" s="79" t="s">
        <v>77</v>
      </c>
      <c r="G17" s="47" t="s">
        <v>78</v>
      </c>
      <c r="H17" s="48"/>
      <c r="I17" s="48"/>
      <c r="J17" s="49"/>
      <c r="K17" s="80"/>
      <c r="L17" s="80"/>
      <c r="M17" s="80"/>
      <c r="N17" s="80"/>
      <c r="O17" s="31" t="s">
        <v>5</v>
      </c>
      <c r="P17" s="31" t="s">
        <v>41</v>
      </c>
      <c r="Q17" s="31" t="s">
        <v>42</v>
      </c>
      <c r="R17" s="31" t="s">
        <v>43</v>
      </c>
      <c r="S17" s="66"/>
      <c r="T17" s="5"/>
      <c r="U17" s="4"/>
      <c r="V17" s="3"/>
      <c r="W17" s="3"/>
      <c r="X17" s="3"/>
      <c r="Y17" s="3"/>
    </row>
    <row r="18" spans="1:25" ht="26.25" hidden="1" customHeight="1" outlineLevel="1" x14ac:dyDescent="0.3">
      <c r="A18" s="58"/>
      <c r="B18" s="72"/>
      <c r="C18" s="72"/>
      <c r="D18" s="72"/>
      <c r="E18" s="73"/>
      <c r="F18" s="81"/>
      <c r="G18" s="82" t="s">
        <v>79</v>
      </c>
      <c r="H18" s="82" t="s">
        <v>80</v>
      </c>
      <c r="I18" s="82" t="s">
        <v>81</v>
      </c>
      <c r="J18" s="82" t="s">
        <v>82</v>
      </c>
      <c r="K18" s="74"/>
      <c r="L18" s="74"/>
      <c r="M18" s="74"/>
      <c r="N18" s="74"/>
      <c r="O18" s="31"/>
      <c r="P18" s="31"/>
      <c r="Q18" s="31"/>
      <c r="R18" s="31"/>
      <c r="S18" s="66"/>
      <c r="T18" s="5"/>
      <c r="U18" s="4"/>
      <c r="V18" s="3"/>
      <c r="W18" s="3"/>
      <c r="X18" s="3"/>
      <c r="Y18" s="3"/>
    </row>
    <row r="19" spans="1:25" ht="54" hidden="1" customHeight="1" outlineLevel="1" x14ac:dyDescent="0.3">
      <c r="A19" s="75"/>
      <c r="B19" s="76"/>
      <c r="C19" s="76"/>
      <c r="D19" s="76"/>
      <c r="E19" s="77" t="s">
        <v>75</v>
      </c>
      <c r="F19" s="82" t="s">
        <v>75</v>
      </c>
      <c r="G19" s="82" t="s">
        <v>75</v>
      </c>
      <c r="H19" s="82" t="s">
        <v>75</v>
      </c>
      <c r="I19" s="82" t="s">
        <v>75</v>
      </c>
      <c r="J19" s="82" t="s">
        <v>75</v>
      </c>
      <c r="K19" s="74"/>
      <c r="L19" s="74"/>
      <c r="M19" s="74"/>
      <c r="N19" s="74"/>
      <c r="O19" s="77" t="s">
        <v>75</v>
      </c>
      <c r="P19" s="77" t="s">
        <v>75</v>
      </c>
      <c r="Q19" s="77" t="s">
        <v>75</v>
      </c>
      <c r="R19" s="77" t="s">
        <v>75</v>
      </c>
      <c r="S19" s="78"/>
      <c r="T19" s="5"/>
      <c r="U19" s="4"/>
      <c r="V19" s="3"/>
      <c r="W19" s="3"/>
      <c r="X19" s="3"/>
      <c r="Y19" s="3"/>
    </row>
    <row r="20" spans="1:25" ht="30.75" customHeight="1" collapsed="1" x14ac:dyDescent="0.3">
      <c r="A20" s="83" t="s">
        <v>11</v>
      </c>
      <c r="B20" s="84" t="s">
        <v>120</v>
      </c>
      <c r="C20" s="43" t="s">
        <v>44</v>
      </c>
      <c r="D20" s="45" t="s">
        <v>6</v>
      </c>
      <c r="E20" s="50">
        <f>SUM(F20:R20)</f>
        <v>0</v>
      </c>
      <c r="F20" s="47">
        <f>F21</f>
        <v>0</v>
      </c>
      <c r="G20" s="48"/>
      <c r="H20" s="48"/>
      <c r="I20" s="48"/>
      <c r="J20" s="49"/>
      <c r="K20" s="47">
        <f>SUM(K21:K21)</f>
        <v>0</v>
      </c>
      <c r="L20" s="48"/>
      <c r="M20" s="48"/>
      <c r="N20" s="48"/>
      <c r="O20" s="49"/>
      <c r="P20" s="50">
        <f>SUM(P21:P21)</f>
        <v>0</v>
      </c>
      <c r="Q20" s="50">
        <f>SUM(Q21:Q21)</f>
        <v>0</v>
      </c>
      <c r="R20" s="50">
        <f>SUM(R21:R21)</f>
        <v>0</v>
      </c>
      <c r="S20" s="51" t="s">
        <v>7</v>
      </c>
      <c r="T20" s="5"/>
      <c r="U20" s="4"/>
      <c r="V20" s="3"/>
      <c r="W20" s="3"/>
      <c r="X20" s="3"/>
      <c r="Y20" s="3"/>
    </row>
    <row r="21" spans="1:25" ht="55.5" customHeight="1" x14ac:dyDescent="0.3">
      <c r="A21" s="83"/>
      <c r="B21" s="84"/>
      <c r="C21" s="52"/>
      <c r="D21" s="45" t="s">
        <v>8</v>
      </c>
      <c r="E21" s="50">
        <f>SUM(F21:R21)</f>
        <v>0</v>
      </c>
      <c r="F21" s="47">
        <f>F23+F28+F33</f>
        <v>0</v>
      </c>
      <c r="G21" s="48"/>
      <c r="H21" s="48"/>
      <c r="I21" s="48"/>
      <c r="J21" s="49"/>
      <c r="K21" s="47">
        <f>K23+K28+K33</f>
        <v>0</v>
      </c>
      <c r="L21" s="48"/>
      <c r="M21" s="48"/>
      <c r="N21" s="48"/>
      <c r="O21" s="49"/>
      <c r="P21" s="50">
        <f>P23+P28+P33</f>
        <v>0</v>
      </c>
      <c r="Q21" s="50">
        <f>Q23+Q28+Q33</f>
        <v>0</v>
      </c>
      <c r="R21" s="50">
        <f>R23+R28+R33</f>
        <v>0</v>
      </c>
      <c r="S21" s="51"/>
      <c r="T21" s="5"/>
      <c r="U21" s="4"/>
      <c r="V21" s="3"/>
      <c r="W21" s="3"/>
      <c r="X21" s="3"/>
      <c r="Y21" s="3"/>
    </row>
    <row r="22" spans="1:25" ht="30.75" customHeight="1" x14ac:dyDescent="0.3">
      <c r="A22" s="85" t="s">
        <v>12</v>
      </c>
      <c r="B22" s="55" t="s">
        <v>121</v>
      </c>
      <c r="C22" s="56" t="s">
        <v>44</v>
      </c>
      <c r="D22" s="45" t="s">
        <v>6</v>
      </c>
      <c r="E22" s="50">
        <f>SUM(F22:R22)</f>
        <v>0</v>
      </c>
      <c r="F22" s="47">
        <f>F23</f>
        <v>0</v>
      </c>
      <c r="G22" s="48"/>
      <c r="H22" s="48"/>
      <c r="I22" s="48"/>
      <c r="J22" s="49"/>
      <c r="K22" s="47">
        <f>SUM(K23:K23)</f>
        <v>0</v>
      </c>
      <c r="L22" s="48"/>
      <c r="M22" s="48"/>
      <c r="N22" s="48"/>
      <c r="O22" s="49"/>
      <c r="P22" s="50">
        <f>SUM(P23:P23)</f>
        <v>0</v>
      </c>
      <c r="Q22" s="50">
        <f>SUM(Q23:Q23)</f>
        <v>0</v>
      </c>
      <c r="R22" s="50">
        <f>SUM(R23:R23)</f>
        <v>0</v>
      </c>
      <c r="S22" s="57" t="s">
        <v>7</v>
      </c>
      <c r="T22" s="5"/>
      <c r="U22" s="4"/>
      <c r="V22" s="3"/>
      <c r="W22" s="3"/>
      <c r="X22" s="3"/>
      <c r="Y22" s="3"/>
    </row>
    <row r="23" spans="1:25" ht="69" customHeight="1" x14ac:dyDescent="0.3">
      <c r="A23" s="86"/>
      <c r="B23" s="55"/>
      <c r="C23" s="59"/>
      <c r="D23" s="60" t="s">
        <v>8</v>
      </c>
      <c r="E23" s="50">
        <f>SUM(F23:R23)</f>
        <v>0</v>
      </c>
      <c r="F23" s="62">
        <v>0</v>
      </c>
      <c r="G23" s="63"/>
      <c r="H23" s="63"/>
      <c r="I23" s="63"/>
      <c r="J23" s="64"/>
      <c r="K23" s="62">
        <v>0</v>
      </c>
      <c r="L23" s="63"/>
      <c r="M23" s="63"/>
      <c r="N23" s="63"/>
      <c r="O23" s="64"/>
      <c r="P23" s="65">
        <v>0</v>
      </c>
      <c r="Q23" s="65">
        <v>0</v>
      </c>
      <c r="R23" s="65">
        <v>0</v>
      </c>
      <c r="S23" s="66"/>
      <c r="T23" s="5"/>
      <c r="U23" s="4"/>
      <c r="V23" s="3"/>
      <c r="W23" s="3"/>
      <c r="X23" s="3"/>
      <c r="Y23" s="3"/>
    </row>
    <row r="24" spans="1:25" ht="24.75" hidden="1" customHeight="1" outlineLevel="1" x14ac:dyDescent="0.3">
      <c r="A24" s="86"/>
      <c r="B24" s="67" t="s">
        <v>13</v>
      </c>
      <c r="C24" s="67" t="s">
        <v>44</v>
      </c>
      <c r="D24" s="67" t="s">
        <v>75</v>
      </c>
      <c r="E24" s="68" t="s">
        <v>76</v>
      </c>
      <c r="F24" s="79" t="s">
        <v>77</v>
      </c>
      <c r="G24" s="47" t="s">
        <v>78</v>
      </c>
      <c r="H24" s="48"/>
      <c r="I24" s="48"/>
      <c r="J24" s="49"/>
      <c r="K24" s="80"/>
      <c r="L24" s="80"/>
      <c r="M24" s="80"/>
      <c r="N24" s="80"/>
      <c r="O24" s="31" t="s">
        <v>5</v>
      </c>
      <c r="P24" s="31" t="s">
        <v>41</v>
      </c>
      <c r="Q24" s="31" t="s">
        <v>42</v>
      </c>
      <c r="R24" s="31" t="s">
        <v>43</v>
      </c>
      <c r="S24" s="66"/>
      <c r="T24" s="5"/>
      <c r="U24" s="4"/>
      <c r="V24" s="3"/>
      <c r="W24" s="3"/>
      <c r="X24" s="3"/>
      <c r="Y24" s="3"/>
    </row>
    <row r="25" spans="1:25" ht="23.25" hidden="1" customHeight="1" outlineLevel="1" x14ac:dyDescent="0.3">
      <c r="A25" s="86"/>
      <c r="B25" s="72"/>
      <c r="C25" s="72"/>
      <c r="D25" s="72"/>
      <c r="E25" s="73"/>
      <c r="F25" s="81"/>
      <c r="G25" s="82" t="s">
        <v>79</v>
      </c>
      <c r="H25" s="82" t="s">
        <v>80</v>
      </c>
      <c r="I25" s="82" t="s">
        <v>81</v>
      </c>
      <c r="J25" s="82" t="s">
        <v>82</v>
      </c>
      <c r="K25" s="74"/>
      <c r="L25" s="74"/>
      <c r="M25" s="74"/>
      <c r="N25" s="74"/>
      <c r="O25" s="31"/>
      <c r="P25" s="31"/>
      <c r="Q25" s="31"/>
      <c r="R25" s="31"/>
      <c r="S25" s="66"/>
      <c r="T25" s="5"/>
      <c r="U25" s="4"/>
      <c r="V25" s="3"/>
      <c r="W25" s="3"/>
      <c r="X25" s="3"/>
      <c r="Y25" s="3"/>
    </row>
    <row r="26" spans="1:25" ht="66" hidden="1" customHeight="1" outlineLevel="1" x14ac:dyDescent="0.3">
      <c r="A26" s="87"/>
      <c r="B26" s="76"/>
      <c r="C26" s="76"/>
      <c r="D26" s="76"/>
      <c r="E26" s="74" t="s">
        <v>75</v>
      </c>
      <c r="F26" s="82" t="s">
        <v>75</v>
      </c>
      <c r="G26" s="82" t="s">
        <v>75</v>
      </c>
      <c r="H26" s="82" t="s">
        <v>75</v>
      </c>
      <c r="I26" s="82" t="s">
        <v>75</v>
      </c>
      <c r="J26" s="82" t="s">
        <v>75</v>
      </c>
      <c r="K26" s="74"/>
      <c r="L26" s="74"/>
      <c r="M26" s="74"/>
      <c r="N26" s="74"/>
      <c r="O26" s="74" t="s">
        <v>75</v>
      </c>
      <c r="P26" s="74" t="s">
        <v>75</v>
      </c>
      <c r="Q26" s="74" t="s">
        <v>75</v>
      </c>
      <c r="R26" s="74" t="s">
        <v>75</v>
      </c>
      <c r="S26" s="78"/>
      <c r="T26" s="5"/>
      <c r="U26" s="4"/>
      <c r="V26" s="3"/>
      <c r="W26" s="3"/>
      <c r="X26" s="3"/>
      <c r="Y26" s="3"/>
    </row>
    <row r="27" spans="1:25" ht="15.75" customHeight="1" collapsed="1" x14ac:dyDescent="0.25">
      <c r="A27" s="54" t="s">
        <v>14</v>
      </c>
      <c r="B27" s="55" t="s">
        <v>50</v>
      </c>
      <c r="C27" s="56" t="s">
        <v>44</v>
      </c>
      <c r="D27" s="45" t="s">
        <v>6</v>
      </c>
      <c r="E27" s="50">
        <f>SUM(F27:R27)</f>
        <v>0</v>
      </c>
      <c r="F27" s="47">
        <f>F28</f>
        <v>0</v>
      </c>
      <c r="G27" s="48"/>
      <c r="H27" s="48"/>
      <c r="I27" s="48"/>
      <c r="J27" s="49"/>
      <c r="K27" s="47">
        <f>SUM(K28:K28)</f>
        <v>0</v>
      </c>
      <c r="L27" s="48"/>
      <c r="M27" s="48"/>
      <c r="N27" s="48"/>
      <c r="O27" s="49"/>
      <c r="P27" s="50">
        <f>SUM(P28:P28)</f>
        <v>0</v>
      </c>
      <c r="Q27" s="50">
        <f>SUM(Q28:Q28)</f>
        <v>0</v>
      </c>
      <c r="R27" s="50">
        <f>SUM(R28:R28)</f>
        <v>0</v>
      </c>
      <c r="S27" s="57" t="s">
        <v>7</v>
      </c>
      <c r="T27" s="6"/>
      <c r="U27" s="6"/>
    </row>
    <row r="28" spans="1:25" ht="72.75" customHeight="1" x14ac:dyDescent="0.25">
      <c r="A28" s="58"/>
      <c r="B28" s="55"/>
      <c r="C28" s="59"/>
      <c r="D28" s="60" t="s">
        <v>8</v>
      </c>
      <c r="E28" s="50">
        <f>SUM(F28:R28)</f>
        <v>0</v>
      </c>
      <c r="F28" s="62">
        <v>0</v>
      </c>
      <c r="G28" s="63"/>
      <c r="H28" s="63"/>
      <c r="I28" s="63"/>
      <c r="J28" s="64"/>
      <c r="K28" s="62">
        <v>0</v>
      </c>
      <c r="L28" s="63"/>
      <c r="M28" s="63"/>
      <c r="N28" s="63"/>
      <c r="O28" s="64"/>
      <c r="P28" s="65">
        <v>0</v>
      </c>
      <c r="Q28" s="65">
        <v>0</v>
      </c>
      <c r="R28" s="65">
        <v>0</v>
      </c>
      <c r="S28" s="66"/>
      <c r="T28" s="6"/>
      <c r="U28" s="6"/>
    </row>
    <row r="29" spans="1:25" ht="24" customHeight="1" x14ac:dyDescent="0.25">
      <c r="A29" s="58"/>
      <c r="B29" s="67" t="s">
        <v>88</v>
      </c>
      <c r="C29" s="67" t="s">
        <v>44</v>
      </c>
      <c r="D29" s="67" t="s">
        <v>75</v>
      </c>
      <c r="E29" s="68" t="s">
        <v>76</v>
      </c>
      <c r="F29" s="68" t="s">
        <v>77</v>
      </c>
      <c r="G29" s="69" t="s">
        <v>78</v>
      </c>
      <c r="H29" s="70"/>
      <c r="I29" s="70"/>
      <c r="J29" s="71"/>
      <c r="K29" s="68" t="s">
        <v>194</v>
      </c>
      <c r="L29" s="69" t="s">
        <v>78</v>
      </c>
      <c r="M29" s="70"/>
      <c r="N29" s="70"/>
      <c r="O29" s="71"/>
      <c r="P29" s="31" t="s">
        <v>41</v>
      </c>
      <c r="Q29" s="31" t="s">
        <v>42</v>
      </c>
      <c r="R29" s="31" t="s">
        <v>43</v>
      </c>
      <c r="S29" s="66"/>
      <c r="T29" s="6"/>
      <c r="U29" s="6"/>
    </row>
    <row r="30" spans="1:25" ht="24" customHeight="1" x14ac:dyDescent="0.25">
      <c r="A30" s="58"/>
      <c r="B30" s="72"/>
      <c r="C30" s="72"/>
      <c r="D30" s="72"/>
      <c r="E30" s="73"/>
      <c r="F30" s="73"/>
      <c r="G30" s="74" t="s">
        <v>79</v>
      </c>
      <c r="H30" s="74" t="s">
        <v>80</v>
      </c>
      <c r="I30" s="74" t="s">
        <v>81</v>
      </c>
      <c r="J30" s="74" t="s">
        <v>82</v>
      </c>
      <c r="K30" s="73"/>
      <c r="L30" s="74" t="s">
        <v>79</v>
      </c>
      <c r="M30" s="74" t="s">
        <v>80</v>
      </c>
      <c r="N30" s="74" t="s">
        <v>81</v>
      </c>
      <c r="O30" s="74" t="s">
        <v>82</v>
      </c>
      <c r="P30" s="31"/>
      <c r="Q30" s="31"/>
      <c r="R30" s="31"/>
      <c r="S30" s="66"/>
      <c r="T30" s="6"/>
      <c r="U30" s="6"/>
    </row>
    <row r="31" spans="1:25" ht="34.5" customHeight="1" x14ac:dyDescent="0.25">
      <c r="A31" s="75"/>
      <c r="B31" s="76"/>
      <c r="C31" s="76"/>
      <c r="D31" s="76"/>
      <c r="E31" s="77" t="s">
        <v>75</v>
      </c>
      <c r="F31" s="77" t="s">
        <v>75</v>
      </c>
      <c r="G31" s="77" t="s">
        <v>75</v>
      </c>
      <c r="H31" s="77" t="s">
        <v>75</v>
      </c>
      <c r="I31" s="77" t="s">
        <v>75</v>
      </c>
      <c r="J31" s="77" t="s">
        <v>75</v>
      </c>
      <c r="K31" s="77" t="s">
        <v>75</v>
      </c>
      <c r="L31" s="77" t="s">
        <v>75</v>
      </c>
      <c r="M31" s="77" t="s">
        <v>75</v>
      </c>
      <c r="N31" s="77" t="s">
        <v>75</v>
      </c>
      <c r="O31" s="77" t="s">
        <v>75</v>
      </c>
      <c r="P31" s="77" t="s">
        <v>75</v>
      </c>
      <c r="Q31" s="77" t="s">
        <v>75</v>
      </c>
      <c r="R31" s="77" t="s">
        <v>75</v>
      </c>
      <c r="S31" s="78"/>
      <c r="T31" s="6"/>
      <c r="U31" s="6"/>
    </row>
    <row r="32" spans="1:25" ht="15" customHeight="1" x14ac:dyDescent="0.25">
      <c r="A32" s="54" t="s">
        <v>15</v>
      </c>
      <c r="B32" s="55" t="s">
        <v>16</v>
      </c>
      <c r="C32" s="85" t="s">
        <v>44</v>
      </c>
      <c r="D32" s="45" t="s">
        <v>6</v>
      </c>
      <c r="E32" s="50">
        <f>SUM(F32:R32)</f>
        <v>0</v>
      </c>
      <c r="F32" s="47">
        <f>F33</f>
        <v>0</v>
      </c>
      <c r="G32" s="48"/>
      <c r="H32" s="48"/>
      <c r="I32" s="48"/>
      <c r="J32" s="49"/>
      <c r="K32" s="47">
        <f>SUM(K33:K33)</f>
        <v>0</v>
      </c>
      <c r="L32" s="48"/>
      <c r="M32" s="48"/>
      <c r="N32" s="48"/>
      <c r="O32" s="49"/>
      <c r="P32" s="50">
        <f>SUM(P33:P33)</f>
        <v>0</v>
      </c>
      <c r="Q32" s="50">
        <f>SUM(Q33:Q33)</f>
        <v>0</v>
      </c>
      <c r="R32" s="50">
        <f>SUM(R33:R33)</f>
        <v>0</v>
      </c>
      <c r="S32" s="57" t="s">
        <v>7</v>
      </c>
      <c r="T32" s="6"/>
      <c r="U32" s="6"/>
    </row>
    <row r="33" spans="1:23" ht="69" customHeight="1" x14ac:dyDescent="0.25">
      <c r="A33" s="58"/>
      <c r="B33" s="55"/>
      <c r="C33" s="88"/>
      <c r="D33" s="60" t="s">
        <v>8</v>
      </c>
      <c r="E33" s="50">
        <f>SUM(F33:R33)</f>
        <v>0</v>
      </c>
      <c r="F33" s="62">
        <v>0</v>
      </c>
      <c r="G33" s="63"/>
      <c r="H33" s="63"/>
      <c r="I33" s="63"/>
      <c r="J33" s="64"/>
      <c r="K33" s="62">
        <v>0</v>
      </c>
      <c r="L33" s="63"/>
      <c r="M33" s="63"/>
      <c r="N33" s="63"/>
      <c r="O33" s="64"/>
      <c r="P33" s="65">
        <v>0</v>
      </c>
      <c r="Q33" s="65">
        <v>0</v>
      </c>
      <c r="R33" s="65">
        <v>0</v>
      </c>
      <c r="S33" s="66"/>
      <c r="T33" s="6"/>
      <c r="U33" s="6"/>
    </row>
    <row r="34" spans="1:23" ht="23.25" hidden="1" customHeight="1" outlineLevel="1" x14ac:dyDescent="0.25">
      <c r="A34" s="58"/>
      <c r="B34" s="67" t="s">
        <v>13</v>
      </c>
      <c r="C34" s="67" t="s">
        <v>44</v>
      </c>
      <c r="D34" s="67" t="s">
        <v>75</v>
      </c>
      <c r="E34" s="68" t="s">
        <v>76</v>
      </c>
      <c r="F34" s="68" t="s">
        <v>77</v>
      </c>
      <c r="G34" s="69" t="s">
        <v>78</v>
      </c>
      <c r="H34" s="70"/>
      <c r="I34" s="70"/>
      <c r="J34" s="71"/>
      <c r="K34" s="80"/>
      <c r="L34" s="80"/>
      <c r="M34" s="80"/>
      <c r="N34" s="80"/>
      <c r="O34" s="31" t="s">
        <v>5</v>
      </c>
      <c r="P34" s="31" t="s">
        <v>41</v>
      </c>
      <c r="Q34" s="31" t="s">
        <v>42</v>
      </c>
      <c r="R34" s="31" t="s">
        <v>43</v>
      </c>
      <c r="S34" s="66"/>
      <c r="T34" s="6"/>
      <c r="U34" s="6"/>
    </row>
    <row r="35" spans="1:23" ht="21.75" hidden="1" customHeight="1" outlineLevel="1" x14ac:dyDescent="0.25">
      <c r="A35" s="58"/>
      <c r="B35" s="72"/>
      <c r="C35" s="72"/>
      <c r="D35" s="72"/>
      <c r="E35" s="73"/>
      <c r="F35" s="73"/>
      <c r="G35" s="74" t="s">
        <v>79</v>
      </c>
      <c r="H35" s="74" t="s">
        <v>80</v>
      </c>
      <c r="I35" s="74" t="s">
        <v>81</v>
      </c>
      <c r="J35" s="74" t="s">
        <v>82</v>
      </c>
      <c r="K35" s="74"/>
      <c r="L35" s="74"/>
      <c r="M35" s="74"/>
      <c r="N35" s="74"/>
      <c r="O35" s="31"/>
      <c r="P35" s="31"/>
      <c r="Q35" s="31"/>
      <c r="R35" s="31"/>
      <c r="S35" s="66"/>
      <c r="T35" s="6"/>
      <c r="U35" s="6"/>
    </row>
    <row r="36" spans="1:23" ht="51" hidden="1" customHeight="1" outlineLevel="1" x14ac:dyDescent="0.25">
      <c r="A36" s="75"/>
      <c r="B36" s="76"/>
      <c r="C36" s="76"/>
      <c r="D36" s="76"/>
      <c r="E36" s="74" t="s">
        <v>75</v>
      </c>
      <c r="F36" s="74" t="s">
        <v>75</v>
      </c>
      <c r="G36" s="74" t="s">
        <v>75</v>
      </c>
      <c r="H36" s="74" t="s">
        <v>75</v>
      </c>
      <c r="I36" s="74" t="s">
        <v>75</v>
      </c>
      <c r="J36" s="74" t="s">
        <v>75</v>
      </c>
      <c r="K36" s="74"/>
      <c r="L36" s="74"/>
      <c r="M36" s="74"/>
      <c r="N36" s="74"/>
      <c r="O36" s="74" t="s">
        <v>75</v>
      </c>
      <c r="P36" s="74" t="s">
        <v>75</v>
      </c>
      <c r="Q36" s="74" t="s">
        <v>75</v>
      </c>
      <c r="R36" s="74" t="s">
        <v>75</v>
      </c>
      <c r="S36" s="78"/>
      <c r="T36" s="6"/>
      <c r="U36" s="6"/>
    </row>
    <row r="37" spans="1:23" ht="15" customHeight="1" collapsed="1" x14ac:dyDescent="0.25">
      <c r="A37" s="89" t="s">
        <v>17</v>
      </c>
      <c r="B37" s="89"/>
      <c r="C37" s="89"/>
      <c r="D37" s="45" t="s">
        <v>6</v>
      </c>
      <c r="E37" s="50">
        <f>SUM(F37:R37)</f>
        <v>0</v>
      </c>
      <c r="F37" s="47">
        <f>F38</f>
        <v>0</v>
      </c>
      <c r="G37" s="48"/>
      <c r="H37" s="48"/>
      <c r="I37" s="48"/>
      <c r="J37" s="49"/>
      <c r="K37" s="47">
        <f>SUM(K38:K38)</f>
        <v>0</v>
      </c>
      <c r="L37" s="48"/>
      <c r="M37" s="48"/>
      <c r="N37" s="48"/>
      <c r="O37" s="49"/>
      <c r="P37" s="50">
        <f>SUM(P38:P38)</f>
        <v>0</v>
      </c>
      <c r="Q37" s="50">
        <f>SUM(Q38:Q38)</f>
        <v>0</v>
      </c>
      <c r="R37" s="50">
        <f>SUM(R38:R38)</f>
        <v>0</v>
      </c>
      <c r="S37" s="51"/>
      <c r="T37" s="6"/>
      <c r="U37" s="6"/>
    </row>
    <row r="38" spans="1:23" ht="53.25" customHeight="1" x14ac:dyDescent="0.25">
      <c r="A38" s="89"/>
      <c r="B38" s="89"/>
      <c r="C38" s="89"/>
      <c r="D38" s="45" t="s">
        <v>8</v>
      </c>
      <c r="E38" s="50">
        <f>SUM(F38:R38)</f>
        <v>0</v>
      </c>
      <c r="F38" s="47">
        <f>F9+F21</f>
        <v>0</v>
      </c>
      <c r="G38" s="48"/>
      <c r="H38" s="48"/>
      <c r="I38" s="48"/>
      <c r="J38" s="49"/>
      <c r="K38" s="47">
        <f>K9+K21</f>
        <v>0</v>
      </c>
      <c r="L38" s="48"/>
      <c r="M38" s="48"/>
      <c r="N38" s="48"/>
      <c r="O38" s="49"/>
      <c r="P38" s="50">
        <f>P9+P21</f>
        <v>0</v>
      </c>
      <c r="Q38" s="50">
        <f>Q9+Q21</f>
        <v>0</v>
      </c>
      <c r="R38" s="50">
        <f>R9+R21</f>
        <v>0</v>
      </c>
      <c r="S38" s="51"/>
      <c r="T38" s="6"/>
      <c r="U38" s="6"/>
    </row>
    <row r="39" spans="1:23" ht="27" customHeight="1" x14ac:dyDescent="0.25">
      <c r="A39" s="90" t="s">
        <v>182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6"/>
      <c r="U39" s="6"/>
    </row>
    <row r="40" spans="1:23" ht="15" customHeight="1" x14ac:dyDescent="0.25">
      <c r="A40" s="43">
        <v>1</v>
      </c>
      <c r="B40" s="44" t="s">
        <v>122</v>
      </c>
      <c r="C40" s="91" t="s">
        <v>44</v>
      </c>
      <c r="D40" s="45" t="s">
        <v>6</v>
      </c>
      <c r="E40" s="50">
        <f>SUM(F40:R40)</f>
        <v>117388.57238999999</v>
      </c>
      <c r="F40" s="47">
        <f>F42+F43+F41</f>
        <v>23685.19311</v>
      </c>
      <c r="G40" s="48"/>
      <c r="H40" s="48"/>
      <c r="I40" s="48"/>
      <c r="J40" s="49"/>
      <c r="K40" s="47">
        <f>K42+K43+K41</f>
        <v>27325.844819999998</v>
      </c>
      <c r="L40" s="48"/>
      <c r="M40" s="48"/>
      <c r="N40" s="48"/>
      <c r="O40" s="49"/>
      <c r="P40" s="50">
        <f t="shared" ref="P40:R40" si="0">SUM(P41:P43)</f>
        <v>22125.844819999998</v>
      </c>
      <c r="Q40" s="50">
        <f t="shared" si="0"/>
        <v>22125.844819999998</v>
      </c>
      <c r="R40" s="50">
        <f t="shared" si="0"/>
        <v>22125.844819999998</v>
      </c>
      <c r="S40" s="51" t="s">
        <v>18</v>
      </c>
      <c r="T40" s="6"/>
      <c r="U40" s="6"/>
    </row>
    <row r="41" spans="1:23" ht="32.25" customHeight="1" x14ac:dyDescent="0.25">
      <c r="A41" s="43"/>
      <c r="B41" s="44"/>
      <c r="C41" s="92"/>
      <c r="D41" s="45" t="s">
        <v>19</v>
      </c>
      <c r="E41" s="50">
        <f>SUM(F41:R41)</f>
        <v>1157.7379999999998</v>
      </c>
      <c r="F41" s="47">
        <f>F61</f>
        <v>1157.7379999999998</v>
      </c>
      <c r="G41" s="48"/>
      <c r="H41" s="48"/>
      <c r="I41" s="48"/>
      <c r="J41" s="49"/>
      <c r="K41" s="47">
        <f>K61</f>
        <v>0</v>
      </c>
      <c r="L41" s="48"/>
      <c r="M41" s="48"/>
      <c r="N41" s="48"/>
      <c r="O41" s="49"/>
      <c r="P41" s="50">
        <f t="shared" ref="P41:R41" si="1">P61</f>
        <v>0</v>
      </c>
      <c r="Q41" s="50">
        <f t="shared" si="1"/>
        <v>0</v>
      </c>
      <c r="R41" s="50">
        <f t="shared" si="1"/>
        <v>0</v>
      </c>
      <c r="S41" s="51"/>
      <c r="T41" s="6"/>
      <c r="U41" s="6"/>
    </row>
    <row r="42" spans="1:23" ht="48.75" customHeight="1" x14ac:dyDescent="0.25">
      <c r="A42" s="43"/>
      <c r="B42" s="44"/>
      <c r="C42" s="92"/>
      <c r="D42" s="45" t="s">
        <v>8</v>
      </c>
      <c r="E42" s="50">
        <f t="shared" ref="E42:E46" si="2">SUM(F42:R42)</f>
        <v>112870.30682999999</v>
      </c>
      <c r="F42" s="47">
        <f>F45+F51+F56</f>
        <v>21370.127549999997</v>
      </c>
      <c r="G42" s="48"/>
      <c r="H42" s="48"/>
      <c r="I42" s="48"/>
      <c r="J42" s="49"/>
      <c r="K42" s="47">
        <f>K45+K51+K56</f>
        <v>26775.044819999999</v>
      </c>
      <c r="L42" s="48"/>
      <c r="M42" s="48"/>
      <c r="N42" s="48"/>
      <c r="O42" s="49"/>
      <c r="P42" s="50">
        <f>P45+P51+P56</f>
        <v>21575.044819999999</v>
      </c>
      <c r="Q42" s="50">
        <f>Q45+Q51+Q56</f>
        <v>21575.044819999999</v>
      </c>
      <c r="R42" s="50">
        <f>R45+R51+R56</f>
        <v>21575.044819999999</v>
      </c>
      <c r="S42" s="51"/>
      <c r="T42" s="6"/>
      <c r="U42" s="6"/>
    </row>
    <row r="43" spans="1:23" ht="15" customHeight="1" x14ac:dyDescent="0.25">
      <c r="A43" s="43"/>
      <c r="B43" s="44"/>
      <c r="C43" s="93"/>
      <c r="D43" s="94" t="s">
        <v>20</v>
      </c>
      <c r="E43" s="50">
        <f t="shared" si="2"/>
        <v>3360.5275600000004</v>
      </c>
      <c r="F43" s="47">
        <f>F46</f>
        <v>1157.3275599999999</v>
      </c>
      <c r="G43" s="48"/>
      <c r="H43" s="48"/>
      <c r="I43" s="48"/>
      <c r="J43" s="49"/>
      <c r="K43" s="47">
        <f>K46</f>
        <v>550.79999999999995</v>
      </c>
      <c r="L43" s="48"/>
      <c r="M43" s="48"/>
      <c r="N43" s="48"/>
      <c r="O43" s="49"/>
      <c r="P43" s="50">
        <f t="shared" ref="P43:R43" si="3">P46</f>
        <v>550.79999999999995</v>
      </c>
      <c r="Q43" s="50">
        <f t="shared" si="3"/>
        <v>550.79999999999995</v>
      </c>
      <c r="R43" s="50">
        <f t="shared" si="3"/>
        <v>550.79999999999995</v>
      </c>
      <c r="S43" s="51"/>
      <c r="T43" s="6"/>
      <c r="U43" s="6"/>
    </row>
    <row r="44" spans="1:23" ht="24" customHeight="1" x14ac:dyDescent="0.25">
      <c r="A44" s="54" t="s">
        <v>9</v>
      </c>
      <c r="B44" s="55" t="s">
        <v>123</v>
      </c>
      <c r="C44" s="85" t="s">
        <v>44</v>
      </c>
      <c r="D44" s="45" t="s">
        <v>6</v>
      </c>
      <c r="E44" s="50">
        <f t="shared" si="2"/>
        <v>116230.83438999999</v>
      </c>
      <c r="F44" s="47">
        <f>SUM(F45:J46)</f>
        <v>22527.455109999999</v>
      </c>
      <c r="G44" s="48"/>
      <c r="H44" s="48"/>
      <c r="I44" s="48"/>
      <c r="J44" s="49"/>
      <c r="K44" s="47">
        <f>SUM(K45:O46)</f>
        <v>27325.844819999998</v>
      </c>
      <c r="L44" s="48"/>
      <c r="M44" s="48"/>
      <c r="N44" s="48"/>
      <c r="O44" s="49"/>
      <c r="P44" s="50">
        <f>SUM(P45:P46)</f>
        <v>22125.844819999998</v>
      </c>
      <c r="Q44" s="50">
        <f>SUM(Q45:Q46)</f>
        <v>22125.844819999998</v>
      </c>
      <c r="R44" s="50">
        <f>SUM(R45:R46)</f>
        <v>22125.844819999998</v>
      </c>
      <c r="S44" s="57" t="s">
        <v>18</v>
      </c>
      <c r="T44" s="6"/>
      <c r="U44" s="6"/>
    </row>
    <row r="45" spans="1:23" ht="51" customHeight="1" x14ac:dyDescent="0.25">
      <c r="A45" s="58"/>
      <c r="B45" s="55"/>
      <c r="C45" s="86"/>
      <c r="D45" s="60" t="s">
        <v>8</v>
      </c>
      <c r="E45" s="50">
        <f t="shared" si="2"/>
        <v>112870.30682999999</v>
      </c>
      <c r="F45" s="62">
        <f>19395.16093+1785+189.96662</f>
        <v>21370.127549999997</v>
      </c>
      <c r="G45" s="63"/>
      <c r="H45" s="63"/>
      <c r="I45" s="63"/>
      <c r="J45" s="64"/>
      <c r="K45" s="62">
        <f>19395.16093+2179.83907+0.04482+5200</f>
        <v>26775.044819999999</v>
      </c>
      <c r="L45" s="63"/>
      <c r="M45" s="63"/>
      <c r="N45" s="63"/>
      <c r="O45" s="64"/>
      <c r="P45" s="65">
        <f>19395.16093+2179.83907+0.04482</f>
        <v>21575.044819999999</v>
      </c>
      <c r="Q45" s="65">
        <f t="shared" ref="Q45:R45" si="4">19395.16093+2179.83907+0.04482</f>
        <v>21575.044819999999</v>
      </c>
      <c r="R45" s="65">
        <f t="shared" si="4"/>
        <v>21575.044819999999</v>
      </c>
      <c r="S45" s="66"/>
      <c r="T45" s="6"/>
      <c r="U45" s="6"/>
    </row>
    <row r="46" spans="1:23" ht="15" customHeight="1" x14ac:dyDescent="0.3">
      <c r="A46" s="58"/>
      <c r="B46" s="55"/>
      <c r="C46" s="87"/>
      <c r="D46" s="95" t="s">
        <v>20</v>
      </c>
      <c r="E46" s="50">
        <f t="shared" si="2"/>
        <v>3360.5275600000004</v>
      </c>
      <c r="F46" s="62">
        <f>550.8+550+84.02756-27.5</f>
        <v>1157.3275599999999</v>
      </c>
      <c r="G46" s="63"/>
      <c r="H46" s="63"/>
      <c r="I46" s="63"/>
      <c r="J46" s="64"/>
      <c r="K46" s="62">
        <f>550.8</f>
        <v>550.79999999999995</v>
      </c>
      <c r="L46" s="63"/>
      <c r="M46" s="63"/>
      <c r="N46" s="63"/>
      <c r="O46" s="64"/>
      <c r="P46" s="65">
        <f>550.8</f>
        <v>550.79999999999995</v>
      </c>
      <c r="Q46" s="65">
        <f t="shared" ref="Q46:R46" si="5">550.8</f>
        <v>550.79999999999995</v>
      </c>
      <c r="R46" s="65">
        <f t="shared" si="5"/>
        <v>550.79999999999995</v>
      </c>
      <c r="S46" s="66"/>
      <c r="T46" s="7"/>
      <c r="U46" s="6"/>
      <c r="W46" s="6"/>
    </row>
    <row r="47" spans="1:23" ht="15" customHeight="1" x14ac:dyDescent="0.3">
      <c r="A47" s="58"/>
      <c r="B47" s="67" t="s">
        <v>89</v>
      </c>
      <c r="C47" s="67" t="s">
        <v>44</v>
      </c>
      <c r="D47" s="67" t="s">
        <v>75</v>
      </c>
      <c r="E47" s="68" t="s">
        <v>76</v>
      </c>
      <c r="F47" s="68" t="s">
        <v>77</v>
      </c>
      <c r="G47" s="69" t="s">
        <v>78</v>
      </c>
      <c r="H47" s="70"/>
      <c r="I47" s="70"/>
      <c r="J47" s="71"/>
      <c r="K47" s="68" t="s">
        <v>194</v>
      </c>
      <c r="L47" s="69" t="s">
        <v>78</v>
      </c>
      <c r="M47" s="70"/>
      <c r="N47" s="70"/>
      <c r="O47" s="71"/>
      <c r="P47" s="31" t="s">
        <v>41</v>
      </c>
      <c r="Q47" s="31" t="s">
        <v>42</v>
      </c>
      <c r="R47" s="31" t="s">
        <v>43</v>
      </c>
      <c r="S47" s="66"/>
      <c r="T47" s="7"/>
      <c r="U47" s="6"/>
      <c r="W47" s="6"/>
    </row>
    <row r="48" spans="1:23" ht="15" customHeight="1" x14ac:dyDescent="0.3">
      <c r="A48" s="58"/>
      <c r="B48" s="72"/>
      <c r="C48" s="72"/>
      <c r="D48" s="72"/>
      <c r="E48" s="73"/>
      <c r="F48" s="73"/>
      <c r="G48" s="74" t="s">
        <v>79</v>
      </c>
      <c r="H48" s="74" t="s">
        <v>80</v>
      </c>
      <c r="I48" s="74" t="s">
        <v>81</v>
      </c>
      <c r="J48" s="74" t="s">
        <v>82</v>
      </c>
      <c r="K48" s="73"/>
      <c r="L48" s="74" t="s">
        <v>79</v>
      </c>
      <c r="M48" s="74" t="s">
        <v>80</v>
      </c>
      <c r="N48" s="74" t="s">
        <v>81</v>
      </c>
      <c r="O48" s="74" t="s">
        <v>82</v>
      </c>
      <c r="P48" s="31"/>
      <c r="Q48" s="31"/>
      <c r="R48" s="31"/>
      <c r="S48" s="66"/>
      <c r="T48" s="7"/>
      <c r="U48" s="6"/>
      <c r="W48" s="6"/>
    </row>
    <row r="49" spans="1:23" ht="71.25" customHeight="1" x14ac:dyDescent="0.3">
      <c r="A49" s="75"/>
      <c r="B49" s="76"/>
      <c r="C49" s="76"/>
      <c r="D49" s="76"/>
      <c r="E49" s="96">
        <v>100</v>
      </c>
      <c r="F49" s="96">
        <v>100</v>
      </c>
      <c r="G49" s="96">
        <v>25</v>
      </c>
      <c r="H49" s="96">
        <v>50</v>
      </c>
      <c r="I49" s="96">
        <v>75</v>
      </c>
      <c r="J49" s="96">
        <v>100</v>
      </c>
      <c r="K49" s="96">
        <v>100</v>
      </c>
      <c r="L49" s="96">
        <v>25</v>
      </c>
      <c r="M49" s="96">
        <v>50</v>
      </c>
      <c r="N49" s="96">
        <v>75</v>
      </c>
      <c r="O49" s="96">
        <v>100</v>
      </c>
      <c r="P49" s="96">
        <v>100</v>
      </c>
      <c r="Q49" s="96">
        <v>100</v>
      </c>
      <c r="R49" s="96">
        <v>100</v>
      </c>
      <c r="S49" s="78"/>
      <c r="T49" s="7"/>
      <c r="U49" s="6"/>
      <c r="W49" s="6"/>
    </row>
    <row r="50" spans="1:23" ht="33" customHeight="1" x14ac:dyDescent="0.3">
      <c r="A50" s="54" t="s">
        <v>10</v>
      </c>
      <c r="B50" s="55" t="s">
        <v>111</v>
      </c>
      <c r="C50" s="85" t="s">
        <v>44</v>
      </c>
      <c r="D50" s="45" t="s">
        <v>6</v>
      </c>
      <c r="E50" s="50">
        <f t="shared" ref="E50:E51" si="6">SUM(F50:R50)</f>
        <v>0</v>
      </c>
      <c r="F50" s="47">
        <f>SUM(F51:J51)</f>
        <v>0</v>
      </c>
      <c r="G50" s="48"/>
      <c r="H50" s="48"/>
      <c r="I50" s="48"/>
      <c r="J50" s="49"/>
      <c r="K50" s="47">
        <f>SUM(K51:K51)</f>
        <v>0</v>
      </c>
      <c r="L50" s="48"/>
      <c r="M50" s="48"/>
      <c r="N50" s="48"/>
      <c r="O50" s="49"/>
      <c r="P50" s="50">
        <f>SUM(P51:P51)</f>
        <v>0</v>
      </c>
      <c r="Q50" s="50">
        <f>SUM(Q51:Q51)</f>
        <v>0</v>
      </c>
      <c r="R50" s="50">
        <f>SUM(R51:R51)</f>
        <v>0</v>
      </c>
      <c r="S50" s="57" t="s">
        <v>18</v>
      </c>
      <c r="T50" s="7"/>
      <c r="U50" s="6"/>
      <c r="W50" s="6"/>
    </row>
    <row r="51" spans="1:23" ht="54" customHeight="1" x14ac:dyDescent="0.3">
      <c r="A51" s="58"/>
      <c r="B51" s="55"/>
      <c r="C51" s="86"/>
      <c r="D51" s="60" t="s">
        <v>8</v>
      </c>
      <c r="E51" s="50">
        <f t="shared" si="6"/>
        <v>0</v>
      </c>
      <c r="F51" s="62">
        <v>0</v>
      </c>
      <c r="G51" s="63"/>
      <c r="H51" s="63"/>
      <c r="I51" s="63"/>
      <c r="J51" s="64"/>
      <c r="K51" s="62">
        <v>0</v>
      </c>
      <c r="L51" s="63"/>
      <c r="M51" s="63"/>
      <c r="N51" s="63"/>
      <c r="O51" s="64"/>
      <c r="P51" s="65">
        <v>0</v>
      </c>
      <c r="Q51" s="65">
        <v>0</v>
      </c>
      <c r="R51" s="65">
        <v>0</v>
      </c>
      <c r="S51" s="66"/>
      <c r="T51" s="7"/>
      <c r="U51" s="6"/>
      <c r="W51" s="6"/>
    </row>
    <row r="52" spans="1:23" ht="21" customHeight="1" x14ac:dyDescent="0.3">
      <c r="A52" s="58"/>
      <c r="B52" s="67" t="s">
        <v>124</v>
      </c>
      <c r="C52" s="67" t="s">
        <v>44</v>
      </c>
      <c r="D52" s="67" t="s">
        <v>75</v>
      </c>
      <c r="E52" s="68" t="s">
        <v>76</v>
      </c>
      <c r="F52" s="68" t="s">
        <v>77</v>
      </c>
      <c r="G52" s="69" t="s">
        <v>78</v>
      </c>
      <c r="H52" s="70"/>
      <c r="I52" s="70"/>
      <c r="J52" s="71"/>
      <c r="K52" s="68" t="s">
        <v>194</v>
      </c>
      <c r="L52" s="69" t="s">
        <v>78</v>
      </c>
      <c r="M52" s="70"/>
      <c r="N52" s="70"/>
      <c r="O52" s="71"/>
      <c r="P52" s="31" t="s">
        <v>41</v>
      </c>
      <c r="Q52" s="31" t="s">
        <v>42</v>
      </c>
      <c r="R52" s="31" t="s">
        <v>43</v>
      </c>
      <c r="S52" s="66"/>
      <c r="T52" s="7"/>
      <c r="U52" s="6"/>
      <c r="W52" s="6"/>
    </row>
    <row r="53" spans="1:23" ht="18.75" customHeight="1" x14ac:dyDescent="0.3">
      <c r="A53" s="58"/>
      <c r="B53" s="72"/>
      <c r="C53" s="72"/>
      <c r="D53" s="72"/>
      <c r="E53" s="73"/>
      <c r="F53" s="73"/>
      <c r="G53" s="74" t="s">
        <v>79</v>
      </c>
      <c r="H53" s="74" t="s">
        <v>80</v>
      </c>
      <c r="I53" s="74" t="s">
        <v>81</v>
      </c>
      <c r="J53" s="74" t="s">
        <v>82</v>
      </c>
      <c r="K53" s="73"/>
      <c r="L53" s="74" t="s">
        <v>79</v>
      </c>
      <c r="M53" s="74" t="s">
        <v>80</v>
      </c>
      <c r="N53" s="74" t="s">
        <v>81</v>
      </c>
      <c r="O53" s="74" t="s">
        <v>82</v>
      </c>
      <c r="P53" s="31"/>
      <c r="Q53" s="31"/>
      <c r="R53" s="31"/>
      <c r="S53" s="66"/>
      <c r="T53" s="7"/>
      <c r="U53" s="6"/>
      <c r="W53" s="6"/>
    </row>
    <row r="54" spans="1:23" ht="33" customHeight="1" x14ac:dyDescent="0.3">
      <c r="A54" s="75"/>
      <c r="B54" s="76"/>
      <c r="C54" s="76"/>
      <c r="D54" s="76"/>
      <c r="E54" s="77" t="s">
        <v>75</v>
      </c>
      <c r="F54" s="77" t="s">
        <v>75</v>
      </c>
      <c r="G54" s="77" t="s">
        <v>75</v>
      </c>
      <c r="H54" s="77" t="s">
        <v>75</v>
      </c>
      <c r="I54" s="77" t="s">
        <v>75</v>
      </c>
      <c r="J54" s="77" t="s">
        <v>75</v>
      </c>
      <c r="K54" s="77" t="s">
        <v>75</v>
      </c>
      <c r="L54" s="77" t="s">
        <v>75</v>
      </c>
      <c r="M54" s="77" t="s">
        <v>75</v>
      </c>
      <c r="N54" s="77" t="s">
        <v>75</v>
      </c>
      <c r="O54" s="77" t="s">
        <v>75</v>
      </c>
      <c r="P54" s="77" t="s">
        <v>75</v>
      </c>
      <c r="Q54" s="77" t="s">
        <v>75</v>
      </c>
      <c r="R54" s="77" t="s">
        <v>75</v>
      </c>
      <c r="S54" s="78"/>
      <c r="T54" s="7"/>
      <c r="U54" s="6"/>
      <c r="W54" s="6"/>
    </row>
    <row r="55" spans="1:23" ht="33" customHeight="1" x14ac:dyDescent="0.3">
      <c r="A55" s="54" t="s">
        <v>21</v>
      </c>
      <c r="B55" s="55" t="s">
        <v>112</v>
      </c>
      <c r="C55" s="85" t="s">
        <v>44</v>
      </c>
      <c r="D55" s="45" t="s">
        <v>6</v>
      </c>
      <c r="E55" s="50">
        <f t="shared" ref="E55:E56" si="7">SUM(F55:R55)</f>
        <v>0</v>
      </c>
      <c r="F55" s="47">
        <f>SUM(F56:J56)</f>
        <v>0</v>
      </c>
      <c r="G55" s="48"/>
      <c r="H55" s="48"/>
      <c r="I55" s="48"/>
      <c r="J55" s="49"/>
      <c r="K55" s="47">
        <f>SUM(K56:K56)</f>
        <v>0</v>
      </c>
      <c r="L55" s="48"/>
      <c r="M55" s="48"/>
      <c r="N55" s="48"/>
      <c r="O55" s="49"/>
      <c r="P55" s="50">
        <f>SUM(P56:P56)</f>
        <v>0</v>
      </c>
      <c r="Q55" s="50">
        <f>SUM(Q56:Q56)</f>
        <v>0</v>
      </c>
      <c r="R55" s="50">
        <f>SUM(R56:R56)</f>
        <v>0</v>
      </c>
      <c r="S55" s="57" t="s">
        <v>18</v>
      </c>
      <c r="T55" s="7"/>
      <c r="U55" s="6"/>
      <c r="W55" s="6"/>
    </row>
    <row r="56" spans="1:23" ht="53.25" customHeight="1" x14ac:dyDescent="0.3">
      <c r="A56" s="58"/>
      <c r="B56" s="55"/>
      <c r="C56" s="86"/>
      <c r="D56" s="60" t="s">
        <v>8</v>
      </c>
      <c r="E56" s="50">
        <f t="shared" si="7"/>
        <v>0</v>
      </c>
      <c r="F56" s="62">
        <v>0</v>
      </c>
      <c r="G56" s="63"/>
      <c r="H56" s="63"/>
      <c r="I56" s="63"/>
      <c r="J56" s="64"/>
      <c r="K56" s="62">
        <v>0</v>
      </c>
      <c r="L56" s="63"/>
      <c r="M56" s="63"/>
      <c r="N56" s="63"/>
      <c r="O56" s="64"/>
      <c r="P56" s="65">
        <v>0</v>
      </c>
      <c r="Q56" s="65">
        <v>0</v>
      </c>
      <c r="R56" s="65">
        <v>0</v>
      </c>
      <c r="S56" s="66"/>
      <c r="T56" s="7"/>
      <c r="U56" s="6"/>
      <c r="W56" s="6"/>
    </row>
    <row r="57" spans="1:23" ht="22.5" customHeight="1" x14ac:dyDescent="0.3">
      <c r="A57" s="58"/>
      <c r="B57" s="67" t="s">
        <v>113</v>
      </c>
      <c r="C57" s="67" t="s">
        <v>44</v>
      </c>
      <c r="D57" s="67" t="s">
        <v>75</v>
      </c>
      <c r="E57" s="68" t="s">
        <v>76</v>
      </c>
      <c r="F57" s="68" t="s">
        <v>77</v>
      </c>
      <c r="G57" s="69" t="s">
        <v>78</v>
      </c>
      <c r="H57" s="70"/>
      <c r="I57" s="70"/>
      <c r="J57" s="71"/>
      <c r="K57" s="68" t="s">
        <v>194</v>
      </c>
      <c r="L57" s="69" t="s">
        <v>78</v>
      </c>
      <c r="M57" s="70"/>
      <c r="N57" s="70"/>
      <c r="O57" s="71"/>
      <c r="P57" s="31" t="s">
        <v>41</v>
      </c>
      <c r="Q57" s="31" t="s">
        <v>42</v>
      </c>
      <c r="R57" s="31" t="s">
        <v>43</v>
      </c>
      <c r="S57" s="66"/>
      <c r="T57" s="7"/>
      <c r="U57" s="6"/>
      <c r="W57" s="6"/>
    </row>
    <row r="58" spans="1:23" ht="21.75" customHeight="1" x14ac:dyDescent="0.3">
      <c r="A58" s="58"/>
      <c r="B58" s="72"/>
      <c r="C58" s="72"/>
      <c r="D58" s="72"/>
      <c r="E58" s="73"/>
      <c r="F58" s="73"/>
      <c r="G58" s="74" t="s">
        <v>79</v>
      </c>
      <c r="H58" s="74" t="s">
        <v>80</v>
      </c>
      <c r="I58" s="74" t="s">
        <v>81</v>
      </c>
      <c r="J58" s="74" t="s">
        <v>82</v>
      </c>
      <c r="K58" s="73"/>
      <c r="L58" s="74" t="s">
        <v>79</v>
      </c>
      <c r="M58" s="74" t="s">
        <v>80</v>
      </c>
      <c r="N58" s="74" t="s">
        <v>81</v>
      </c>
      <c r="O58" s="74" t="s">
        <v>82</v>
      </c>
      <c r="P58" s="31"/>
      <c r="Q58" s="31"/>
      <c r="R58" s="31"/>
      <c r="S58" s="66"/>
      <c r="T58" s="7"/>
      <c r="U58" s="6"/>
      <c r="W58" s="6"/>
    </row>
    <row r="59" spans="1:23" ht="18" customHeight="1" x14ac:dyDescent="0.3">
      <c r="A59" s="75"/>
      <c r="B59" s="76"/>
      <c r="C59" s="76"/>
      <c r="D59" s="76"/>
      <c r="E59" s="97">
        <v>52</v>
      </c>
      <c r="F59" s="96">
        <v>13</v>
      </c>
      <c r="G59" s="96">
        <v>3</v>
      </c>
      <c r="H59" s="96">
        <v>2</v>
      </c>
      <c r="I59" s="96">
        <v>3</v>
      </c>
      <c r="J59" s="96">
        <v>5</v>
      </c>
      <c r="K59" s="96">
        <v>9</v>
      </c>
      <c r="L59" s="96">
        <v>2</v>
      </c>
      <c r="M59" s="96">
        <v>4</v>
      </c>
      <c r="N59" s="96">
        <v>2</v>
      </c>
      <c r="O59" s="96">
        <v>1</v>
      </c>
      <c r="P59" s="96">
        <v>10</v>
      </c>
      <c r="Q59" s="96">
        <v>10</v>
      </c>
      <c r="R59" s="96">
        <v>10</v>
      </c>
      <c r="S59" s="78"/>
      <c r="T59" s="159"/>
      <c r="U59" s="153"/>
      <c r="V59" s="23"/>
      <c r="W59" s="23"/>
    </row>
    <row r="60" spans="1:23" ht="18" customHeight="1" x14ac:dyDescent="0.3">
      <c r="A60" s="54" t="s">
        <v>178</v>
      </c>
      <c r="B60" s="55" t="s">
        <v>179</v>
      </c>
      <c r="C60" s="85" t="s">
        <v>44</v>
      </c>
      <c r="D60" s="45" t="s">
        <v>6</v>
      </c>
      <c r="E60" s="50">
        <f t="shared" ref="E60:E61" si="8">SUM(F60:R60)</f>
        <v>1157.7379999999998</v>
      </c>
      <c r="F60" s="47">
        <f>SUM(F61:J61)</f>
        <v>1157.7379999999998</v>
      </c>
      <c r="G60" s="48"/>
      <c r="H60" s="48"/>
      <c r="I60" s="48"/>
      <c r="J60" s="49"/>
      <c r="K60" s="47">
        <f>SUM(K61:K61)</f>
        <v>0</v>
      </c>
      <c r="L60" s="48"/>
      <c r="M60" s="48"/>
      <c r="N60" s="48"/>
      <c r="O60" s="49"/>
      <c r="P60" s="50">
        <f>SUM(P61:P61)</f>
        <v>0</v>
      </c>
      <c r="Q60" s="50">
        <f>SUM(Q61:Q61)</f>
        <v>0</v>
      </c>
      <c r="R60" s="50">
        <f>SUM(R61:R61)</f>
        <v>0</v>
      </c>
      <c r="S60" s="57" t="s">
        <v>18</v>
      </c>
      <c r="T60" s="7"/>
      <c r="U60" s="6"/>
      <c r="W60" s="6"/>
    </row>
    <row r="61" spans="1:23" ht="51" customHeight="1" x14ac:dyDescent="0.3">
      <c r="A61" s="58"/>
      <c r="B61" s="55"/>
      <c r="C61" s="86"/>
      <c r="D61" s="60" t="s">
        <v>19</v>
      </c>
      <c r="E61" s="50">
        <f t="shared" si="8"/>
        <v>1157.7379999999998</v>
      </c>
      <c r="F61" s="62">
        <f>657.238+198.486+236.914+65.1</f>
        <v>1157.7379999999998</v>
      </c>
      <c r="G61" s="63"/>
      <c r="H61" s="63"/>
      <c r="I61" s="63"/>
      <c r="J61" s="64"/>
      <c r="K61" s="62">
        <v>0</v>
      </c>
      <c r="L61" s="63"/>
      <c r="M61" s="63"/>
      <c r="N61" s="63"/>
      <c r="O61" s="64"/>
      <c r="P61" s="65">
        <v>0</v>
      </c>
      <c r="Q61" s="65">
        <v>0</v>
      </c>
      <c r="R61" s="65">
        <v>0</v>
      </c>
      <c r="S61" s="66"/>
      <c r="T61" s="7"/>
      <c r="U61" s="6"/>
      <c r="W61" s="6"/>
    </row>
    <row r="62" spans="1:23" ht="35.25" customHeight="1" x14ac:dyDescent="0.3">
      <c r="A62" s="58"/>
      <c r="B62" s="67" t="s">
        <v>183</v>
      </c>
      <c r="C62" s="67" t="s">
        <v>44</v>
      </c>
      <c r="D62" s="67" t="s">
        <v>75</v>
      </c>
      <c r="E62" s="68" t="s">
        <v>76</v>
      </c>
      <c r="F62" s="68" t="s">
        <v>77</v>
      </c>
      <c r="G62" s="69" t="s">
        <v>78</v>
      </c>
      <c r="H62" s="70"/>
      <c r="I62" s="70"/>
      <c r="J62" s="71"/>
      <c r="K62" s="68" t="s">
        <v>194</v>
      </c>
      <c r="L62" s="69" t="s">
        <v>78</v>
      </c>
      <c r="M62" s="70"/>
      <c r="N62" s="70"/>
      <c r="O62" s="71"/>
      <c r="P62" s="31" t="s">
        <v>41</v>
      </c>
      <c r="Q62" s="31" t="s">
        <v>42</v>
      </c>
      <c r="R62" s="31" t="s">
        <v>43</v>
      </c>
      <c r="S62" s="66"/>
      <c r="T62" s="7"/>
      <c r="U62" s="6"/>
      <c r="W62" s="6"/>
    </row>
    <row r="63" spans="1:23" ht="43.5" customHeight="1" x14ac:dyDescent="0.3">
      <c r="A63" s="58"/>
      <c r="B63" s="72"/>
      <c r="C63" s="72"/>
      <c r="D63" s="72"/>
      <c r="E63" s="73"/>
      <c r="F63" s="73"/>
      <c r="G63" s="74" t="s">
        <v>79</v>
      </c>
      <c r="H63" s="74" t="s">
        <v>80</v>
      </c>
      <c r="I63" s="74" t="s">
        <v>81</v>
      </c>
      <c r="J63" s="74" t="s">
        <v>82</v>
      </c>
      <c r="K63" s="73"/>
      <c r="L63" s="74" t="s">
        <v>79</v>
      </c>
      <c r="M63" s="74" t="s">
        <v>80</v>
      </c>
      <c r="N63" s="74" t="s">
        <v>81</v>
      </c>
      <c r="O63" s="74" t="s">
        <v>82</v>
      </c>
      <c r="P63" s="31"/>
      <c r="Q63" s="31"/>
      <c r="R63" s="31"/>
      <c r="S63" s="66"/>
      <c r="T63" s="7"/>
      <c r="U63" s="6"/>
      <c r="W63" s="6"/>
    </row>
    <row r="64" spans="1:23" ht="66" customHeight="1" x14ac:dyDescent="0.3">
      <c r="A64" s="75"/>
      <c r="B64" s="76"/>
      <c r="C64" s="76"/>
      <c r="D64" s="76"/>
      <c r="E64" s="97">
        <v>96.88</v>
      </c>
      <c r="F64" s="97">
        <v>96.88</v>
      </c>
      <c r="G64" s="77" t="s">
        <v>75</v>
      </c>
      <c r="H64" s="77" t="s">
        <v>75</v>
      </c>
      <c r="I64" s="97">
        <v>96.88</v>
      </c>
      <c r="J64" s="97">
        <v>96.88</v>
      </c>
      <c r="K64" s="77" t="s">
        <v>75</v>
      </c>
      <c r="L64" s="77" t="s">
        <v>75</v>
      </c>
      <c r="M64" s="77" t="s">
        <v>75</v>
      </c>
      <c r="N64" s="77" t="s">
        <v>75</v>
      </c>
      <c r="O64" s="77" t="s">
        <v>75</v>
      </c>
      <c r="P64" s="77" t="s">
        <v>75</v>
      </c>
      <c r="Q64" s="77" t="s">
        <v>75</v>
      </c>
      <c r="R64" s="77" t="s">
        <v>75</v>
      </c>
      <c r="S64" s="78"/>
      <c r="T64" s="7"/>
      <c r="U64" s="6"/>
      <c r="W64" s="6"/>
    </row>
    <row r="65" spans="1:23" ht="27.75" customHeight="1" x14ac:dyDescent="0.3">
      <c r="A65" s="54" t="s">
        <v>46</v>
      </c>
      <c r="B65" s="44" t="s">
        <v>125</v>
      </c>
      <c r="C65" s="91" t="s">
        <v>44</v>
      </c>
      <c r="D65" s="45" t="s">
        <v>6</v>
      </c>
      <c r="E65" s="50">
        <f t="shared" ref="E65:E70" si="9">SUM(F65:R65)</f>
        <v>137.5</v>
      </c>
      <c r="F65" s="47">
        <f>F66+F67</f>
        <v>27.5</v>
      </c>
      <c r="G65" s="48"/>
      <c r="H65" s="48"/>
      <c r="I65" s="48"/>
      <c r="J65" s="49"/>
      <c r="K65" s="47">
        <f>K66+K67</f>
        <v>27.5</v>
      </c>
      <c r="L65" s="48"/>
      <c r="M65" s="48"/>
      <c r="N65" s="48"/>
      <c r="O65" s="49"/>
      <c r="P65" s="50">
        <f>SUM(P66:P67)</f>
        <v>27.5</v>
      </c>
      <c r="Q65" s="50">
        <f>SUM(Q66:Q67)</f>
        <v>27.5</v>
      </c>
      <c r="R65" s="50">
        <f>SUM(R66:R67)</f>
        <v>27.5</v>
      </c>
      <c r="S65" s="51" t="s">
        <v>18</v>
      </c>
      <c r="T65" s="7"/>
      <c r="U65" s="6"/>
      <c r="W65" s="6"/>
    </row>
    <row r="66" spans="1:23" ht="55.5" customHeight="1" x14ac:dyDescent="0.3">
      <c r="A66" s="58"/>
      <c r="B66" s="44"/>
      <c r="C66" s="92"/>
      <c r="D66" s="45" t="s">
        <v>8</v>
      </c>
      <c r="E66" s="50">
        <f>SUM(F66:R66)</f>
        <v>0</v>
      </c>
      <c r="F66" s="47">
        <f>F69+F75+F80</f>
        <v>0</v>
      </c>
      <c r="G66" s="48"/>
      <c r="H66" s="48"/>
      <c r="I66" s="48"/>
      <c r="J66" s="49"/>
      <c r="K66" s="47">
        <f>K69+K75+K80</f>
        <v>0</v>
      </c>
      <c r="L66" s="48"/>
      <c r="M66" s="48"/>
      <c r="N66" s="48"/>
      <c r="O66" s="49"/>
      <c r="P66" s="50">
        <f t="shared" ref="P66:R66" si="10">P69+P75+P80</f>
        <v>0</v>
      </c>
      <c r="Q66" s="50">
        <f t="shared" si="10"/>
        <v>0</v>
      </c>
      <c r="R66" s="50">
        <f t="shared" si="10"/>
        <v>0</v>
      </c>
      <c r="S66" s="51"/>
      <c r="T66" s="7"/>
      <c r="U66" s="6"/>
      <c r="W66" s="6"/>
    </row>
    <row r="67" spans="1:23" ht="38.25" customHeight="1" x14ac:dyDescent="0.3">
      <c r="A67" s="75"/>
      <c r="B67" s="44"/>
      <c r="C67" s="93"/>
      <c r="D67" s="94" t="s">
        <v>20</v>
      </c>
      <c r="E67" s="50">
        <f t="shared" si="9"/>
        <v>137.5</v>
      </c>
      <c r="F67" s="47">
        <f>F70</f>
        <v>27.5</v>
      </c>
      <c r="G67" s="48"/>
      <c r="H67" s="48"/>
      <c r="I67" s="48"/>
      <c r="J67" s="49"/>
      <c r="K67" s="47">
        <f>K70</f>
        <v>27.5</v>
      </c>
      <c r="L67" s="48"/>
      <c r="M67" s="48"/>
      <c r="N67" s="48"/>
      <c r="O67" s="49"/>
      <c r="P67" s="50">
        <f t="shared" ref="P67:R67" si="11">P70</f>
        <v>27.5</v>
      </c>
      <c r="Q67" s="50">
        <f t="shared" si="11"/>
        <v>27.5</v>
      </c>
      <c r="R67" s="50">
        <f t="shared" si="11"/>
        <v>27.5</v>
      </c>
      <c r="S67" s="51"/>
      <c r="T67" s="7"/>
      <c r="U67" s="6"/>
      <c r="W67" s="6"/>
    </row>
    <row r="68" spans="1:23" ht="21" customHeight="1" x14ac:dyDescent="0.3">
      <c r="A68" s="54" t="s">
        <v>12</v>
      </c>
      <c r="B68" s="55" t="s">
        <v>47</v>
      </c>
      <c r="C68" s="56" t="s">
        <v>44</v>
      </c>
      <c r="D68" s="45" t="s">
        <v>6</v>
      </c>
      <c r="E68" s="50">
        <f>SUM(F68:R68)</f>
        <v>137.5</v>
      </c>
      <c r="F68" s="47">
        <f>SUM(F69:J70)</f>
        <v>27.5</v>
      </c>
      <c r="G68" s="48"/>
      <c r="H68" s="48"/>
      <c r="I68" s="48"/>
      <c r="J68" s="49"/>
      <c r="K68" s="47">
        <f>SUM(K69:O70)</f>
        <v>27.5</v>
      </c>
      <c r="L68" s="48"/>
      <c r="M68" s="48"/>
      <c r="N68" s="48"/>
      <c r="O68" s="49"/>
      <c r="P68" s="50">
        <f>SUM(P69:P70)</f>
        <v>27.5</v>
      </c>
      <c r="Q68" s="50">
        <f>SUM(Q69:Q70)</f>
        <v>27.5</v>
      </c>
      <c r="R68" s="50">
        <f>SUM(R69:R70)</f>
        <v>27.5</v>
      </c>
      <c r="S68" s="57" t="s">
        <v>18</v>
      </c>
      <c r="T68" s="7"/>
      <c r="U68" s="6"/>
      <c r="W68" s="6"/>
    </row>
    <row r="69" spans="1:23" ht="51" customHeight="1" x14ac:dyDescent="0.3">
      <c r="A69" s="58"/>
      <c r="B69" s="55"/>
      <c r="C69" s="56"/>
      <c r="D69" s="60" t="s">
        <v>8</v>
      </c>
      <c r="E69" s="50">
        <f t="shared" si="9"/>
        <v>0</v>
      </c>
      <c r="F69" s="62">
        <v>0</v>
      </c>
      <c r="G69" s="63"/>
      <c r="H69" s="63"/>
      <c r="I69" s="63"/>
      <c r="J69" s="64"/>
      <c r="K69" s="62">
        <v>0</v>
      </c>
      <c r="L69" s="63"/>
      <c r="M69" s="63"/>
      <c r="N69" s="63"/>
      <c r="O69" s="64"/>
      <c r="P69" s="65">
        <v>0</v>
      </c>
      <c r="Q69" s="65">
        <v>0</v>
      </c>
      <c r="R69" s="65">
        <v>0</v>
      </c>
      <c r="S69" s="66"/>
      <c r="T69" s="7"/>
      <c r="U69" s="6"/>
      <c r="W69" s="6"/>
    </row>
    <row r="70" spans="1:23" ht="26.25" customHeight="1" x14ac:dyDescent="0.3">
      <c r="A70" s="58"/>
      <c r="B70" s="55"/>
      <c r="C70" s="56"/>
      <c r="D70" s="95" t="s">
        <v>20</v>
      </c>
      <c r="E70" s="50">
        <f t="shared" si="9"/>
        <v>137.5</v>
      </c>
      <c r="F70" s="62">
        <v>27.5</v>
      </c>
      <c r="G70" s="63"/>
      <c r="H70" s="63"/>
      <c r="I70" s="63"/>
      <c r="J70" s="64"/>
      <c r="K70" s="62">
        <v>27.5</v>
      </c>
      <c r="L70" s="63"/>
      <c r="M70" s="63"/>
      <c r="N70" s="63"/>
      <c r="O70" s="64"/>
      <c r="P70" s="65">
        <v>27.5</v>
      </c>
      <c r="Q70" s="65">
        <v>27.5</v>
      </c>
      <c r="R70" s="65">
        <v>27.5</v>
      </c>
      <c r="S70" s="66"/>
      <c r="T70" s="7"/>
      <c r="U70" s="6"/>
      <c r="W70" s="6"/>
    </row>
    <row r="71" spans="1:23" ht="19.5" customHeight="1" x14ac:dyDescent="0.3">
      <c r="A71" s="58"/>
      <c r="B71" s="67" t="s">
        <v>196</v>
      </c>
      <c r="C71" s="67" t="s">
        <v>44</v>
      </c>
      <c r="D71" s="67" t="s">
        <v>75</v>
      </c>
      <c r="E71" s="68" t="s">
        <v>76</v>
      </c>
      <c r="F71" s="68" t="s">
        <v>77</v>
      </c>
      <c r="G71" s="69" t="s">
        <v>78</v>
      </c>
      <c r="H71" s="70"/>
      <c r="I71" s="70"/>
      <c r="J71" s="71"/>
      <c r="K71" s="68" t="s">
        <v>194</v>
      </c>
      <c r="L71" s="69" t="s">
        <v>78</v>
      </c>
      <c r="M71" s="70"/>
      <c r="N71" s="70"/>
      <c r="O71" s="71"/>
      <c r="P71" s="31" t="s">
        <v>41</v>
      </c>
      <c r="Q71" s="31" t="s">
        <v>42</v>
      </c>
      <c r="R71" s="31" t="s">
        <v>43</v>
      </c>
      <c r="S71" s="66"/>
      <c r="T71" s="7"/>
      <c r="U71" s="6"/>
      <c r="W71" s="6"/>
    </row>
    <row r="72" spans="1:23" ht="21" customHeight="1" x14ac:dyDescent="0.3">
      <c r="A72" s="58"/>
      <c r="B72" s="72"/>
      <c r="C72" s="72"/>
      <c r="D72" s="72"/>
      <c r="E72" s="73"/>
      <c r="F72" s="73"/>
      <c r="G72" s="74" t="s">
        <v>79</v>
      </c>
      <c r="H72" s="74" t="s">
        <v>80</v>
      </c>
      <c r="I72" s="74" t="s">
        <v>81</v>
      </c>
      <c r="J72" s="74" t="s">
        <v>82</v>
      </c>
      <c r="K72" s="73"/>
      <c r="L72" s="74" t="s">
        <v>79</v>
      </c>
      <c r="M72" s="74" t="s">
        <v>80</v>
      </c>
      <c r="N72" s="74" t="s">
        <v>81</v>
      </c>
      <c r="O72" s="74" t="s">
        <v>82</v>
      </c>
      <c r="P72" s="31"/>
      <c r="Q72" s="31"/>
      <c r="R72" s="31"/>
      <c r="S72" s="66"/>
      <c r="T72" s="7"/>
      <c r="U72" s="6"/>
      <c r="W72" s="6"/>
    </row>
    <row r="73" spans="1:23" ht="48" customHeight="1" x14ac:dyDescent="0.3">
      <c r="A73" s="75"/>
      <c r="B73" s="76"/>
      <c r="C73" s="76"/>
      <c r="D73" s="76"/>
      <c r="E73" s="98">
        <v>1</v>
      </c>
      <c r="F73" s="98">
        <v>1</v>
      </c>
      <c r="G73" s="77" t="s">
        <v>75</v>
      </c>
      <c r="H73" s="77" t="s">
        <v>75</v>
      </c>
      <c r="I73" s="77" t="s">
        <v>75</v>
      </c>
      <c r="J73" s="98">
        <v>1</v>
      </c>
      <c r="K73" s="98">
        <v>1</v>
      </c>
      <c r="L73" s="77" t="s">
        <v>75</v>
      </c>
      <c r="M73" s="77" t="s">
        <v>75</v>
      </c>
      <c r="N73" s="77" t="s">
        <v>75</v>
      </c>
      <c r="O73" s="98">
        <v>1</v>
      </c>
      <c r="P73" s="98" t="s">
        <v>175</v>
      </c>
      <c r="Q73" s="98" t="s">
        <v>175</v>
      </c>
      <c r="R73" s="98" t="s">
        <v>175</v>
      </c>
      <c r="S73" s="78"/>
      <c r="T73" s="7"/>
      <c r="U73" s="6"/>
      <c r="W73" s="6"/>
    </row>
    <row r="74" spans="1:23" ht="27" customHeight="1" x14ac:dyDescent="0.25">
      <c r="A74" s="54" t="s">
        <v>14</v>
      </c>
      <c r="B74" s="55" t="s">
        <v>126</v>
      </c>
      <c r="C74" s="56" t="s">
        <v>44</v>
      </c>
      <c r="D74" s="45" t="s">
        <v>6</v>
      </c>
      <c r="E74" s="50">
        <f>SUM(F74:R74)</f>
        <v>0</v>
      </c>
      <c r="F74" s="47">
        <f>F75</f>
        <v>0</v>
      </c>
      <c r="G74" s="48"/>
      <c r="H74" s="48"/>
      <c r="I74" s="48"/>
      <c r="J74" s="49"/>
      <c r="K74" s="47">
        <f>SUM(K75:K75)</f>
        <v>0</v>
      </c>
      <c r="L74" s="48"/>
      <c r="M74" s="48"/>
      <c r="N74" s="48"/>
      <c r="O74" s="49"/>
      <c r="P74" s="50">
        <f>SUM(P75:P75)</f>
        <v>0</v>
      </c>
      <c r="Q74" s="50">
        <f>SUM(Q75:Q75)</f>
        <v>0</v>
      </c>
      <c r="R74" s="50">
        <f>SUM(R75:R75)</f>
        <v>0</v>
      </c>
      <c r="S74" s="57" t="s">
        <v>18</v>
      </c>
      <c r="T74" s="6"/>
      <c r="U74" s="6"/>
    </row>
    <row r="75" spans="1:23" ht="56.45" customHeight="1" x14ac:dyDescent="0.25">
      <c r="A75" s="58"/>
      <c r="B75" s="55"/>
      <c r="C75" s="56"/>
      <c r="D75" s="60" t="s">
        <v>8</v>
      </c>
      <c r="E75" s="50">
        <f>SUM(F75:R75)</f>
        <v>0</v>
      </c>
      <c r="F75" s="62">
        <v>0</v>
      </c>
      <c r="G75" s="63"/>
      <c r="H75" s="63"/>
      <c r="I75" s="63"/>
      <c r="J75" s="64"/>
      <c r="K75" s="62">
        <v>0</v>
      </c>
      <c r="L75" s="63"/>
      <c r="M75" s="63"/>
      <c r="N75" s="63"/>
      <c r="O75" s="64"/>
      <c r="P75" s="65">
        <v>0</v>
      </c>
      <c r="Q75" s="65">
        <v>0</v>
      </c>
      <c r="R75" s="65">
        <v>0</v>
      </c>
      <c r="S75" s="66"/>
      <c r="T75" s="6"/>
      <c r="U75" s="6"/>
      <c r="V75" s="8"/>
    </row>
    <row r="76" spans="1:23" ht="22.9" customHeight="1" x14ac:dyDescent="0.3">
      <c r="A76" s="58"/>
      <c r="B76" s="67" t="s">
        <v>90</v>
      </c>
      <c r="C76" s="67" t="s">
        <v>44</v>
      </c>
      <c r="D76" s="67" t="s">
        <v>75</v>
      </c>
      <c r="E76" s="68" t="s">
        <v>76</v>
      </c>
      <c r="F76" s="68" t="s">
        <v>77</v>
      </c>
      <c r="G76" s="69" t="s">
        <v>78</v>
      </c>
      <c r="H76" s="70"/>
      <c r="I76" s="70"/>
      <c r="J76" s="71"/>
      <c r="K76" s="68" t="s">
        <v>194</v>
      </c>
      <c r="L76" s="69" t="s">
        <v>78</v>
      </c>
      <c r="M76" s="70"/>
      <c r="N76" s="70"/>
      <c r="O76" s="71"/>
      <c r="P76" s="31" t="s">
        <v>41</v>
      </c>
      <c r="Q76" s="31" t="s">
        <v>42</v>
      </c>
      <c r="R76" s="31" t="s">
        <v>43</v>
      </c>
      <c r="S76" s="66"/>
      <c r="T76" s="7"/>
      <c r="U76" s="6"/>
    </row>
    <row r="77" spans="1:23" ht="22.9" customHeight="1" x14ac:dyDescent="0.3">
      <c r="A77" s="58"/>
      <c r="B77" s="72"/>
      <c r="C77" s="72"/>
      <c r="D77" s="72"/>
      <c r="E77" s="73"/>
      <c r="F77" s="73"/>
      <c r="G77" s="74" t="s">
        <v>79</v>
      </c>
      <c r="H77" s="74" t="s">
        <v>80</v>
      </c>
      <c r="I77" s="74" t="s">
        <v>81</v>
      </c>
      <c r="J77" s="74" t="s">
        <v>82</v>
      </c>
      <c r="K77" s="73"/>
      <c r="L77" s="74" t="s">
        <v>79</v>
      </c>
      <c r="M77" s="74" t="s">
        <v>80</v>
      </c>
      <c r="N77" s="74" t="s">
        <v>81</v>
      </c>
      <c r="O77" s="74" t="s">
        <v>82</v>
      </c>
      <c r="P77" s="31"/>
      <c r="Q77" s="31"/>
      <c r="R77" s="31"/>
      <c r="S77" s="66"/>
      <c r="T77" s="7"/>
      <c r="U77" s="6"/>
    </row>
    <row r="78" spans="1:23" ht="43.5" customHeight="1" x14ac:dyDescent="0.3">
      <c r="A78" s="75"/>
      <c r="B78" s="76"/>
      <c r="C78" s="76"/>
      <c r="D78" s="76"/>
      <c r="E78" s="77" t="s">
        <v>75</v>
      </c>
      <c r="F78" s="77" t="s">
        <v>75</v>
      </c>
      <c r="G78" s="77" t="s">
        <v>75</v>
      </c>
      <c r="H78" s="77" t="s">
        <v>75</v>
      </c>
      <c r="I78" s="77" t="s">
        <v>75</v>
      </c>
      <c r="J78" s="77" t="s">
        <v>75</v>
      </c>
      <c r="K78" s="77" t="s">
        <v>75</v>
      </c>
      <c r="L78" s="77" t="s">
        <v>75</v>
      </c>
      <c r="M78" s="77" t="s">
        <v>75</v>
      </c>
      <c r="N78" s="77" t="s">
        <v>75</v>
      </c>
      <c r="O78" s="77" t="s">
        <v>75</v>
      </c>
      <c r="P78" s="77" t="s">
        <v>75</v>
      </c>
      <c r="Q78" s="77" t="s">
        <v>75</v>
      </c>
      <c r="R78" s="77" t="s">
        <v>75</v>
      </c>
      <c r="S78" s="78"/>
      <c r="T78" s="7"/>
      <c r="U78" s="6"/>
    </row>
    <row r="79" spans="1:23" ht="22.9" customHeight="1" x14ac:dyDescent="0.3">
      <c r="A79" s="54" t="s">
        <v>15</v>
      </c>
      <c r="B79" s="55" t="s">
        <v>127</v>
      </c>
      <c r="C79" s="56" t="s">
        <v>44</v>
      </c>
      <c r="D79" s="45" t="s">
        <v>6</v>
      </c>
      <c r="E79" s="50">
        <f>SUM(F79:R79)</f>
        <v>0</v>
      </c>
      <c r="F79" s="47">
        <f>F80</f>
        <v>0</v>
      </c>
      <c r="G79" s="48"/>
      <c r="H79" s="48"/>
      <c r="I79" s="48"/>
      <c r="J79" s="49"/>
      <c r="K79" s="47">
        <f>SUM(K80:K80)</f>
        <v>0</v>
      </c>
      <c r="L79" s="48"/>
      <c r="M79" s="48"/>
      <c r="N79" s="48"/>
      <c r="O79" s="49"/>
      <c r="P79" s="50">
        <f>SUM(P80:P80)</f>
        <v>0</v>
      </c>
      <c r="Q79" s="50">
        <f>SUM(Q80:Q80)</f>
        <v>0</v>
      </c>
      <c r="R79" s="50">
        <f>SUM(R80:R80)</f>
        <v>0</v>
      </c>
      <c r="S79" s="57" t="s">
        <v>18</v>
      </c>
      <c r="T79" s="7"/>
      <c r="U79" s="6"/>
    </row>
    <row r="80" spans="1:23" ht="54.75" customHeight="1" x14ac:dyDescent="0.3">
      <c r="A80" s="58"/>
      <c r="B80" s="55"/>
      <c r="C80" s="56"/>
      <c r="D80" s="60" t="s">
        <v>8</v>
      </c>
      <c r="E80" s="50">
        <f>SUM(F80:R80)</f>
        <v>0</v>
      </c>
      <c r="F80" s="62">
        <v>0</v>
      </c>
      <c r="G80" s="63"/>
      <c r="H80" s="63"/>
      <c r="I80" s="63"/>
      <c r="J80" s="64"/>
      <c r="K80" s="62">
        <v>0</v>
      </c>
      <c r="L80" s="63"/>
      <c r="M80" s="63"/>
      <c r="N80" s="63"/>
      <c r="O80" s="64"/>
      <c r="P80" s="65">
        <v>0</v>
      </c>
      <c r="Q80" s="65">
        <v>0</v>
      </c>
      <c r="R80" s="65">
        <v>0</v>
      </c>
      <c r="S80" s="66"/>
      <c r="T80" s="7"/>
      <c r="U80" s="6"/>
    </row>
    <row r="81" spans="1:21" ht="22.9" customHeight="1" x14ac:dyDescent="0.3">
      <c r="A81" s="58"/>
      <c r="B81" s="67" t="s">
        <v>91</v>
      </c>
      <c r="C81" s="67" t="s">
        <v>44</v>
      </c>
      <c r="D81" s="67" t="s">
        <v>75</v>
      </c>
      <c r="E81" s="68" t="s">
        <v>76</v>
      </c>
      <c r="F81" s="68" t="s">
        <v>77</v>
      </c>
      <c r="G81" s="69" t="s">
        <v>78</v>
      </c>
      <c r="H81" s="70"/>
      <c r="I81" s="70"/>
      <c r="J81" s="71"/>
      <c r="K81" s="68" t="s">
        <v>194</v>
      </c>
      <c r="L81" s="69" t="s">
        <v>78</v>
      </c>
      <c r="M81" s="70"/>
      <c r="N81" s="70"/>
      <c r="O81" s="71"/>
      <c r="P81" s="31" t="s">
        <v>41</v>
      </c>
      <c r="Q81" s="31" t="s">
        <v>42</v>
      </c>
      <c r="R81" s="31" t="s">
        <v>43</v>
      </c>
      <c r="S81" s="66"/>
      <c r="T81" s="7"/>
      <c r="U81" s="6"/>
    </row>
    <row r="82" spans="1:21" ht="22.9" customHeight="1" x14ac:dyDescent="0.3">
      <c r="A82" s="58"/>
      <c r="B82" s="72"/>
      <c r="C82" s="72"/>
      <c r="D82" s="72"/>
      <c r="E82" s="73"/>
      <c r="F82" s="73"/>
      <c r="G82" s="74" t="s">
        <v>79</v>
      </c>
      <c r="H82" s="74" t="s">
        <v>80</v>
      </c>
      <c r="I82" s="74" t="s">
        <v>81</v>
      </c>
      <c r="J82" s="74" t="s">
        <v>82</v>
      </c>
      <c r="K82" s="73"/>
      <c r="L82" s="74" t="s">
        <v>79</v>
      </c>
      <c r="M82" s="74" t="s">
        <v>80</v>
      </c>
      <c r="N82" s="74" t="s">
        <v>81</v>
      </c>
      <c r="O82" s="74" t="s">
        <v>82</v>
      </c>
      <c r="P82" s="31"/>
      <c r="Q82" s="31"/>
      <c r="R82" s="31"/>
      <c r="S82" s="66"/>
      <c r="T82" s="7"/>
      <c r="U82" s="6"/>
    </row>
    <row r="83" spans="1:21" ht="22.9" customHeight="1" x14ac:dyDescent="0.3">
      <c r="A83" s="75"/>
      <c r="B83" s="76"/>
      <c r="C83" s="76"/>
      <c r="D83" s="76"/>
      <c r="E83" s="77" t="s">
        <v>75</v>
      </c>
      <c r="F83" s="77" t="s">
        <v>75</v>
      </c>
      <c r="G83" s="77" t="s">
        <v>75</v>
      </c>
      <c r="H83" s="77" t="s">
        <v>75</v>
      </c>
      <c r="I83" s="77" t="s">
        <v>75</v>
      </c>
      <c r="J83" s="77" t="s">
        <v>75</v>
      </c>
      <c r="K83" s="77" t="s">
        <v>75</v>
      </c>
      <c r="L83" s="77" t="s">
        <v>75</v>
      </c>
      <c r="M83" s="77" t="s">
        <v>75</v>
      </c>
      <c r="N83" s="77" t="s">
        <v>75</v>
      </c>
      <c r="O83" s="77" t="s">
        <v>75</v>
      </c>
      <c r="P83" s="77" t="s">
        <v>75</v>
      </c>
      <c r="Q83" s="77" t="s">
        <v>75</v>
      </c>
      <c r="R83" s="77" t="s">
        <v>75</v>
      </c>
      <c r="S83" s="78"/>
      <c r="T83" s="7"/>
      <c r="U83" s="6"/>
    </row>
    <row r="84" spans="1:21" ht="15" customHeight="1" x14ac:dyDescent="0.25">
      <c r="A84" s="89" t="s">
        <v>17</v>
      </c>
      <c r="B84" s="89"/>
      <c r="C84" s="89"/>
      <c r="D84" s="45" t="s">
        <v>6</v>
      </c>
      <c r="E84" s="50">
        <f>SUM(F84:R84)</f>
        <v>117526.07238999999</v>
      </c>
      <c r="F84" s="47">
        <f>F86+F87+F85</f>
        <v>23712.69311</v>
      </c>
      <c r="G84" s="48"/>
      <c r="H84" s="48"/>
      <c r="I84" s="48"/>
      <c r="J84" s="49"/>
      <c r="K84" s="47">
        <f>K86+K87+K85</f>
        <v>27353.344819999998</v>
      </c>
      <c r="L84" s="48"/>
      <c r="M84" s="48"/>
      <c r="N84" s="48"/>
      <c r="O84" s="49"/>
      <c r="P84" s="50">
        <f t="shared" ref="P84:R84" si="12">SUM(P85:P87)</f>
        <v>22153.344819999998</v>
      </c>
      <c r="Q84" s="50">
        <f t="shared" si="12"/>
        <v>22153.344819999998</v>
      </c>
      <c r="R84" s="50">
        <f t="shared" si="12"/>
        <v>22153.344819999998</v>
      </c>
      <c r="S84" s="51"/>
      <c r="T84" s="6"/>
      <c r="U84" s="6"/>
    </row>
    <row r="85" spans="1:21" ht="37.5" customHeight="1" x14ac:dyDescent="0.25">
      <c r="A85" s="89"/>
      <c r="B85" s="89"/>
      <c r="C85" s="89"/>
      <c r="D85" s="45" t="s">
        <v>19</v>
      </c>
      <c r="E85" s="50">
        <f>SUM(F85:R85)</f>
        <v>1157.7379999999998</v>
      </c>
      <c r="F85" s="47">
        <f>F41</f>
        <v>1157.7379999999998</v>
      </c>
      <c r="G85" s="48"/>
      <c r="H85" s="48"/>
      <c r="I85" s="48"/>
      <c r="J85" s="49"/>
      <c r="K85" s="47">
        <f>K41</f>
        <v>0</v>
      </c>
      <c r="L85" s="48"/>
      <c r="M85" s="48"/>
      <c r="N85" s="48"/>
      <c r="O85" s="49"/>
      <c r="P85" s="50">
        <f t="shared" ref="P85:R85" si="13">P41</f>
        <v>0</v>
      </c>
      <c r="Q85" s="50">
        <f t="shared" si="13"/>
        <v>0</v>
      </c>
      <c r="R85" s="50">
        <f t="shared" si="13"/>
        <v>0</v>
      </c>
      <c r="S85" s="51"/>
      <c r="T85" s="6"/>
      <c r="U85" s="6"/>
    </row>
    <row r="86" spans="1:21" ht="48.75" customHeight="1" x14ac:dyDescent="0.25">
      <c r="A86" s="89"/>
      <c r="B86" s="89"/>
      <c r="C86" s="89"/>
      <c r="D86" s="45" t="s">
        <v>8</v>
      </c>
      <c r="E86" s="50">
        <f>SUM(F86:R86)</f>
        <v>112870.30682999999</v>
      </c>
      <c r="F86" s="47">
        <f>F42+F66</f>
        <v>21370.127549999997</v>
      </c>
      <c r="G86" s="48"/>
      <c r="H86" s="48"/>
      <c r="I86" s="48"/>
      <c r="J86" s="49"/>
      <c r="K86" s="47">
        <f>K42+K66</f>
        <v>26775.044819999999</v>
      </c>
      <c r="L86" s="48"/>
      <c r="M86" s="48"/>
      <c r="N86" s="48"/>
      <c r="O86" s="49"/>
      <c r="P86" s="50">
        <f t="shared" ref="P86:R87" si="14">P42+P66</f>
        <v>21575.044819999999</v>
      </c>
      <c r="Q86" s="50">
        <f t="shared" si="14"/>
        <v>21575.044819999999</v>
      </c>
      <c r="R86" s="50">
        <f t="shared" si="14"/>
        <v>21575.044819999999</v>
      </c>
      <c r="S86" s="51"/>
      <c r="T86" s="6"/>
      <c r="U86" s="6"/>
    </row>
    <row r="87" spans="1:21" ht="21" customHeight="1" x14ac:dyDescent="0.25">
      <c r="A87" s="89"/>
      <c r="B87" s="89"/>
      <c r="C87" s="89"/>
      <c r="D87" s="94" t="s">
        <v>20</v>
      </c>
      <c r="E87" s="50">
        <f>SUM(F87:R87)</f>
        <v>3498.0275600000004</v>
      </c>
      <c r="F87" s="47">
        <f>F43+F67</f>
        <v>1184.8275599999999</v>
      </c>
      <c r="G87" s="48"/>
      <c r="H87" s="48"/>
      <c r="I87" s="48"/>
      <c r="J87" s="49"/>
      <c r="K87" s="47">
        <f>K43+K67</f>
        <v>578.29999999999995</v>
      </c>
      <c r="L87" s="48"/>
      <c r="M87" s="48"/>
      <c r="N87" s="48"/>
      <c r="O87" s="49"/>
      <c r="P87" s="50">
        <f t="shared" si="14"/>
        <v>578.29999999999995</v>
      </c>
      <c r="Q87" s="50">
        <f t="shared" si="14"/>
        <v>578.29999999999995</v>
      </c>
      <c r="R87" s="50">
        <f t="shared" si="14"/>
        <v>578.29999999999995</v>
      </c>
      <c r="S87" s="51"/>
      <c r="T87" s="6"/>
      <c r="U87" s="6"/>
    </row>
    <row r="88" spans="1:21" ht="24.75" customHeight="1" x14ac:dyDescent="0.3">
      <c r="A88" s="90" t="s">
        <v>184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5"/>
      <c r="U88" s="6"/>
    </row>
    <row r="89" spans="1:21" ht="18.75" x14ac:dyDescent="0.3">
      <c r="A89" s="43">
        <v>1</v>
      </c>
      <c r="B89" s="44" t="s">
        <v>128</v>
      </c>
      <c r="C89" s="91" t="s">
        <v>44</v>
      </c>
      <c r="D89" s="45" t="s">
        <v>6</v>
      </c>
      <c r="E89" s="50">
        <f t="shared" ref="E89:E96" si="15">SUM(F89:R89)</f>
        <v>422368.89142000006</v>
      </c>
      <c r="F89" s="47">
        <f>F90+F91+F92+F93</f>
        <v>86307.94690000001</v>
      </c>
      <c r="G89" s="48"/>
      <c r="H89" s="48"/>
      <c r="I89" s="48"/>
      <c r="J89" s="49"/>
      <c r="K89" s="47">
        <f>K90+K91+K92+K93</f>
        <v>84655.148630000011</v>
      </c>
      <c r="L89" s="48"/>
      <c r="M89" s="48"/>
      <c r="N89" s="48"/>
      <c r="O89" s="49"/>
      <c r="P89" s="50">
        <f>SUM(P90:P93)</f>
        <v>84687.168630000015</v>
      </c>
      <c r="Q89" s="50">
        <f>SUM(Q90:Q93)</f>
        <v>84687.118630000012</v>
      </c>
      <c r="R89" s="50">
        <f>SUM(R90:R93)</f>
        <v>82031.508630000011</v>
      </c>
      <c r="S89" s="51" t="s">
        <v>22</v>
      </c>
      <c r="T89" s="5"/>
      <c r="U89" s="6"/>
    </row>
    <row r="90" spans="1:21" ht="31.5" x14ac:dyDescent="0.3">
      <c r="A90" s="43"/>
      <c r="B90" s="44"/>
      <c r="C90" s="92"/>
      <c r="D90" s="45" t="s">
        <v>23</v>
      </c>
      <c r="E90" s="50">
        <f t="shared" si="15"/>
        <v>3344.2290000000003</v>
      </c>
      <c r="F90" s="47">
        <f>F107</f>
        <v>704.029</v>
      </c>
      <c r="G90" s="48"/>
      <c r="H90" s="48"/>
      <c r="I90" s="48"/>
      <c r="J90" s="49"/>
      <c r="K90" s="47">
        <f>K107</f>
        <v>916.80000000000007</v>
      </c>
      <c r="L90" s="48"/>
      <c r="M90" s="48"/>
      <c r="N90" s="48"/>
      <c r="O90" s="49"/>
      <c r="P90" s="50">
        <f t="shared" ref="P90:R90" si="16">P107</f>
        <v>894.85</v>
      </c>
      <c r="Q90" s="50">
        <f t="shared" si="16"/>
        <v>828.55</v>
      </c>
      <c r="R90" s="50">
        <f t="shared" si="16"/>
        <v>0</v>
      </c>
      <c r="S90" s="51"/>
      <c r="T90" s="5"/>
      <c r="U90" s="6"/>
    </row>
    <row r="91" spans="1:21" ht="36.75" customHeight="1" x14ac:dyDescent="0.3">
      <c r="A91" s="43"/>
      <c r="B91" s="44"/>
      <c r="C91" s="92"/>
      <c r="D91" s="45" t="s">
        <v>19</v>
      </c>
      <c r="E91" s="50">
        <f t="shared" si="15"/>
        <v>8205.3686500000003</v>
      </c>
      <c r="F91" s="47">
        <f>F101+F108+F114</f>
        <v>5894.1886500000001</v>
      </c>
      <c r="G91" s="48"/>
      <c r="H91" s="48"/>
      <c r="I91" s="48"/>
      <c r="J91" s="49"/>
      <c r="K91" s="47">
        <f>O101+K108+K114</f>
        <v>720.34999999999991</v>
      </c>
      <c r="L91" s="48"/>
      <c r="M91" s="48"/>
      <c r="N91" s="48"/>
      <c r="O91" s="49"/>
      <c r="P91" s="50">
        <f t="shared" ref="P91:R91" si="17">P101+P108+P114</f>
        <v>762.28000000000009</v>
      </c>
      <c r="Q91" s="50">
        <f t="shared" si="17"/>
        <v>828.55</v>
      </c>
      <c r="R91" s="50">
        <f t="shared" si="17"/>
        <v>0</v>
      </c>
      <c r="S91" s="51"/>
      <c r="T91" s="5"/>
      <c r="U91" s="6"/>
    </row>
    <row r="92" spans="1:21" ht="49.9" customHeight="1" x14ac:dyDescent="0.3">
      <c r="A92" s="43"/>
      <c r="B92" s="44"/>
      <c r="C92" s="92"/>
      <c r="D92" s="45" t="s">
        <v>8</v>
      </c>
      <c r="E92" s="50">
        <f t="shared" si="15"/>
        <v>402900.18373000005</v>
      </c>
      <c r="F92" s="47">
        <f>F95+F102+F109</f>
        <v>76831.821210000009</v>
      </c>
      <c r="G92" s="48"/>
      <c r="H92" s="48"/>
      <c r="I92" s="48"/>
      <c r="J92" s="49"/>
      <c r="K92" s="47">
        <f>K95+K102+K109</f>
        <v>81757.698130000019</v>
      </c>
      <c r="L92" s="48"/>
      <c r="M92" s="48"/>
      <c r="N92" s="48"/>
      <c r="O92" s="49"/>
      <c r="P92" s="50">
        <f t="shared" ref="P92:R92" si="18">P95+P102+P109</f>
        <v>81769.738130000012</v>
      </c>
      <c r="Q92" s="50">
        <f t="shared" si="18"/>
        <v>81769.718130000008</v>
      </c>
      <c r="R92" s="50">
        <f t="shared" si="18"/>
        <v>80771.208130000014</v>
      </c>
      <c r="S92" s="51"/>
      <c r="T92" s="5"/>
      <c r="U92" s="6"/>
    </row>
    <row r="93" spans="1:21" ht="33" customHeight="1" x14ac:dyDescent="0.3">
      <c r="A93" s="43"/>
      <c r="B93" s="44"/>
      <c r="C93" s="93"/>
      <c r="D93" s="94" t="s">
        <v>20</v>
      </c>
      <c r="E93" s="50">
        <f t="shared" si="15"/>
        <v>7919.1100400000014</v>
      </c>
      <c r="F93" s="47">
        <f>F96</f>
        <v>2877.9080400000003</v>
      </c>
      <c r="G93" s="48"/>
      <c r="H93" s="48"/>
      <c r="I93" s="48"/>
      <c r="J93" s="49"/>
      <c r="K93" s="47">
        <f>K96</f>
        <v>1260.3005000000001</v>
      </c>
      <c r="L93" s="48"/>
      <c r="M93" s="48"/>
      <c r="N93" s="48"/>
      <c r="O93" s="49"/>
      <c r="P93" s="50">
        <f t="shared" ref="P93:R93" si="19">P96</f>
        <v>1260.3005000000001</v>
      </c>
      <c r="Q93" s="50">
        <f t="shared" si="19"/>
        <v>1260.3005000000001</v>
      </c>
      <c r="R93" s="50">
        <f t="shared" si="19"/>
        <v>1260.3005000000001</v>
      </c>
      <c r="S93" s="51"/>
      <c r="T93" s="5"/>
      <c r="U93" s="6"/>
    </row>
    <row r="94" spans="1:21" ht="18.75" customHeight="1" x14ac:dyDescent="0.3">
      <c r="A94" s="99" t="s">
        <v>9</v>
      </c>
      <c r="B94" s="55" t="s">
        <v>48</v>
      </c>
      <c r="C94" s="56" t="s">
        <v>44</v>
      </c>
      <c r="D94" s="45" t="s">
        <v>6</v>
      </c>
      <c r="E94" s="50">
        <f t="shared" si="15"/>
        <v>401092.96377000003</v>
      </c>
      <c r="F94" s="47">
        <f>F95+F96</f>
        <v>76966.929250000001</v>
      </c>
      <c r="G94" s="48"/>
      <c r="H94" s="48"/>
      <c r="I94" s="48"/>
      <c r="J94" s="49"/>
      <c r="K94" s="47">
        <f>K95+K96</f>
        <v>81031.508630000011</v>
      </c>
      <c r="L94" s="48"/>
      <c r="M94" s="48"/>
      <c r="N94" s="48"/>
      <c r="O94" s="49"/>
      <c r="P94" s="50">
        <f>SUM(P95:P96)</f>
        <v>81031.508630000011</v>
      </c>
      <c r="Q94" s="50">
        <f>SUM(Q95:Q96)</f>
        <v>81031.508630000011</v>
      </c>
      <c r="R94" s="50">
        <f>SUM(R95:R96)</f>
        <v>81031.508630000011</v>
      </c>
      <c r="S94" s="57" t="s">
        <v>22</v>
      </c>
      <c r="T94" s="5"/>
      <c r="U94" s="6"/>
    </row>
    <row r="95" spans="1:21" ht="47.25" x14ac:dyDescent="0.3">
      <c r="A95" s="100"/>
      <c r="B95" s="55"/>
      <c r="C95" s="56"/>
      <c r="D95" s="60" t="s">
        <v>8</v>
      </c>
      <c r="E95" s="50">
        <f t="shared" si="15"/>
        <v>393173.85373000009</v>
      </c>
      <c r="F95" s="62">
        <v>74089.021210000006</v>
      </c>
      <c r="G95" s="63"/>
      <c r="H95" s="63"/>
      <c r="I95" s="63"/>
      <c r="J95" s="64"/>
      <c r="K95" s="62">
        <f>74089.02121+5682.18692</f>
        <v>79771.208130000014</v>
      </c>
      <c r="L95" s="63"/>
      <c r="M95" s="63"/>
      <c r="N95" s="63"/>
      <c r="O95" s="64"/>
      <c r="P95" s="65">
        <f>74089.02121+5682.18692</f>
        <v>79771.208130000014</v>
      </c>
      <c r="Q95" s="65">
        <f t="shared" ref="Q95:R95" si="20">74089.02121+5682.18692</f>
        <v>79771.208130000014</v>
      </c>
      <c r="R95" s="65">
        <f t="shared" si="20"/>
        <v>79771.208130000014</v>
      </c>
      <c r="S95" s="66"/>
      <c r="T95" s="9"/>
      <c r="U95" s="6"/>
    </row>
    <row r="96" spans="1:21" ht="18.75" x14ac:dyDescent="0.3">
      <c r="A96" s="100"/>
      <c r="B96" s="55"/>
      <c r="C96" s="56"/>
      <c r="D96" s="95" t="s">
        <v>20</v>
      </c>
      <c r="E96" s="50">
        <f t="shared" si="15"/>
        <v>7919.1100400000014</v>
      </c>
      <c r="F96" s="62">
        <f>1260.3005+900-81+798.60754</f>
        <v>2877.9080400000003</v>
      </c>
      <c r="G96" s="63"/>
      <c r="H96" s="63"/>
      <c r="I96" s="63"/>
      <c r="J96" s="64"/>
      <c r="K96" s="62">
        <v>1260.3005000000001</v>
      </c>
      <c r="L96" s="63"/>
      <c r="M96" s="63"/>
      <c r="N96" s="63"/>
      <c r="O96" s="64"/>
      <c r="P96" s="65">
        <v>1260.3005000000001</v>
      </c>
      <c r="Q96" s="65">
        <v>1260.3005000000001</v>
      </c>
      <c r="R96" s="65">
        <v>1260.3005000000001</v>
      </c>
      <c r="S96" s="66"/>
      <c r="T96" s="9"/>
      <c r="U96" s="6"/>
    </row>
    <row r="97" spans="1:21" ht="18.75" customHeight="1" x14ac:dyDescent="0.3">
      <c r="A97" s="100"/>
      <c r="B97" s="85" t="s">
        <v>129</v>
      </c>
      <c r="C97" s="67" t="s">
        <v>44</v>
      </c>
      <c r="D97" s="67" t="s">
        <v>75</v>
      </c>
      <c r="E97" s="68" t="s">
        <v>76</v>
      </c>
      <c r="F97" s="68" t="s">
        <v>77</v>
      </c>
      <c r="G97" s="69" t="s">
        <v>78</v>
      </c>
      <c r="H97" s="70"/>
      <c r="I97" s="70"/>
      <c r="J97" s="71"/>
      <c r="K97" s="68" t="s">
        <v>194</v>
      </c>
      <c r="L97" s="69" t="s">
        <v>78</v>
      </c>
      <c r="M97" s="70"/>
      <c r="N97" s="70"/>
      <c r="O97" s="71"/>
      <c r="P97" s="31" t="s">
        <v>41</v>
      </c>
      <c r="Q97" s="31" t="s">
        <v>42</v>
      </c>
      <c r="R97" s="31" t="s">
        <v>43</v>
      </c>
      <c r="S97" s="66"/>
      <c r="T97" s="9"/>
      <c r="U97" s="6"/>
    </row>
    <row r="98" spans="1:21" ht="18.75" x14ac:dyDescent="0.3">
      <c r="A98" s="100"/>
      <c r="B98" s="86"/>
      <c r="C98" s="72"/>
      <c r="D98" s="72"/>
      <c r="E98" s="73"/>
      <c r="F98" s="73"/>
      <c r="G98" s="74" t="s">
        <v>79</v>
      </c>
      <c r="H98" s="74" t="s">
        <v>80</v>
      </c>
      <c r="I98" s="74" t="s">
        <v>81</v>
      </c>
      <c r="J98" s="74" t="s">
        <v>82</v>
      </c>
      <c r="K98" s="73"/>
      <c r="L98" s="74" t="s">
        <v>79</v>
      </c>
      <c r="M98" s="74" t="s">
        <v>80</v>
      </c>
      <c r="N98" s="74" t="s">
        <v>81</v>
      </c>
      <c r="O98" s="74" t="s">
        <v>82</v>
      </c>
      <c r="P98" s="31"/>
      <c r="Q98" s="31"/>
      <c r="R98" s="31"/>
      <c r="S98" s="66"/>
      <c r="T98" s="9"/>
      <c r="U98" s="6"/>
    </row>
    <row r="99" spans="1:21" ht="18.75" x14ac:dyDescent="0.3">
      <c r="A99" s="101"/>
      <c r="B99" s="87"/>
      <c r="C99" s="76"/>
      <c r="D99" s="76"/>
      <c r="E99" s="96">
        <v>45</v>
      </c>
      <c r="F99" s="96">
        <v>46</v>
      </c>
      <c r="G99" s="96">
        <v>46</v>
      </c>
      <c r="H99" s="96">
        <v>46</v>
      </c>
      <c r="I99" s="96">
        <v>46</v>
      </c>
      <c r="J99" s="96">
        <v>46</v>
      </c>
      <c r="K99" s="96">
        <v>45</v>
      </c>
      <c r="L99" s="96">
        <v>45</v>
      </c>
      <c r="M99" s="96">
        <v>45</v>
      </c>
      <c r="N99" s="96">
        <v>45</v>
      </c>
      <c r="O99" s="96">
        <v>45</v>
      </c>
      <c r="P99" s="96">
        <v>45</v>
      </c>
      <c r="Q99" s="96">
        <v>45</v>
      </c>
      <c r="R99" s="96">
        <v>45</v>
      </c>
      <c r="S99" s="78"/>
      <c r="T99" s="9"/>
      <c r="U99" s="6"/>
    </row>
    <row r="100" spans="1:21" ht="18.75" customHeight="1" x14ac:dyDescent="0.3">
      <c r="A100" s="99" t="s">
        <v>10</v>
      </c>
      <c r="B100" s="55" t="s">
        <v>130</v>
      </c>
      <c r="C100" s="56" t="s">
        <v>44</v>
      </c>
      <c r="D100" s="45" t="s">
        <v>6</v>
      </c>
      <c r="E100" s="50">
        <f>SUM(F100:R100)</f>
        <v>5945.7550300000003</v>
      </c>
      <c r="F100" s="47">
        <f>F101+F102</f>
        <v>1945.75503</v>
      </c>
      <c r="G100" s="48"/>
      <c r="H100" s="48"/>
      <c r="I100" s="48"/>
      <c r="J100" s="49"/>
      <c r="K100" s="47">
        <f>K101+K102</f>
        <v>1000</v>
      </c>
      <c r="L100" s="48"/>
      <c r="M100" s="48"/>
      <c r="N100" s="48"/>
      <c r="O100" s="49"/>
      <c r="P100" s="50">
        <f>SUM(P101:P102)</f>
        <v>1000</v>
      </c>
      <c r="Q100" s="50">
        <f>SUM(Q101:Q102)</f>
        <v>1000</v>
      </c>
      <c r="R100" s="50">
        <f>SUM(R101:R102)</f>
        <v>1000</v>
      </c>
      <c r="S100" s="57" t="s">
        <v>22</v>
      </c>
      <c r="T100" s="9"/>
      <c r="U100" s="6"/>
    </row>
    <row r="101" spans="1:21" ht="31.5" hidden="1" outlineLevel="1" x14ac:dyDescent="0.3">
      <c r="A101" s="100"/>
      <c r="B101" s="55"/>
      <c r="C101" s="56"/>
      <c r="D101" s="60" t="s">
        <v>19</v>
      </c>
      <c r="E101" s="50">
        <f>SUM(F101:R101)</f>
        <v>0</v>
      </c>
      <c r="F101" s="62">
        <v>0</v>
      </c>
      <c r="G101" s="63"/>
      <c r="H101" s="63"/>
      <c r="I101" s="63"/>
      <c r="J101" s="64"/>
      <c r="K101" s="102"/>
      <c r="L101" s="102"/>
      <c r="M101" s="102"/>
      <c r="N101" s="102"/>
      <c r="O101" s="65">
        <v>0</v>
      </c>
      <c r="P101" s="65">
        <v>0</v>
      </c>
      <c r="Q101" s="65">
        <v>0</v>
      </c>
      <c r="R101" s="65">
        <v>0</v>
      </c>
      <c r="S101" s="66"/>
      <c r="T101" s="9"/>
      <c r="U101" s="6"/>
    </row>
    <row r="102" spans="1:21" ht="63" customHeight="1" collapsed="1" x14ac:dyDescent="0.3">
      <c r="A102" s="100"/>
      <c r="B102" s="55"/>
      <c r="C102" s="56"/>
      <c r="D102" s="60" t="s">
        <v>8</v>
      </c>
      <c r="E102" s="50">
        <f>SUM(F102:R102)</f>
        <v>5945.7550300000003</v>
      </c>
      <c r="F102" s="62">
        <f>1945.75+0.00503</f>
        <v>1945.75503</v>
      </c>
      <c r="G102" s="63"/>
      <c r="H102" s="63"/>
      <c r="I102" s="63"/>
      <c r="J102" s="64"/>
      <c r="K102" s="62">
        <f>1945.75+0.00226-945.75226</f>
        <v>1000</v>
      </c>
      <c r="L102" s="63"/>
      <c r="M102" s="63"/>
      <c r="N102" s="63"/>
      <c r="O102" s="64"/>
      <c r="P102" s="65">
        <f>1945.75+0.00279-945.75279</f>
        <v>1000</v>
      </c>
      <c r="Q102" s="65">
        <f>1945.75-945.75</f>
        <v>1000</v>
      </c>
      <c r="R102" s="65">
        <f>1945.75-945.75</f>
        <v>1000</v>
      </c>
      <c r="S102" s="66"/>
      <c r="T102" s="9"/>
      <c r="U102" s="6"/>
    </row>
    <row r="103" spans="1:21" ht="18.75" customHeight="1" x14ac:dyDescent="0.3">
      <c r="A103" s="100"/>
      <c r="B103" s="85" t="s">
        <v>131</v>
      </c>
      <c r="C103" s="67" t="s">
        <v>44</v>
      </c>
      <c r="D103" s="67" t="s">
        <v>75</v>
      </c>
      <c r="E103" s="68" t="s">
        <v>76</v>
      </c>
      <c r="F103" s="68" t="s">
        <v>77</v>
      </c>
      <c r="G103" s="69" t="s">
        <v>78</v>
      </c>
      <c r="H103" s="70"/>
      <c r="I103" s="70"/>
      <c r="J103" s="71"/>
      <c r="K103" s="68" t="s">
        <v>194</v>
      </c>
      <c r="L103" s="69" t="s">
        <v>78</v>
      </c>
      <c r="M103" s="70"/>
      <c r="N103" s="70"/>
      <c r="O103" s="71"/>
      <c r="P103" s="31" t="s">
        <v>41</v>
      </c>
      <c r="Q103" s="31" t="s">
        <v>42</v>
      </c>
      <c r="R103" s="31" t="s">
        <v>43</v>
      </c>
      <c r="S103" s="66"/>
      <c r="T103" s="9"/>
      <c r="U103" s="6"/>
    </row>
    <row r="104" spans="1:21" ht="18.75" x14ac:dyDescent="0.3">
      <c r="A104" s="100"/>
      <c r="B104" s="86"/>
      <c r="C104" s="72"/>
      <c r="D104" s="72"/>
      <c r="E104" s="73"/>
      <c r="F104" s="73"/>
      <c r="G104" s="74" t="s">
        <v>79</v>
      </c>
      <c r="H104" s="74" t="s">
        <v>80</v>
      </c>
      <c r="I104" s="74" t="s">
        <v>81</v>
      </c>
      <c r="J104" s="74" t="s">
        <v>82</v>
      </c>
      <c r="K104" s="73"/>
      <c r="L104" s="74" t="s">
        <v>79</v>
      </c>
      <c r="M104" s="74" t="s">
        <v>80</v>
      </c>
      <c r="N104" s="74" t="s">
        <v>81</v>
      </c>
      <c r="O104" s="74" t="s">
        <v>82</v>
      </c>
      <c r="P104" s="31"/>
      <c r="Q104" s="31"/>
      <c r="R104" s="31"/>
      <c r="S104" s="66"/>
      <c r="T104" s="9"/>
      <c r="U104" s="6"/>
    </row>
    <row r="105" spans="1:21" ht="83.25" customHeight="1" x14ac:dyDescent="0.3">
      <c r="A105" s="101"/>
      <c r="B105" s="87"/>
      <c r="C105" s="76"/>
      <c r="D105" s="76"/>
      <c r="E105" s="96">
        <v>45</v>
      </c>
      <c r="F105" s="96">
        <v>46</v>
      </c>
      <c r="G105" s="96">
        <v>46</v>
      </c>
      <c r="H105" s="96">
        <v>46</v>
      </c>
      <c r="I105" s="96">
        <v>46</v>
      </c>
      <c r="J105" s="96">
        <v>46</v>
      </c>
      <c r="K105" s="96">
        <v>45</v>
      </c>
      <c r="L105" s="96">
        <v>45</v>
      </c>
      <c r="M105" s="96">
        <v>45</v>
      </c>
      <c r="N105" s="96">
        <v>45</v>
      </c>
      <c r="O105" s="96">
        <v>45</v>
      </c>
      <c r="P105" s="96">
        <v>45</v>
      </c>
      <c r="Q105" s="96">
        <v>45</v>
      </c>
      <c r="R105" s="96">
        <v>45</v>
      </c>
      <c r="S105" s="78"/>
      <c r="T105" s="9"/>
      <c r="U105" s="6"/>
    </row>
    <row r="106" spans="1:21" ht="18.75" customHeight="1" x14ac:dyDescent="0.3">
      <c r="A106" s="99" t="s">
        <v>21</v>
      </c>
      <c r="B106" s="55" t="s">
        <v>49</v>
      </c>
      <c r="C106" s="55" t="s">
        <v>44</v>
      </c>
      <c r="D106" s="45" t="s">
        <v>6</v>
      </c>
      <c r="E106" s="50">
        <f>SUM(F106:R106)</f>
        <v>9989.1496200000001</v>
      </c>
      <c r="F106" s="47">
        <f>F107+F108+F109</f>
        <v>2054.2396199999998</v>
      </c>
      <c r="G106" s="48"/>
      <c r="H106" s="48"/>
      <c r="I106" s="48"/>
      <c r="J106" s="49"/>
      <c r="K106" s="47">
        <f>K107+K108+K109</f>
        <v>2623.6400000000003</v>
      </c>
      <c r="L106" s="48"/>
      <c r="M106" s="48"/>
      <c r="N106" s="48"/>
      <c r="O106" s="49"/>
      <c r="P106" s="50">
        <f>SUM(P107:P109)</f>
        <v>2655.6600000000003</v>
      </c>
      <c r="Q106" s="50">
        <f>SUM(Q107:Q109)</f>
        <v>2655.6099999999997</v>
      </c>
      <c r="R106" s="50">
        <f>SUM(R107:R109)</f>
        <v>0</v>
      </c>
      <c r="S106" s="57" t="s">
        <v>22</v>
      </c>
      <c r="T106" s="9"/>
      <c r="U106" s="6"/>
    </row>
    <row r="107" spans="1:21" ht="31.5" x14ac:dyDescent="0.3">
      <c r="A107" s="100"/>
      <c r="B107" s="55"/>
      <c r="C107" s="55"/>
      <c r="D107" s="60" t="s">
        <v>23</v>
      </c>
      <c r="E107" s="50">
        <f>SUM(F107:R107)</f>
        <v>3344.2290000000003</v>
      </c>
      <c r="F107" s="62">
        <f>704.03-0.001</f>
        <v>704.029</v>
      </c>
      <c r="G107" s="63"/>
      <c r="H107" s="63"/>
      <c r="I107" s="63"/>
      <c r="J107" s="64"/>
      <c r="K107" s="62">
        <f>707.96+0.00212+208.83788</f>
        <v>916.80000000000007</v>
      </c>
      <c r="L107" s="63"/>
      <c r="M107" s="63"/>
      <c r="N107" s="63"/>
      <c r="O107" s="64"/>
      <c r="P107" s="65">
        <f>694.87+0.00441+199.97559</f>
        <v>894.85</v>
      </c>
      <c r="Q107" s="65">
        <v>828.55</v>
      </c>
      <c r="R107" s="65">
        <v>0</v>
      </c>
      <c r="S107" s="66"/>
      <c r="T107" s="9"/>
      <c r="U107" s="6"/>
    </row>
    <row r="108" spans="1:21" ht="31.5" x14ac:dyDescent="0.3">
      <c r="A108" s="100"/>
      <c r="B108" s="55"/>
      <c r="C108" s="55"/>
      <c r="D108" s="60" t="s">
        <v>19</v>
      </c>
      <c r="E108" s="50">
        <f>SUM(F108:R108)</f>
        <v>2864.3456500000002</v>
      </c>
      <c r="F108" s="62">
        <f>553.17-0.00435</f>
        <v>553.16564999999991</v>
      </c>
      <c r="G108" s="63"/>
      <c r="H108" s="63"/>
      <c r="I108" s="63"/>
      <c r="J108" s="64"/>
      <c r="K108" s="62">
        <f>556.26-0.00404+164.09404</f>
        <v>720.34999999999991</v>
      </c>
      <c r="L108" s="63"/>
      <c r="M108" s="63"/>
      <c r="N108" s="63"/>
      <c r="O108" s="64"/>
      <c r="P108" s="65">
        <f>591.94-0.00995+170.34995</f>
        <v>762.28000000000009</v>
      </c>
      <c r="Q108" s="65">
        <v>828.55</v>
      </c>
      <c r="R108" s="65">
        <v>0</v>
      </c>
      <c r="S108" s="66"/>
      <c r="T108" s="9"/>
      <c r="U108" s="6"/>
    </row>
    <row r="109" spans="1:21" ht="47.25" x14ac:dyDescent="0.3">
      <c r="A109" s="100"/>
      <c r="B109" s="55"/>
      <c r="C109" s="55"/>
      <c r="D109" s="60" t="s">
        <v>8</v>
      </c>
      <c r="E109" s="50">
        <f>SUM(F109:R109)</f>
        <v>3780.5749699999997</v>
      </c>
      <c r="F109" s="62">
        <f>797.05-0.00503</f>
        <v>797.04496999999992</v>
      </c>
      <c r="G109" s="63"/>
      <c r="H109" s="63"/>
      <c r="I109" s="63"/>
      <c r="J109" s="64"/>
      <c r="K109" s="62">
        <f>801.5-0.00226+184.99226</f>
        <v>986.49</v>
      </c>
      <c r="L109" s="63"/>
      <c r="M109" s="63"/>
      <c r="N109" s="63"/>
      <c r="O109" s="64"/>
      <c r="P109" s="65">
        <f>815.82-0.00279+182.71279</f>
        <v>998.53000000000009</v>
      </c>
      <c r="Q109" s="65">
        <f>998.50497+0.00503</f>
        <v>998.51</v>
      </c>
      <c r="R109" s="65">
        <f>998.50497+0.00503-998.51</f>
        <v>0</v>
      </c>
      <c r="S109" s="66"/>
      <c r="T109" s="9"/>
      <c r="U109" s="6"/>
    </row>
    <row r="110" spans="1:21" ht="18.75" customHeight="1" x14ac:dyDescent="0.3">
      <c r="A110" s="100"/>
      <c r="B110" s="67" t="s">
        <v>114</v>
      </c>
      <c r="C110" s="67" t="s">
        <v>44</v>
      </c>
      <c r="D110" s="67" t="s">
        <v>75</v>
      </c>
      <c r="E110" s="68" t="s">
        <v>76</v>
      </c>
      <c r="F110" s="68" t="s">
        <v>77</v>
      </c>
      <c r="G110" s="69" t="s">
        <v>78</v>
      </c>
      <c r="H110" s="70"/>
      <c r="I110" s="70"/>
      <c r="J110" s="71"/>
      <c r="K110" s="68" t="s">
        <v>194</v>
      </c>
      <c r="L110" s="69" t="s">
        <v>78</v>
      </c>
      <c r="M110" s="70"/>
      <c r="N110" s="70"/>
      <c r="O110" s="71"/>
      <c r="P110" s="31" t="s">
        <v>41</v>
      </c>
      <c r="Q110" s="31" t="s">
        <v>42</v>
      </c>
      <c r="R110" s="31" t="s">
        <v>43</v>
      </c>
      <c r="S110" s="66"/>
      <c r="T110" s="9"/>
      <c r="U110" s="6"/>
    </row>
    <row r="111" spans="1:21" ht="18.75" x14ac:dyDescent="0.3">
      <c r="A111" s="100"/>
      <c r="B111" s="72"/>
      <c r="C111" s="72"/>
      <c r="D111" s="72"/>
      <c r="E111" s="73"/>
      <c r="F111" s="73"/>
      <c r="G111" s="74" t="s">
        <v>79</v>
      </c>
      <c r="H111" s="74" t="s">
        <v>80</v>
      </c>
      <c r="I111" s="74" t="s">
        <v>81</v>
      </c>
      <c r="J111" s="74" t="s">
        <v>82</v>
      </c>
      <c r="K111" s="73"/>
      <c r="L111" s="74" t="s">
        <v>79</v>
      </c>
      <c r="M111" s="74" t="s">
        <v>80</v>
      </c>
      <c r="N111" s="74" t="s">
        <v>81</v>
      </c>
      <c r="O111" s="74" t="s">
        <v>82</v>
      </c>
      <c r="P111" s="31"/>
      <c r="Q111" s="31"/>
      <c r="R111" s="31"/>
      <c r="S111" s="66"/>
      <c r="T111" s="9"/>
      <c r="U111" s="6"/>
    </row>
    <row r="112" spans="1:21" ht="29.25" customHeight="1" x14ac:dyDescent="0.3">
      <c r="A112" s="101"/>
      <c r="B112" s="76"/>
      <c r="C112" s="76"/>
      <c r="D112" s="76"/>
      <c r="E112" s="96">
        <v>1</v>
      </c>
      <c r="F112" s="96">
        <v>1</v>
      </c>
      <c r="G112" s="96" t="s">
        <v>75</v>
      </c>
      <c r="H112" s="96" t="s">
        <v>75</v>
      </c>
      <c r="I112" s="96" t="s">
        <v>75</v>
      </c>
      <c r="J112" s="96">
        <v>1</v>
      </c>
      <c r="K112" s="96">
        <v>1</v>
      </c>
      <c r="L112" s="96" t="s">
        <v>75</v>
      </c>
      <c r="M112" s="96" t="s">
        <v>75</v>
      </c>
      <c r="N112" s="96" t="s">
        <v>75</v>
      </c>
      <c r="O112" s="96">
        <v>1</v>
      </c>
      <c r="P112" s="96">
        <v>1</v>
      </c>
      <c r="Q112" s="96">
        <v>1</v>
      </c>
      <c r="R112" s="96" t="s">
        <v>75</v>
      </c>
      <c r="S112" s="78"/>
      <c r="T112" s="9"/>
      <c r="U112" s="6"/>
    </row>
    <row r="113" spans="1:21" ht="29.25" customHeight="1" x14ac:dyDescent="0.3">
      <c r="A113" s="54" t="s">
        <v>178</v>
      </c>
      <c r="B113" s="55" t="s">
        <v>179</v>
      </c>
      <c r="C113" s="85" t="s">
        <v>44</v>
      </c>
      <c r="D113" s="45" t="s">
        <v>6</v>
      </c>
      <c r="E113" s="50">
        <f t="shared" ref="E113:E114" si="21">SUM(F113:R113)</f>
        <v>5341.0230000000001</v>
      </c>
      <c r="F113" s="47">
        <f>SUM(F114:J114)</f>
        <v>5341.0230000000001</v>
      </c>
      <c r="G113" s="48"/>
      <c r="H113" s="48"/>
      <c r="I113" s="48"/>
      <c r="J113" s="49"/>
      <c r="K113" s="47">
        <f>SUM(K114:O114)</f>
        <v>0</v>
      </c>
      <c r="L113" s="48"/>
      <c r="M113" s="48"/>
      <c r="N113" s="48"/>
      <c r="O113" s="49"/>
      <c r="P113" s="50">
        <f>SUM(P114:P114)</f>
        <v>0</v>
      </c>
      <c r="Q113" s="50">
        <f>SUM(Q114:Q114)</f>
        <v>0</v>
      </c>
      <c r="R113" s="50">
        <f>SUM(R114:R114)</f>
        <v>0</v>
      </c>
      <c r="S113" s="57" t="s">
        <v>22</v>
      </c>
      <c r="T113" s="9"/>
      <c r="U113" s="6"/>
    </row>
    <row r="114" spans="1:21" ht="40.5" customHeight="1" x14ac:dyDescent="0.3">
      <c r="A114" s="58"/>
      <c r="B114" s="55"/>
      <c r="C114" s="86"/>
      <c r="D114" s="60" t="s">
        <v>19</v>
      </c>
      <c r="E114" s="50">
        <f t="shared" si="21"/>
        <v>5341.0230000000001</v>
      </c>
      <c r="F114" s="62">
        <f>2523.511+762.1+909.652+1145.76</f>
        <v>5341.0230000000001</v>
      </c>
      <c r="G114" s="63"/>
      <c r="H114" s="63"/>
      <c r="I114" s="63"/>
      <c r="J114" s="64"/>
      <c r="K114" s="62">
        <v>0</v>
      </c>
      <c r="L114" s="63"/>
      <c r="M114" s="63"/>
      <c r="N114" s="63"/>
      <c r="O114" s="64"/>
      <c r="P114" s="65">
        <v>0</v>
      </c>
      <c r="Q114" s="65">
        <v>0</v>
      </c>
      <c r="R114" s="65">
        <v>0</v>
      </c>
      <c r="S114" s="66"/>
      <c r="T114" s="9"/>
      <c r="U114" s="6"/>
    </row>
    <row r="115" spans="1:21" ht="33" customHeight="1" x14ac:dyDescent="0.3">
      <c r="A115" s="58"/>
      <c r="B115" s="67" t="s">
        <v>183</v>
      </c>
      <c r="C115" s="67" t="s">
        <v>44</v>
      </c>
      <c r="D115" s="67" t="s">
        <v>75</v>
      </c>
      <c r="E115" s="68" t="s">
        <v>76</v>
      </c>
      <c r="F115" s="68" t="s">
        <v>77</v>
      </c>
      <c r="G115" s="69" t="s">
        <v>78</v>
      </c>
      <c r="H115" s="70"/>
      <c r="I115" s="70"/>
      <c r="J115" s="71"/>
      <c r="K115" s="68" t="s">
        <v>194</v>
      </c>
      <c r="L115" s="69" t="s">
        <v>78</v>
      </c>
      <c r="M115" s="70"/>
      <c r="N115" s="70"/>
      <c r="O115" s="71"/>
      <c r="P115" s="31" t="s">
        <v>41</v>
      </c>
      <c r="Q115" s="31" t="s">
        <v>42</v>
      </c>
      <c r="R115" s="31" t="s">
        <v>43</v>
      </c>
      <c r="S115" s="66"/>
      <c r="T115" s="9"/>
      <c r="U115" s="6"/>
    </row>
    <row r="116" spans="1:21" ht="44.25" customHeight="1" x14ac:dyDescent="0.3">
      <c r="A116" s="58"/>
      <c r="B116" s="72"/>
      <c r="C116" s="72"/>
      <c r="D116" s="72"/>
      <c r="E116" s="73"/>
      <c r="F116" s="73"/>
      <c r="G116" s="74" t="s">
        <v>79</v>
      </c>
      <c r="H116" s="74" t="s">
        <v>80</v>
      </c>
      <c r="I116" s="74" t="s">
        <v>81</v>
      </c>
      <c r="J116" s="74" t="s">
        <v>82</v>
      </c>
      <c r="K116" s="73"/>
      <c r="L116" s="74" t="s">
        <v>79</v>
      </c>
      <c r="M116" s="74" t="s">
        <v>80</v>
      </c>
      <c r="N116" s="74" t="s">
        <v>81</v>
      </c>
      <c r="O116" s="74" t="s">
        <v>82</v>
      </c>
      <c r="P116" s="31"/>
      <c r="Q116" s="31"/>
      <c r="R116" s="31"/>
      <c r="S116" s="66"/>
      <c r="T116" s="9"/>
      <c r="U116" s="6"/>
    </row>
    <row r="117" spans="1:21" ht="66.75" customHeight="1" x14ac:dyDescent="0.3">
      <c r="A117" s="75"/>
      <c r="B117" s="76"/>
      <c r="C117" s="76"/>
      <c r="D117" s="76"/>
      <c r="E117" s="97">
        <v>96.88</v>
      </c>
      <c r="F117" s="97">
        <v>96.88</v>
      </c>
      <c r="G117" s="77" t="s">
        <v>75</v>
      </c>
      <c r="H117" s="77" t="s">
        <v>75</v>
      </c>
      <c r="I117" s="97">
        <v>96.88</v>
      </c>
      <c r="J117" s="97">
        <v>96.88</v>
      </c>
      <c r="K117" s="77" t="s">
        <v>75</v>
      </c>
      <c r="L117" s="77" t="s">
        <v>75</v>
      </c>
      <c r="M117" s="77" t="s">
        <v>75</v>
      </c>
      <c r="N117" s="77" t="s">
        <v>75</v>
      </c>
      <c r="O117" s="77" t="s">
        <v>75</v>
      </c>
      <c r="P117" s="77" t="s">
        <v>75</v>
      </c>
      <c r="Q117" s="77" t="s">
        <v>75</v>
      </c>
      <c r="R117" s="77" t="s">
        <v>75</v>
      </c>
      <c r="S117" s="78"/>
      <c r="T117" s="9"/>
      <c r="U117" s="6"/>
    </row>
    <row r="118" spans="1:21" ht="18.75" customHeight="1" x14ac:dyDescent="0.3">
      <c r="A118" s="91">
        <v>2</v>
      </c>
      <c r="B118" s="103" t="s">
        <v>132</v>
      </c>
      <c r="C118" s="91" t="s">
        <v>44</v>
      </c>
      <c r="D118" s="45" t="s">
        <v>6</v>
      </c>
      <c r="E118" s="50">
        <f t="shared" ref="E118:E123" si="22">SUM(F118:R118)</f>
        <v>181</v>
      </c>
      <c r="F118" s="47">
        <f>F119+F120</f>
        <v>101</v>
      </c>
      <c r="G118" s="48"/>
      <c r="H118" s="48"/>
      <c r="I118" s="48"/>
      <c r="J118" s="49"/>
      <c r="K118" s="47">
        <f>K119+K120</f>
        <v>20</v>
      </c>
      <c r="L118" s="48"/>
      <c r="M118" s="48"/>
      <c r="N118" s="48"/>
      <c r="O118" s="49"/>
      <c r="P118" s="50">
        <f t="shared" ref="P118:R118" si="23">SUM(P119:P120)</f>
        <v>20</v>
      </c>
      <c r="Q118" s="50">
        <f t="shared" si="23"/>
        <v>20</v>
      </c>
      <c r="R118" s="50">
        <f t="shared" si="23"/>
        <v>20</v>
      </c>
      <c r="S118" s="57" t="s">
        <v>22</v>
      </c>
      <c r="T118" s="9"/>
      <c r="U118" s="6"/>
    </row>
    <row r="119" spans="1:21" ht="57" customHeight="1" x14ac:dyDescent="0.3">
      <c r="A119" s="92"/>
      <c r="B119" s="104"/>
      <c r="C119" s="92"/>
      <c r="D119" s="45" t="s">
        <v>8</v>
      </c>
      <c r="E119" s="50">
        <f t="shared" si="22"/>
        <v>0</v>
      </c>
      <c r="F119" s="47">
        <f>F122+F128+F133</f>
        <v>0</v>
      </c>
      <c r="G119" s="48"/>
      <c r="H119" s="48"/>
      <c r="I119" s="48"/>
      <c r="J119" s="49"/>
      <c r="K119" s="47">
        <f>K122+K128+K133</f>
        <v>0</v>
      </c>
      <c r="L119" s="48"/>
      <c r="M119" s="48"/>
      <c r="N119" s="48"/>
      <c r="O119" s="49"/>
      <c r="P119" s="50">
        <f t="shared" ref="P119:R119" si="24">P122+P128+P133</f>
        <v>0</v>
      </c>
      <c r="Q119" s="50">
        <f t="shared" si="24"/>
        <v>0</v>
      </c>
      <c r="R119" s="50">
        <f t="shared" si="24"/>
        <v>0</v>
      </c>
      <c r="S119" s="66"/>
      <c r="T119" s="9"/>
      <c r="U119" s="6"/>
    </row>
    <row r="120" spans="1:21" ht="21" customHeight="1" x14ac:dyDescent="0.3">
      <c r="A120" s="93"/>
      <c r="B120" s="105"/>
      <c r="C120" s="93"/>
      <c r="D120" s="106" t="s">
        <v>20</v>
      </c>
      <c r="E120" s="50">
        <f t="shared" si="22"/>
        <v>181</v>
      </c>
      <c r="F120" s="47">
        <f>F123</f>
        <v>101</v>
      </c>
      <c r="G120" s="48"/>
      <c r="H120" s="48"/>
      <c r="I120" s="48"/>
      <c r="J120" s="49"/>
      <c r="K120" s="47">
        <f>K123</f>
        <v>20</v>
      </c>
      <c r="L120" s="48"/>
      <c r="M120" s="48"/>
      <c r="N120" s="48"/>
      <c r="O120" s="49"/>
      <c r="P120" s="50">
        <f t="shared" ref="P120:R120" si="25">P123</f>
        <v>20</v>
      </c>
      <c r="Q120" s="50">
        <f t="shared" si="25"/>
        <v>20</v>
      </c>
      <c r="R120" s="50">
        <f t="shared" si="25"/>
        <v>20</v>
      </c>
      <c r="S120" s="78"/>
      <c r="T120" s="9"/>
      <c r="U120" s="6"/>
    </row>
    <row r="121" spans="1:21" ht="18.75" customHeight="1" x14ac:dyDescent="0.3">
      <c r="A121" s="99" t="s">
        <v>12</v>
      </c>
      <c r="B121" s="107" t="s">
        <v>133</v>
      </c>
      <c r="C121" s="85" t="s">
        <v>44</v>
      </c>
      <c r="D121" s="45" t="s">
        <v>6</v>
      </c>
      <c r="E121" s="50">
        <f t="shared" si="22"/>
        <v>181</v>
      </c>
      <c r="F121" s="47">
        <f>F122+F123</f>
        <v>101</v>
      </c>
      <c r="G121" s="48"/>
      <c r="H121" s="48"/>
      <c r="I121" s="48"/>
      <c r="J121" s="49"/>
      <c r="K121" s="47">
        <f>SUM(K122:O123)</f>
        <v>20</v>
      </c>
      <c r="L121" s="48"/>
      <c r="M121" s="48"/>
      <c r="N121" s="48"/>
      <c r="O121" s="49"/>
      <c r="P121" s="50">
        <f t="shared" ref="P121:R121" si="26">SUM(P122:P123)</f>
        <v>20</v>
      </c>
      <c r="Q121" s="50">
        <f t="shared" si="26"/>
        <v>20</v>
      </c>
      <c r="R121" s="50">
        <f t="shared" si="26"/>
        <v>20</v>
      </c>
      <c r="S121" s="57" t="s">
        <v>22</v>
      </c>
      <c r="T121" s="5"/>
      <c r="U121" s="6"/>
    </row>
    <row r="122" spans="1:21" ht="47.25" x14ac:dyDescent="0.3">
      <c r="A122" s="100"/>
      <c r="B122" s="108"/>
      <c r="C122" s="86"/>
      <c r="D122" s="60" t="s">
        <v>8</v>
      </c>
      <c r="E122" s="50">
        <f t="shared" si="22"/>
        <v>0</v>
      </c>
      <c r="F122" s="62">
        <v>0</v>
      </c>
      <c r="G122" s="63"/>
      <c r="H122" s="63"/>
      <c r="I122" s="63"/>
      <c r="J122" s="64"/>
      <c r="K122" s="62">
        <v>0</v>
      </c>
      <c r="L122" s="63"/>
      <c r="M122" s="63"/>
      <c r="N122" s="63"/>
      <c r="O122" s="64"/>
      <c r="P122" s="65">
        <v>0</v>
      </c>
      <c r="Q122" s="65">
        <v>0</v>
      </c>
      <c r="R122" s="65">
        <v>0</v>
      </c>
      <c r="S122" s="66"/>
      <c r="T122" s="5"/>
      <c r="U122" s="6"/>
    </row>
    <row r="123" spans="1:21" ht="18.75" x14ac:dyDescent="0.3">
      <c r="A123" s="100"/>
      <c r="B123" s="109"/>
      <c r="C123" s="87"/>
      <c r="D123" s="110" t="s">
        <v>20</v>
      </c>
      <c r="E123" s="50">
        <f t="shared" si="22"/>
        <v>181</v>
      </c>
      <c r="F123" s="62">
        <f>20+81</f>
        <v>101</v>
      </c>
      <c r="G123" s="63"/>
      <c r="H123" s="63"/>
      <c r="I123" s="63"/>
      <c r="J123" s="64"/>
      <c r="K123" s="62">
        <v>20</v>
      </c>
      <c r="L123" s="63"/>
      <c r="M123" s="63"/>
      <c r="N123" s="63"/>
      <c r="O123" s="64"/>
      <c r="P123" s="65">
        <v>20</v>
      </c>
      <c r="Q123" s="65">
        <v>20</v>
      </c>
      <c r="R123" s="65">
        <v>20</v>
      </c>
      <c r="S123" s="66"/>
      <c r="T123" s="5"/>
      <c r="U123" s="6"/>
    </row>
    <row r="124" spans="1:21" ht="18.75" customHeight="1" x14ac:dyDescent="0.3">
      <c r="A124" s="100"/>
      <c r="B124" s="67" t="s">
        <v>134</v>
      </c>
      <c r="C124" s="67" t="s">
        <v>44</v>
      </c>
      <c r="D124" s="67" t="s">
        <v>75</v>
      </c>
      <c r="E124" s="68" t="s">
        <v>76</v>
      </c>
      <c r="F124" s="68" t="s">
        <v>77</v>
      </c>
      <c r="G124" s="69" t="s">
        <v>78</v>
      </c>
      <c r="H124" s="70"/>
      <c r="I124" s="70"/>
      <c r="J124" s="71"/>
      <c r="K124" s="68" t="s">
        <v>194</v>
      </c>
      <c r="L124" s="69" t="s">
        <v>78</v>
      </c>
      <c r="M124" s="70"/>
      <c r="N124" s="70"/>
      <c r="O124" s="71"/>
      <c r="P124" s="31" t="s">
        <v>41</v>
      </c>
      <c r="Q124" s="31" t="s">
        <v>42</v>
      </c>
      <c r="R124" s="31" t="s">
        <v>43</v>
      </c>
      <c r="S124" s="66"/>
      <c r="T124" s="5"/>
      <c r="U124" s="6"/>
    </row>
    <row r="125" spans="1:21" ht="18.75" x14ac:dyDescent="0.3">
      <c r="A125" s="100"/>
      <c r="B125" s="72"/>
      <c r="C125" s="72"/>
      <c r="D125" s="72"/>
      <c r="E125" s="73"/>
      <c r="F125" s="73"/>
      <c r="G125" s="74" t="s">
        <v>79</v>
      </c>
      <c r="H125" s="74" t="s">
        <v>80</v>
      </c>
      <c r="I125" s="74" t="s">
        <v>81</v>
      </c>
      <c r="J125" s="74" t="s">
        <v>82</v>
      </c>
      <c r="K125" s="73"/>
      <c r="L125" s="74" t="s">
        <v>79</v>
      </c>
      <c r="M125" s="74" t="s">
        <v>80</v>
      </c>
      <c r="N125" s="74" t="s">
        <v>81</v>
      </c>
      <c r="O125" s="74" t="s">
        <v>82</v>
      </c>
      <c r="P125" s="31"/>
      <c r="Q125" s="31"/>
      <c r="R125" s="31"/>
      <c r="S125" s="66"/>
      <c r="T125" s="5"/>
      <c r="U125" s="6"/>
    </row>
    <row r="126" spans="1:21" ht="28.5" customHeight="1" x14ac:dyDescent="0.3">
      <c r="A126" s="101"/>
      <c r="B126" s="76"/>
      <c r="C126" s="76"/>
      <c r="D126" s="76"/>
      <c r="E126" s="96">
        <v>1</v>
      </c>
      <c r="F126" s="96">
        <v>1</v>
      </c>
      <c r="G126" s="96" t="s">
        <v>75</v>
      </c>
      <c r="H126" s="96" t="s">
        <v>75</v>
      </c>
      <c r="I126" s="96" t="s">
        <v>75</v>
      </c>
      <c r="J126" s="96">
        <v>1</v>
      </c>
      <c r="K126" s="96">
        <v>1</v>
      </c>
      <c r="L126" s="96" t="s">
        <v>75</v>
      </c>
      <c r="M126" s="96" t="s">
        <v>75</v>
      </c>
      <c r="N126" s="96" t="s">
        <v>75</v>
      </c>
      <c r="O126" s="96">
        <v>1</v>
      </c>
      <c r="P126" s="96">
        <v>1</v>
      </c>
      <c r="Q126" s="96">
        <v>1</v>
      </c>
      <c r="R126" s="96">
        <v>1</v>
      </c>
      <c r="S126" s="78"/>
      <c r="T126" s="5"/>
      <c r="U126" s="6"/>
    </row>
    <row r="127" spans="1:21" ht="18.75" customHeight="1" x14ac:dyDescent="0.3">
      <c r="A127" s="99" t="s">
        <v>14</v>
      </c>
      <c r="B127" s="55" t="s">
        <v>135</v>
      </c>
      <c r="C127" s="56" t="s">
        <v>44</v>
      </c>
      <c r="D127" s="45" t="s">
        <v>6</v>
      </c>
      <c r="E127" s="50">
        <f>SUM(F127:R127)</f>
        <v>0</v>
      </c>
      <c r="F127" s="47">
        <f>F128</f>
        <v>0</v>
      </c>
      <c r="G127" s="48"/>
      <c r="H127" s="48"/>
      <c r="I127" s="48"/>
      <c r="J127" s="49"/>
      <c r="K127" s="47">
        <f>SUM(K128:K128)</f>
        <v>0</v>
      </c>
      <c r="L127" s="48"/>
      <c r="M127" s="48"/>
      <c r="N127" s="48"/>
      <c r="O127" s="49"/>
      <c r="P127" s="50">
        <f>SUM(P128:P128)</f>
        <v>0</v>
      </c>
      <c r="Q127" s="50">
        <f>SUM(Q128:Q128)</f>
        <v>0</v>
      </c>
      <c r="R127" s="50">
        <f>SUM(R128:R128)</f>
        <v>0</v>
      </c>
      <c r="S127" s="57" t="s">
        <v>22</v>
      </c>
      <c r="T127" s="5"/>
      <c r="U127" s="6"/>
    </row>
    <row r="128" spans="1:21" ht="62.25" customHeight="1" x14ac:dyDescent="0.3">
      <c r="A128" s="100"/>
      <c r="B128" s="55"/>
      <c r="C128" s="56"/>
      <c r="D128" s="60" t="s">
        <v>8</v>
      </c>
      <c r="E128" s="50">
        <f>SUM(F128:R128)</f>
        <v>0</v>
      </c>
      <c r="F128" s="62">
        <v>0</v>
      </c>
      <c r="G128" s="63"/>
      <c r="H128" s="63"/>
      <c r="I128" s="63"/>
      <c r="J128" s="64"/>
      <c r="K128" s="62">
        <v>0</v>
      </c>
      <c r="L128" s="63"/>
      <c r="M128" s="63"/>
      <c r="N128" s="63"/>
      <c r="O128" s="64"/>
      <c r="P128" s="65">
        <v>0</v>
      </c>
      <c r="Q128" s="65">
        <v>0</v>
      </c>
      <c r="R128" s="65">
        <v>0</v>
      </c>
      <c r="S128" s="66"/>
      <c r="T128" s="5"/>
      <c r="U128" s="6"/>
    </row>
    <row r="129" spans="1:21" ht="21" hidden="1" customHeight="1" outlineLevel="1" x14ac:dyDescent="0.3">
      <c r="A129" s="100"/>
      <c r="B129" s="67" t="s">
        <v>24</v>
      </c>
      <c r="C129" s="67" t="s">
        <v>44</v>
      </c>
      <c r="D129" s="67" t="s">
        <v>75</v>
      </c>
      <c r="E129" s="68" t="s">
        <v>76</v>
      </c>
      <c r="F129" s="68" t="s">
        <v>77</v>
      </c>
      <c r="G129" s="69" t="s">
        <v>78</v>
      </c>
      <c r="H129" s="70"/>
      <c r="I129" s="70"/>
      <c r="J129" s="71"/>
      <c r="K129" s="80"/>
      <c r="L129" s="80"/>
      <c r="M129" s="80"/>
      <c r="N129" s="80"/>
      <c r="O129" s="31" t="s">
        <v>5</v>
      </c>
      <c r="P129" s="31" t="s">
        <v>41</v>
      </c>
      <c r="Q129" s="31" t="s">
        <v>42</v>
      </c>
      <c r="R129" s="31" t="s">
        <v>43</v>
      </c>
      <c r="S129" s="66"/>
      <c r="T129" s="5"/>
      <c r="U129" s="6"/>
    </row>
    <row r="130" spans="1:21" ht="21" hidden="1" customHeight="1" outlineLevel="1" x14ac:dyDescent="0.3">
      <c r="A130" s="100"/>
      <c r="B130" s="72"/>
      <c r="C130" s="72"/>
      <c r="D130" s="72"/>
      <c r="E130" s="73"/>
      <c r="F130" s="73"/>
      <c r="G130" s="74" t="s">
        <v>79</v>
      </c>
      <c r="H130" s="74" t="s">
        <v>80</v>
      </c>
      <c r="I130" s="74" t="s">
        <v>81</v>
      </c>
      <c r="J130" s="74" t="s">
        <v>82</v>
      </c>
      <c r="K130" s="74"/>
      <c r="L130" s="74"/>
      <c r="M130" s="74"/>
      <c r="N130" s="74"/>
      <c r="O130" s="31"/>
      <c r="P130" s="31"/>
      <c r="Q130" s="31"/>
      <c r="R130" s="31"/>
      <c r="S130" s="66"/>
      <c r="T130" s="5"/>
      <c r="U130" s="6"/>
    </row>
    <row r="131" spans="1:21" ht="21" hidden="1" customHeight="1" outlineLevel="1" x14ac:dyDescent="0.3">
      <c r="A131" s="101"/>
      <c r="B131" s="76"/>
      <c r="C131" s="76"/>
      <c r="D131" s="7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78"/>
      <c r="T131" s="5"/>
      <c r="U131" s="6"/>
    </row>
    <row r="132" spans="1:21" ht="21" customHeight="1" collapsed="1" x14ac:dyDescent="0.3">
      <c r="A132" s="99" t="s">
        <v>15</v>
      </c>
      <c r="B132" s="55" t="s">
        <v>136</v>
      </c>
      <c r="C132" s="56" t="s">
        <v>44</v>
      </c>
      <c r="D132" s="45" t="s">
        <v>6</v>
      </c>
      <c r="E132" s="50">
        <f>SUM(F132:R132)</f>
        <v>0</v>
      </c>
      <c r="F132" s="47">
        <f>F133</f>
        <v>0</v>
      </c>
      <c r="G132" s="48"/>
      <c r="H132" s="48"/>
      <c r="I132" s="48"/>
      <c r="J132" s="49"/>
      <c r="K132" s="47">
        <f>SUM(K133:K133)</f>
        <v>0</v>
      </c>
      <c r="L132" s="48"/>
      <c r="M132" s="48"/>
      <c r="N132" s="48"/>
      <c r="O132" s="49"/>
      <c r="P132" s="50">
        <f>SUM(P133:P133)</f>
        <v>0</v>
      </c>
      <c r="Q132" s="50">
        <f>SUM(Q133:Q133)</f>
        <v>0</v>
      </c>
      <c r="R132" s="50">
        <f>SUM(R133:R133)</f>
        <v>0</v>
      </c>
      <c r="S132" s="57" t="s">
        <v>22</v>
      </c>
      <c r="T132" s="5"/>
      <c r="U132" s="6"/>
    </row>
    <row r="133" spans="1:21" ht="46.5" customHeight="1" x14ac:dyDescent="0.3">
      <c r="A133" s="100"/>
      <c r="B133" s="55"/>
      <c r="C133" s="56"/>
      <c r="D133" s="60" t="s">
        <v>8</v>
      </c>
      <c r="E133" s="50">
        <f>SUM(F133:R133)</f>
        <v>0</v>
      </c>
      <c r="F133" s="62">
        <v>0</v>
      </c>
      <c r="G133" s="63"/>
      <c r="H133" s="63"/>
      <c r="I133" s="63"/>
      <c r="J133" s="64"/>
      <c r="K133" s="62">
        <v>0</v>
      </c>
      <c r="L133" s="63"/>
      <c r="M133" s="63"/>
      <c r="N133" s="63"/>
      <c r="O133" s="64"/>
      <c r="P133" s="65">
        <v>0</v>
      </c>
      <c r="Q133" s="65">
        <v>0</v>
      </c>
      <c r="R133" s="65">
        <v>0</v>
      </c>
      <c r="S133" s="66"/>
      <c r="T133" s="5"/>
      <c r="U133" s="6"/>
    </row>
    <row r="134" spans="1:21" ht="21" customHeight="1" x14ac:dyDescent="0.3">
      <c r="A134" s="100"/>
      <c r="B134" s="67" t="s">
        <v>197</v>
      </c>
      <c r="C134" s="67" t="s">
        <v>44</v>
      </c>
      <c r="D134" s="67" t="s">
        <v>75</v>
      </c>
      <c r="E134" s="68" t="s">
        <v>76</v>
      </c>
      <c r="F134" s="68" t="s">
        <v>77</v>
      </c>
      <c r="G134" s="69" t="s">
        <v>78</v>
      </c>
      <c r="H134" s="70"/>
      <c r="I134" s="70"/>
      <c r="J134" s="71"/>
      <c r="K134" s="68" t="s">
        <v>194</v>
      </c>
      <c r="L134" s="69" t="s">
        <v>78</v>
      </c>
      <c r="M134" s="70"/>
      <c r="N134" s="70"/>
      <c r="O134" s="71"/>
      <c r="P134" s="31" t="s">
        <v>41</v>
      </c>
      <c r="Q134" s="31" t="s">
        <v>42</v>
      </c>
      <c r="R134" s="31" t="s">
        <v>43</v>
      </c>
      <c r="S134" s="66"/>
      <c r="T134" s="5"/>
      <c r="U134" s="6"/>
    </row>
    <row r="135" spans="1:21" ht="21" customHeight="1" x14ac:dyDescent="0.3">
      <c r="A135" s="100"/>
      <c r="B135" s="72"/>
      <c r="C135" s="72"/>
      <c r="D135" s="72"/>
      <c r="E135" s="73"/>
      <c r="F135" s="73"/>
      <c r="G135" s="74" t="s">
        <v>79</v>
      </c>
      <c r="H135" s="74" t="s">
        <v>80</v>
      </c>
      <c r="I135" s="74" t="s">
        <v>81</v>
      </c>
      <c r="J135" s="74" t="s">
        <v>82</v>
      </c>
      <c r="K135" s="73"/>
      <c r="L135" s="74" t="s">
        <v>79</v>
      </c>
      <c r="M135" s="74" t="s">
        <v>80</v>
      </c>
      <c r="N135" s="74" t="s">
        <v>81</v>
      </c>
      <c r="O135" s="74" t="s">
        <v>82</v>
      </c>
      <c r="P135" s="31"/>
      <c r="Q135" s="31"/>
      <c r="R135" s="31"/>
      <c r="S135" s="66"/>
      <c r="T135" s="5"/>
      <c r="U135" s="6"/>
    </row>
    <row r="136" spans="1:21" ht="27.75" customHeight="1" x14ac:dyDescent="0.3">
      <c r="A136" s="101"/>
      <c r="B136" s="76"/>
      <c r="C136" s="76"/>
      <c r="D136" s="76"/>
      <c r="E136" s="77" t="s">
        <v>75</v>
      </c>
      <c r="F136" s="77" t="s">
        <v>75</v>
      </c>
      <c r="G136" s="77" t="s">
        <v>75</v>
      </c>
      <c r="H136" s="77" t="s">
        <v>75</v>
      </c>
      <c r="I136" s="77" t="s">
        <v>75</v>
      </c>
      <c r="J136" s="77" t="s">
        <v>75</v>
      </c>
      <c r="K136" s="77" t="s">
        <v>75</v>
      </c>
      <c r="L136" s="77" t="s">
        <v>75</v>
      </c>
      <c r="M136" s="77" t="s">
        <v>75</v>
      </c>
      <c r="N136" s="77" t="s">
        <v>75</v>
      </c>
      <c r="O136" s="77" t="s">
        <v>75</v>
      </c>
      <c r="P136" s="77" t="s">
        <v>75</v>
      </c>
      <c r="Q136" s="77" t="s">
        <v>75</v>
      </c>
      <c r="R136" s="77" t="s">
        <v>75</v>
      </c>
      <c r="S136" s="78"/>
      <c r="T136" s="5"/>
      <c r="U136" s="6"/>
    </row>
    <row r="137" spans="1:21" ht="21" customHeight="1" x14ac:dyDescent="0.3">
      <c r="A137" s="91">
        <v>3</v>
      </c>
      <c r="B137" s="44" t="s">
        <v>137</v>
      </c>
      <c r="C137" s="43" t="s">
        <v>44</v>
      </c>
      <c r="D137" s="45" t="s">
        <v>6</v>
      </c>
      <c r="E137" s="111">
        <f t="shared" ref="E137:E144" si="27">SUM(F137:R137)</f>
        <v>0</v>
      </c>
      <c r="F137" s="112">
        <f>F138+F139+F140</f>
        <v>0</v>
      </c>
      <c r="G137" s="113"/>
      <c r="H137" s="113"/>
      <c r="I137" s="113"/>
      <c r="J137" s="114"/>
      <c r="K137" s="112">
        <f>K138+K139+K140</f>
        <v>0</v>
      </c>
      <c r="L137" s="113"/>
      <c r="M137" s="113"/>
      <c r="N137" s="113"/>
      <c r="O137" s="114"/>
      <c r="P137" s="111">
        <f>SUM(P138:P140)</f>
        <v>0</v>
      </c>
      <c r="Q137" s="111">
        <f>SUM(Q138:Q140)</f>
        <v>0</v>
      </c>
      <c r="R137" s="111">
        <f>SUM(R138:R140)</f>
        <v>0</v>
      </c>
      <c r="S137" s="51" t="s">
        <v>22</v>
      </c>
      <c r="T137" s="5"/>
      <c r="U137" s="6"/>
    </row>
    <row r="138" spans="1:21" ht="35.25" hidden="1" customHeight="1" outlineLevel="1" x14ac:dyDescent="0.3">
      <c r="A138" s="92"/>
      <c r="B138" s="44"/>
      <c r="C138" s="43"/>
      <c r="D138" s="45" t="s">
        <v>23</v>
      </c>
      <c r="E138" s="111">
        <f t="shared" si="27"/>
        <v>0</v>
      </c>
      <c r="F138" s="112">
        <f>F142</f>
        <v>0</v>
      </c>
      <c r="G138" s="113"/>
      <c r="H138" s="113"/>
      <c r="I138" s="113"/>
      <c r="J138" s="114"/>
      <c r="K138" s="115"/>
      <c r="L138" s="115"/>
      <c r="M138" s="115"/>
      <c r="N138" s="115"/>
      <c r="O138" s="111">
        <f>O142</f>
        <v>0</v>
      </c>
      <c r="P138" s="111">
        <f t="shared" ref="P138:R140" si="28">P142</f>
        <v>0</v>
      </c>
      <c r="Q138" s="111">
        <f t="shared" si="28"/>
        <v>0</v>
      </c>
      <c r="R138" s="111">
        <f t="shared" si="28"/>
        <v>0</v>
      </c>
      <c r="S138" s="51"/>
      <c r="T138" s="5"/>
      <c r="U138" s="6"/>
    </row>
    <row r="139" spans="1:21" ht="32.25" hidden="1" customHeight="1" outlineLevel="1" x14ac:dyDescent="0.3">
      <c r="A139" s="92"/>
      <c r="B139" s="44"/>
      <c r="C139" s="43"/>
      <c r="D139" s="45" t="s">
        <v>19</v>
      </c>
      <c r="E139" s="111">
        <f t="shared" si="27"/>
        <v>0</v>
      </c>
      <c r="F139" s="112">
        <f>F143</f>
        <v>0</v>
      </c>
      <c r="G139" s="113"/>
      <c r="H139" s="113"/>
      <c r="I139" s="113"/>
      <c r="J139" s="114"/>
      <c r="K139" s="115"/>
      <c r="L139" s="115"/>
      <c r="M139" s="115"/>
      <c r="N139" s="115"/>
      <c r="O139" s="111">
        <f>O143</f>
        <v>0</v>
      </c>
      <c r="P139" s="111">
        <f t="shared" si="28"/>
        <v>0</v>
      </c>
      <c r="Q139" s="111">
        <f t="shared" si="28"/>
        <v>0</v>
      </c>
      <c r="R139" s="111">
        <f t="shared" si="28"/>
        <v>0</v>
      </c>
      <c r="S139" s="51"/>
      <c r="T139" s="5"/>
      <c r="U139" s="6"/>
    </row>
    <row r="140" spans="1:21" ht="49.5" customHeight="1" collapsed="1" x14ac:dyDescent="0.3">
      <c r="A140" s="93"/>
      <c r="B140" s="44"/>
      <c r="C140" s="43"/>
      <c r="D140" s="45" t="s">
        <v>8</v>
      </c>
      <c r="E140" s="111">
        <f t="shared" si="27"/>
        <v>0</v>
      </c>
      <c r="F140" s="112">
        <f>F144</f>
        <v>0</v>
      </c>
      <c r="G140" s="113"/>
      <c r="H140" s="113"/>
      <c r="I140" s="113"/>
      <c r="J140" s="114"/>
      <c r="K140" s="112">
        <f>K144</f>
        <v>0</v>
      </c>
      <c r="L140" s="113"/>
      <c r="M140" s="113"/>
      <c r="N140" s="113"/>
      <c r="O140" s="114"/>
      <c r="P140" s="111">
        <f t="shared" si="28"/>
        <v>0</v>
      </c>
      <c r="Q140" s="111">
        <f t="shared" si="28"/>
        <v>0</v>
      </c>
      <c r="R140" s="111">
        <f t="shared" si="28"/>
        <v>0</v>
      </c>
      <c r="S140" s="51"/>
      <c r="T140" s="5"/>
      <c r="U140" s="6"/>
    </row>
    <row r="141" spans="1:21" ht="21" customHeight="1" x14ac:dyDescent="0.3">
      <c r="A141" s="99" t="s">
        <v>26</v>
      </c>
      <c r="B141" s="55" t="s">
        <v>56</v>
      </c>
      <c r="C141" s="56" t="s">
        <v>44</v>
      </c>
      <c r="D141" s="45" t="s">
        <v>6</v>
      </c>
      <c r="E141" s="111">
        <f t="shared" si="27"/>
        <v>0</v>
      </c>
      <c r="F141" s="112">
        <f>F142+F143+F144</f>
        <v>0</v>
      </c>
      <c r="G141" s="113"/>
      <c r="H141" s="113"/>
      <c r="I141" s="113"/>
      <c r="J141" s="114"/>
      <c r="K141" s="112">
        <f>SUM(O142:O144)</f>
        <v>0</v>
      </c>
      <c r="L141" s="113"/>
      <c r="M141" s="113"/>
      <c r="N141" s="113"/>
      <c r="O141" s="114"/>
      <c r="P141" s="111">
        <f>SUM(P142:P144)</f>
        <v>0</v>
      </c>
      <c r="Q141" s="111">
        <f>SUM(Q142:Q144)</f>
        <v>0</v>
      </c>
      <c r="R141" s="111">
        <f>SUM(R142:R144)</f>
        <v>0</v>
      </c>
      <c r="S141" s="57" t="s">
        <v>22</v>
      </c>
      <c r="T141" s="5"/>
      <c r="U141" s="6"/>
    </row>
    <row r="142" spans="1:21" ht="36.75" hidden="1" customHeight="1" outlineLevel="1" x14ac:dyDescent="0.3">
      <c r="A142" s="100"/>
      <c r="B142" s="55"/>
      <c r="C142" s="56"/>
      <c r="D142" s="60" t="s">
        <v>23</v>
      </c>
      <c r="E142" s="111">
        <f t="shared" si="27"/>
        <v>0</v>
      </c>
      <c r="F142" s="116">
        <v>0</v>
      </c>
      <c r="G142" s="117"/>
      <c r="H142" s="117"/>
      <c r="I142" s="117"/>
      <c r="J142" s="118"/>
      <c r="K142" s="119"/>
      <c r="L142" s="119"/>
      <c r="M142" s="119"/>
      <c r="N142" s="119"/>
      <c r="O142" s="120">
        <v>0</v>
      </c>
      <c r="P142" s="120">
        <v>0</v>
      </c>
      <c r="Q142" s="120">
        <v>0</v>
      </c>
      <c r="R142" s="120">
        <v>0</v>
      </c>
      <c r="S142" s="66"/>
      <c r="T142" s="5"/>
      <c r="U142" s="6"/>
    </row>
    <row r="143" spans="1:21" ht="34.5" hidden="1" customHeight="1" outlineLevel="1" x14ac:dyDescent="0.3">
      <c r="A143" s="100"/>
      <c r="B143" s="55"/>
      <c r="C143" s="56"/>
      <c r="D143" s="60" t="s">
        <v>19</v>
      </c>
      <c r="E143" s="111">
        <f t="shared" si="27"/>
        <v>0</v>
      </c>
      <c r="F143" s="116">
        <v>0</v>
      </c>
      <c r="G143" s="117"/>
      <c r="H143" s="117"/>
      <c r="I143" s="117"/>
      <c r="J143" s="118"/>
      <c r="K143" s="119"/>
      <c r="L143" s="119"/>
      <c r="M143" s="119"/>
      <c r="N143" s="119"/>
      <c r="O143" s="120">
        <v>0</v>
      </c>
      <c r="P143" s="120">
        <v>0</v>
      </c>
      <c r="Q143" s="120">
        <v>0</v>
      </c>
      <c r="R143" s="120">
        <v>0</v>
      </c>
      <c r="S143" s="66"/>
      <c r="T143" s="5"/>
      <c r="U143" s="6"/>
    </row>
    <row r="144" spans="1:21" ht="49.5" customHeight="1" collapsed="1" x14ac:dyDescent="0.3">
      <c r="A144" s="100"/>
      <c r="B144" s="55"/>
      <c r="C144" s="56"/>
      <c r="D144" s="60" t="s">
        <v>8</v>
      </c>
      <c r="E144" s="111">
        <f t="shared" si="27"/>
        <v>0</v>
      </c>
      <c r="F144" s="116">
        <v>0</v>
      </c>
      <c r="G144" s="117"/>
      <c r="H144" s="117"/>
      <c r="I144" s="117"/>
      <c r="J144" s="118"/>
      <c r="K144" s="116">
        <v>0</v>
      </c>
      <c r="L144" s="117"/>
      <c r="M144" s="117"/>
      <c r="N144" s="117"/>
      <c r="O144" s="118"/>
      <c r="P144" s="120">
        <v>0</v>
      </c>
      <c r="Q144" s="120">
        <v>0</v>
      </c>
      <c r="R144" s="120">
        <v>0</v>
      </c>
      <c r="S144" s="66"/>
      <c r="T144" s="5"/>
      <c r="U144" s="6"/>
    </row>
    <row r="145" spans="1:21" ht="21" customHeight="1" x14ac:dyDescent="0.3">
      <c r="A145" s="100"/>
      <c r="B145" s="67" t="s">
        <v>198</v>
      </c>
      <c r="C145" s="67" t="s">
        <v>44</v>
      </c>
      <c r="D145" s="67" t="s">
        <v>75</v>
      </c>
      <c r="E145" s="68" t="s">
        <v>76</v>
      </c>
      <c r="F145" s="68" t="s">
        <v>77</v>
      </c>
      <c r="G145" s="69" t="s">
        <v>78</v>
      </c>
      <c r="H145" s="70"/>
      <c r="I145" s="70"/>
      <c r="J145" s="71"/>
      <c r="K145" s="68" t="s">
        <v>194</v>
      </c>
      <c r="L145" s="69" t="s">
        <v>78</v>
      </c>
      <c r="M145" s="70"/>
      <c r="N145" s="70"/>
      <c r="O145" s="71"/>
      <c r="P145" s="31" t="s">
        <v>41</v>
      </c>
      <c r="Q145" s="31" t="s">
        <v>42</v>
      </c>
      <c r="R145" s="31" t="s">
        <v>43</v>
      </c>
      <c r="S145" s="66"/>
      <c r="T145" s="5"/>
      <c r="U145" s="6"/>
    </row>
    <row r="146" spans="1:21" ht="21" customHeight="1" x14ac:dyDescent="0.3">
      <c r="A146" s="100"/>
      <c r="B146" s="72"/>
      <c r="C146" s="72"/>
      <c r="D146" s="72"/>
      <c r="E146" s="73"/>
      <c r="F146" s="73"/>
      <c r="G146" s="74" t="s">
        <v>79</v>
      </c>
      <c r="H146" s="74" t="s">
        <v>80</v>
      </c>
      <c r="I146" s="74" t="s">
        <v>81</v>
      </c>
      <c r="J146" s="74" t="s">
        <v>82</v>
      </c>
      <c r="K146" s="73"/>
      <c r="L146" s="74" t="s">
        <v>79</v>
      </c>
      <c r="M146" s="74" t="s">
        <v>80</v>
      </c>
      <c r="N146" s="74" t="s">
        <v>81</v>
      </c>
      <c r="O146" s="74" t="s">
        <v>82</v>
      </c>
      <c r="P146" s="31"/>
      <c r="Q146" s="31"/>
      <c r="R146" s="31"/>
      <c r="S146" s="66"/>
      <c r="T146" s="5"/>
      <c r="U146" s="6"/>
    </row>
    <row r="147" spans="1:21" ht="21" customHeight="1" x14ac:dyDescent="0.3">
      <c r="A147" s="101"/>
      <c r="B147" s="76"/>
      <c r="C147" s="76"/>
      <c r="D147" s="76"/>
      <c r="E147" s="77" t="s">
        <v>75</v>
      </c>
      <c r="F147" s="77" t="s">
        <v>75</v>
      </c>
      <c r="G147" s="77" t="s">
        <v>75</v>
      </c>
      <c r="H147" s="77" t="s">
        <v>75</v>
      </c>
      <c r="I147" s="77" t="s">
        <v>75</v>
      </c>
      <c r="J147" s="77" t="s">
        <v>75</v>
      </c>
      <c r="K147" s="77" t="s">
        <v>75</v>
      </c>
      <c r="L147" s="77" t="s">
        <v>75</v>
      </c>
      <c r="M147" s="77" t="s">
        <v>75</v>
      </c>
      <c r="N147" s="77" t="s">
        <v>75</v>
      </c>
      <c r="O147" s="77" t="s">
        <v>75</v>
      </c>
      <c r="P147" s="77" t="s">
        <v>75</v>
      </c>
      <c r="Q147" s="77" t="s">
        <v>75</v>
      </c>
      <c r="R147" s="77" t="s">
        <v>75</v>
      </c>
      <c r="S147" s="78"/>
      <c r="T147" s="5"/>
      <c r="U147" s="6"/>
    </row>
    <row r="148" spans="1:21" ht="18.75" x14ac:dyDescent="0.3">
      <c r="A148" s="89" t="s">
        <v>17</v>
      </c>
      <c r="B148" s="89"/>
      <c r="C148" s="89"/>
      <c r="D148" s="45" t="s">
        <v>6</v>
      </c>
      <c r="E148" s="50">
        <f>SUM(F148:R148)</f>
        <v>422549.89142000006</v>
      </c>
      <c r="F148" s="47">
        <f>F149+F150+F151+F152</f>
        <v>86408.94690000001</v>
      </c>
      <c r="G148" s="48"/>
      <c r="H148" s="48"/>
      <c r="I148" s="48"/>
      <c r="J148" s="49"/>
      <c r="K148" s="47">
        <f>K149+K150+K151+K152</f>
        <v>84675.148630000011</v>
      </c>
      <c r="L148" s="48"/>
      <c r="M148" s="48"/>
      <c r="N148" s="48"/>
      <c r="O148" s="49"/>
      <c r="P148" s="50">
        <f>SUM(P149:P152)</f>
        <v>84707.168630000015</v>
      </c>
      <c r="Q148" s="50">
        <f>SUM(Q149:Q152)</f>
        <v>84707.118630000012</v>
      </c>
      <c r="R148" s="50">
        <f>SUM(R149:R152)</f>
        <v>82051.508630000011</v>
      </c>
      <c r="S148" s="51"/>
      <c r="T148" s="5"/>
      <c r="U148" s="6"/>
    </row>
    <row r="149" spans="1:21" ht="31.5" x14ac:dyDescent="0.3">
      <c r="A149" s="89"/>
      <c r="B149" s="89"/>
      <c r="C149" s="89"/>
      <c r="D149" s="45" t="s">
        <v>23</v>
      </c>
      <c r="E149" s="50">
        <f>SUM(F149:R149)</f>
        <v>3344.2290000000003</v>
      </c>
      <c r="F149" s="47">
        <f>F90+F138</f>
        <v>704.029</v>
      </c>
      <c r="G149" s="48"/>
      <c r="H149" s="48"/>
      <c r="I149" s="48"/>
      <c r="J149" s="49"/>
      <c r="K149" s="47">
        <f>K90+O138</f>
        <v>916.80000000000007</v>
      </c>
      <c r="L149" s="48"/>
      <c r="M149" s="48"/>
      <c r="N149" s="48"/>
      <c r="O149" s="49"/>
      <c r="P149" s="50">
        <f t="shared" ref="P149:R150" si="29">P90+P138</f>
        <v>894.85</v>
      </c>
      <c r="Q149" s="50">
        <f t="shared" si="29"/>
        <v>828.55</v>
      </c>
      <c r="R149" s="50">
        <f t="shared" si="29"/>
        <v>0</v>
      </c>
      <c r="S149" s="51"/>
      <c r="T149" s="5"/>
      <c r="U149" s="6"/>
    </row>
    <row r="150" spans="1:21" ht="31.5" x14ac:dyDescent="0.3">
      <c r="A150" s="89"/>
      <c r="B150" s="89"/>
      <c r="C150" s="89"/>
      <c r="D150" s="45" t="s">
        <v>19</v>
      </c>
      <c r="E150" s="50">
        <f>SUM(F150:R150)</f>
        <v>8205.3686500000003</v>
      </c>
      <c r="F150" s="47">
        <f>F91+F139</f>
        <v>5894.1886500000001</v>
      </c>
      <c r="G150" s="48"/>
      <c r="H150" s="48"/>
      <c r="I150" s="48"/>
      <c r="J150" s="49"/>
      <c r="K150" s="47">
        <f>K91+O139</f>
        <v>720.34999999999991</v>
      </c>
      <c r="L150" s="48"/>
      <c r="M150" s="48"/>
      <c r="N150" s="48"/>
      <c r="O150" s="49"/>
      <c r="P150" s="50">
        <f t="shared" si="29"/>
        <v>762.28000000000009</v>
      </c>
      <c r="Q150" s="50">
        <f t="shared" si="29"/>
        <v>828.55</v>
      </c>
      <c r="R150" s="50">
        <f t="shared" si="29"/>
        <v>0</v>
      </c>
      <c r="S150" s="51"/>
      <c r="T150" s="5"/>
      <c r="U150" s="6"/>
    </row>
    <row r="151" spans="1:21" ht="51.75" customHeight="1" x14ac:dyDescent="0.3">
      <c r="A151" s="89"/>
      <c r="B151" s="89"/>
      <c r="C151" s="89"/>
      <c r="D151" s="45" t="s">
        <v>8</v>
      </c>
      <c r="E151" s="50">
        <f>SUM(F151:R151)</f>
        <v>402900.18373000005</v>
      </c>
      <c r="F151" s="47">
        <f>F92+F119+F140</f>
        <v>76831.821210000009</v>
      </c>
      <c r="G151" s="48"/>
      <c r="H151" s="48"/>
      <c r="I151" s="48"/>
      <c r="J151" s="49"/>
      <c r="K151" s="47">
        <f>K92+K119+K140</f>
        <v>81757.698130000019</v>
      </c>
      <c r="L151" s="48"/>
      <c r="M151" s="48"/>
      <c r="N151" s="48"/>
      <c r="O151" s="49"/>
      <c r="P151" s="50">
        <f>P92+P119+P140</f>
        <v>81769.738130000012</v>
      </c>
      <c r="Q151" s="50">
        <f>Q92+Q119+Q140</f>
        <v>81769.718130000008</v>
      </c>
      <c r="R151" s="50">
        <f>R92+R119+R140</f>
        <v>80771.208130000014</v>
      </c>
      <c r="S151" s="51"/>
      <c r="T151" s="5"/>
      <c r="U151" s="6"/>
    </row>
    <row r="152" spans="1:21" ht="18.75" x14ac:dyDescent="0.3">
      <c r="A152" s="89"/>
      <c r="B152" s="89"/>
      <c r="C152" s="89"/>
      <c r="D152" s="94" t="s">
        <v>20</v>
      </c>
      <c r="E152" s="50">
        <f>SUM(F152:R152)</f>
        <v>8100.1100400000014</v>
      </c>
      <c r="F152" s="47">
        <f>F93+F120</f>
        <v>2978.9080400000003</v>
      </c>
      <c r="G152" s="48"/>
      <c r="H152" s="48"/>
      <c r="I152" s="48"/>
      <c r="J152" s="49"/>
      <c r="K152" s="47">
        <f>K93+K120</f>
        <v>1280.3005000000001</v>
      </c>
      <c r="L152" s="48"/>
      <c r="M152" s="48"/>
      <c r="N152" s="48"/>
      <c r="O152" s="49"/>
      <c r="P152" s="50">
        <f>P93+P120</f>
        <v>1280.3005000000001</v>
      </c>
      <c r="Q152" s="50">
        <f>Q93+Q120</f>
        <v>1280.3005000000001</v>
      </c>
      <c r="R152" s="50">
        <f>R93+R120</f>
        <v>1280.3005000000001</v>
      </c>
      <c r="S152" s="51"/>
      <c r="T152" s="5"/>
      <c r="U152" s="6"/>
    </row>
    <row r="153" spans="1:21" ht="25.5" customHeight="1" x14ac:dyDescent="0.3">
      <c r="A153" s="38" t="s">
        <v>185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5"/>
      <c r="U153" s="6"/>
    </row>
    <row r="154" spans="1:21" ht="15.75" x14ac:dyDescent="0.25">
      <c r="A154" s="43">
        <v>1</v>
      </c>
      <c r="B154" s="44" t="s">
        <v>138</v>
      </c>
      <c r="C154" s="43" t="s">
        <v>44</v>
      </c>
      <c r="D154" s="45" t="s">
        <v>6</v>
      </c>
      <c r="E154" s="50">
        <f t="shared" ref="E154:E159" si="30">SUM(F154:R154)</f>
        <v>567460.46386000002</v>
      </c>
      <c r="F154" s="47">
        <f>F155+F156</f>
        <v>68806.537379999994</v>
      </c>
      <c r="G154" s="48"/>
      <c r="H154" s="48"/>
      <c r="I154" s="48"/>
      <c r="J154" s="49"/>
      <c r="K154" s="47">
        <f>K155+K156</f>
        <v>126193.58162</v>
      </c>
      <c r="L154" s="48"/>
      <c r="M154" s="48"/>
      <c r="N154" s="48"/>
      <c r="O154" s="49"/>
      <c r="P154" s="50">
        <f>SUM(P155:P156)</f>
        <v>126193.58162</v>
      </c>
      <c r="Q154" s="50">
        <f>SUM(Q155:Q156)</f>
        <v>123133.38162</v>
      </c>
      <c r="R154" s="50">
        <f>SUM(R155:R156)</f>
        <v>123133.38162</v>
      </c>
      <c r="S154" s="51" t="s">
        <v>22</v>
      </c>
      <c r="T154" s="6"/>
      <c r="U154" s="6"/>
    </row>
    <row r="155" spans="1:21" ht="45.75" customHeight="1" x14ac:dyDescent="0.25">
      <c r="A155" s="43"/>
      <c r="B155" s="44"/>
      <c r="C155" s="43"/>
      <c r="D155" s="45" t="s">
        <v>8</v>
      </c>
      <c r="E155" s="50">
        <f t="shared" si="30"/>
        <v>555252.25769</v>
      </c>
      <c r="F155" s="47">
        <f>F158+F164+F169</f>
        <v>64492.558769999996</v>
      </c>
      <c r="G155" s="48"/>
      <c r="H155" s="48"/>
      <c r="I155" s="48"/>
      <c r="J155" s="49"/>
      <c r="K155" s="47">
        <f>K158+K164+K169</f>
        <v>122689.92473</v>
      </c>
      <c r="L155" s="48"/>
      <c r="M155" s="48"/>
      <c r="N155" s="48"/>
      <c r="O155" s="49"/>
      <c r="P155" s="50">
        <f t="shared" ref="P155:R155" si="31">P158+P164+P169</f>
        <v>122689.92473</v>
      </c>
      <c r="Q155" s="50">
        <f t="shared" si="31"/>
        <v>122689.92473</v>
      </c>
      <c r="R155" s="50">
        <f t="shared" si="31"/>
        <v>122689.92473</v>
      </c>
      <c r="S155" s="51"/>
      <c r="T155" s="6"/>
      <c r="U155" s="6"/>
    </row>
    <row r="156" spans="1:21" ht="26.25" customHeight="1" x14ac:dyDescent="0.25">
      <c r="A156" s="43"/>
      <c r="B156" s="44"/>
      <c r="C156" s="43"/>
      <c r="D156" s="94" t="s">
        <v>20</v>
      </c>
      <c r="E156" s="50">
        <f t="shared" si="30"/>
        <v>12208.206169999999</v>
      </c>
      <c r="F156" s="47">
        <f>F159</f>
        <v>4313.9786100000001</v>
      </c>
      <c r="G156" s="48"/>
      <c r="H156" s="48"/>
      <c r="I156" s="48"/>
      <c r="J156" s="49"/>
      <c r="K156" s="47">
        <f>K159</f>
        <v>3503.6568899999997</v>
      </c>
      <c r="L156" s="48"/>
      <c r="M156" s="48"/>
      <c r="N156" s="48"/>
      <c r="O156" s="49"/>
      <c r="P156" s="50">
        <f t="shared" ref="P156:R156" si="32">P159</f>
        <v>3503.6568899999997</v>
      </c>
      <c r="Q156" s="50">
        <f t="shared" si="32"/>
        <v>443.45688999999999</v>
      </c>
      <c r="R156" s="50">
        <f t="shared" si="32"/>
        <v>443.45688999999999</v>
      </c>
      <c r="S156" s="51"/>
      <c r="T156" s="6"/>
      <c r="U156" s="6"/>
    </row>
    <row r="157" spans="1:21" ht="21.75" customHeight="1" x14ac:dyDescent="0.25">
      <c r="A157" s="85" t="s">
        <v>9</v>
      </c>
      <c r="B157" s="55" t="s">
        <v>139</v>
      </c>
      <c r="C157" s="56" t="s">
        <v>44</v>
      </c>
      <c r="D157" s="45" t="s">
        <v>6</v>
      </c>
      <c r="E157" s="50">
        <f t="shared" si="30"/>
        <v>567460.46386000002</v>
      </c>
      <c r="F157" s="47">
        <f>F158+F159</f>
        <v>68806.537379999994</v>
      </c>
      <c r="G157" s="48"/>
      <c r="H157" s="48"/>
      <c r="I157" s="48"/>
      <c r="J157" s="49"/>
      <c r="K157" s="47">
        <f>K158+K159</f>
        <v>126193.58162</v>
      </c>
      <c r="L157" s="48"/>
      <c r="M157" s="48"/>
      <c r="N157" s="48"/>
      <c r="O157" s="49"/>
      <c r="P157" s="50">
        <f>SUM(P158:P159)</f>
        <v>126193.58162</v>
      </c>
      <c r="Q157" s="50">
        <f>SUM(Q158:Q159)</f>
        <v>123133.38162</v>
      </c>
      <c r="R157" s="50">
        <f>SUM(R158:R159)</f>
        <v>123133.38162</v>
      </c>
      <c r="S157" s="57" t="s">
        <v>22</v>
      </c>
      <c r="T157" s="10"/>
      <c r="U157" s="6"/>
    </row>
    <row r="158" spans="1:21" ht="53.25" customHeight="1" x14ac:dyDescent="0.25">
      <c r="A158" s="86"/>
      <c r="B158" s="55"/>
      <c r="C158" s="56"/>
      <c r="D158" s="60" t="s">
        <v>8</v>
      </c>
      <c r="E158" s="50">
        <f t="shared" si="30"/>
        <v>555252.25769</v>
      </c>
      <c r="F158" s="62">
        <f>19759.15823+43326.17321+242.01684-232.8-220+1717.73791-99.72742</f>
        <v>64492.558769999996</v>
      </c>
      <c r="G158" s="63"/>
      <c r="H158" s="63"/>
      <c r="I158" s="63"/>
      <c r="J158" s="64"/>
      <c r="K158" s="62">
        <f>19759.15823+43326.17321+59604.59329</f>
        <v>122689.92473</v>
      </c>
      <c r="L158" s="63"/>
      <c r="M158" s="63"/>
      <c r="N158" s="63"/>
      <c r="O158" s="64"/>
      <c r="P158" s="65">
        <f>19759.15823+43326.17321+59604.59329</f>
        <v>122689.92473</v>
      </c>
      <c r="Q158" s="65">
        <f>19759.15823+102930.7665</f>
        <v>122689.92473</v>
      </c>
      <c r="R158" s="65">
        <f>19759.15823+102930.7665</f>
        <v>122689.92473</v>
      </c>
      <c r="S158" s="66"/>
      <c r="T158" s="6"/>
      <c r="U158" s="6"/>
    </row>
    <row r="159" spans="1:21" ht="32.25" customHeight="1" x14ac:dyDescent="0.25">
      <c r="A159" s="86"/>
      <c r="B159" s="55"/>
      <c r="C159" s="56"/>
      <c r="D159" s="95" t="s">
        <v>20</v>
      </c>
      <c r="E159" s="50">
        <f t="shared" si="30"/>
        <v>12208.206169999999</v>
      </c>
      <c r="F159" s="62">
        <f>443.45689+3060.2+300+510.32172</f>
        <v>4313.9786100000001</v>
      </c>
      <c r="G159" s="63"/>
      <c r="H159" s="63"/>
      <c r="I159" s="63"/>
      <c r="J159" s="64"/>
      <c r="K159" s="62">
        <f>443.45689+3060.2</f>
        <v>3503.6568899999997</v>
      </c>
      <c r="L159" s="63"/>
      <c r="M159" s="63"/>
      <c r="N159" s="63"/>
      <c r="O159" s="64"/>
      <c r="P159" s="65">
        <f>443.45689+3060.2</f>
        <v>3503.6568899999997</v>
      </c>
      <c r="Q159" s="65">
        <v>443.45688999999999</v>
      </c>
      <c r="R159" s="65">
        <v>443.45688999999999</v>
      </c>
      <c r="S159" s="66"/>
      <c r="T159" s="6"/>
      <c r="U159" s="6"/>
    </row>
    <row r="160" spans="1:21" ht="18" customHeight="1" x14ac:dyDescent="0.25">
      <c r="A160" s="86"/>
      <c r="B160" s="67" t="s">
        <v>108</v>
      </c>
      <c r="C160" s="67" t="s">
        <v>44</v>
      </c>
      <c r="D160" s="67" t="s">
        <v>75</v>
      </c>
      <c r="E160" s="68" t="s">
        <v>76</v>
      </c>
      <c r="F160" s="68" t="s">
        <v>77</v>
      </c>
      <c r="G160" s="69" t="s">
        <v>78</v>
      </c>
      <c r="H160" s="70"/>
      <c r="I160" s="70"/>
      <c r="J160" s="71"/>
      <c r="K160" s="68" t="s">
        <v>194</v>
      </c>
      <c r="L160" s="69" t="s">
        <v>78</v>
      </c>
      <c r="M160" s="70"/>
      <c r="N160" s="70"/>
      <c r="O160" s="71"/>
      <c r="P160" s="31" t="s">
        <v>41</v>
      </c>
      <c r="Q160" s="31" t="s">
        <v>42</v>
      </c>
      <c r="R160" s="31" t="s">
        <v>43</v>
      </c>
      <c r="S160" s="66"/>
      <c r="T160" s="6"/>
      <c r="U160" s="6"/>
    </row>
    <row r="161" spans="1:21" ht="21" customHeight="1" x14ac:dyDescent="0.25">
      <c r="A161" s="86"/>
      <c r="B161" s="72"/>
      <c r="C161" s="72"/>
      <c r="D161" s="72"/>
      <c r="E161" s="73"/>
      <c r="F161" s="73"/>
      <c r="G161" s="74" t="s">
        <v>79</v>
      </c>
      <c r="H161" s="74" t="s">
        <v>80</v>
      </c>
      <c r="I161" s="74" t="s">
        <v>81</v>
      </c>
      <c r="J161" s="74" t="s">
        <v>82</v>
      </c>
      <c r="K161" s="73"/>
      <c r="L161" s="74" t="s">
        <v>79</v>
      </c>
      <c r="M161" s="74" t="s">
        <v>80</v>
      </c>
      <c r="N161" s="74" t="s">
        <v>81</v>
      </c>
      <c r="O161" s="74" t="s">
        <v>82</v>
      </c>
      <c r="P161" s="31"/>
      <c r="Q161" s="31"/>
      <c r="R161" s="31"/>
      <c r="S161" s="66"/>
      <c r="T161" s="6"/>
      <c r="U161" s="6"/>
    </row>
    <row r="162" spans="1:21" ht="111.75" customHeight="1" x14ac:dyDescent="0.25">
      <c r="A162" s="87"/>
      <c r="B162" s="76"/>
      <c r="C162" s="76"/>
      <c r="D162" s="76"/>
      <c r="E162" s="96">
        <v>100</v>
      </c>
      <c r="F162" s="96">
        <v>100</v>
      </c>
      <c r="G162" s="96">
        <v>100</v>
      </c>
      <c r="H162" s="96">
        <v>100</v>
      </c>
      <c r="I162" s="96">
        <v>100</v>
      </c>
      <c r="J162" s="96">
        <v>100</v>
      </c>
      <c r="K162" s="96">
        <v>100</v>
      </c>
      <c r="L162" s="96">
        <v>100</v>
      </c>
      <c r="M162" s="96">
        <v>100</v>
      </c>
      <c r="N162" s="96">
        <v>100</v>
      </c>
      <c r="O162" s="96">
        <v>100</v>
      </c>
      <c r="P162" s="96">
        <v>100</v>
      </c>
      <c r="Q162" s="96">
        <v>100</v>
      </c>
      <c r="R162" s="96">
        <v>100</v>
      </c>
      <c r="S162" s="78"/>
      <c r="T162" s="6"/>
      <c r="U162" s="6"/>
    </row>
    <row r="163" spans="1:21" ht="21.75" customHeight="1" x14ac:dyDescent="0.25">
      <c r="A163" s="85" t="s">
        <v>10</v>
      </c>
      <c r="B163" s="55" t="s">
        <v>140</v>
      </c>
      <c r="C163" s="56" t="s">
        <v>44</v>
      </c>
      <c r="D163" s="45" t="s">
        <v>6</v>
      </c>
      <c r="E163" s="50">
        <f>SUM(F163:R163)</f>
        <v>0</v>
      </c>
      <c r="F163" s="47">
        <f>F164</f>
        <v>0</v>
      </c>
      <c r="G163" s="48"/>
      <c r="H163" s="48"/>
      <c r="I163" s="48"/>
      <c r="J163" s="49"/>
      <c r="K163" s="47">
        <f>SUM(K164:K164)</f>
        <v>0</v>
      </c>
      <c r="L163" s="48"/>
      <c r="M163" s="48"/>
      <c r="N163" s="48"/>
      <c r="O163" s="49"/>
      <c r="P163" s="50">
        <f>SUM(P164:P164)</f>
        <v>0</v>
      </c>
      <c r="Q163" s="50">
        <f>SUM(Q164:Q164)</f>
        <v>0</v>
      </c>
      <c r="R163" s="50">
        <f>SUM(R164:R164)</f>
        <v>0</v>
      </c>
      <c r="S163" s="57" t="s">
        <v>22</v>
      </c>
      <c r="T163" s="6"/>
      <c r="U163" s="6"/>
    </row>
    <row r="164" spans="1:21" ht="51" customHeight="1" x14ac:dyDescent="0.25">
      <c r="A164" s="86"/>
      <c r="B164" s="55"/>
      <c r="C164" s="56"/>
      <c r="D164" s="60" t="s">
        <v>8</v>
      </c>
      <c r="E164" s="50">
        <f>SUM(F164:R164)</f>
        <v>0</v>
      </c>
      <c r="F164" s="62">
        <v>0</v>
      </c>
      <c r="G164" s="63"/>
      <c r="H164" s="63"/>
      <c r="I164" s="63"/>
      <c r="J164" s="64"/>
      <c r="K164" s="62">
        <v>0</v>
      </c>
      <c r="L164" s="63"/>
      <c r="M164" s="63"/>
      <c r="N164" s="63"/>
      <c r="O164" s="64"/>
      <c r="P164" s="65">
        <v>0</v>
      </c>
      <c r="Q164" s="65">
        <v>0</v>
      </c>
      <c r="R164" s="65">
        <v>0</v>
      </c>
      <c r="S164" s="66"/>
      <c r="T164" s="6"/>
      <c r="U164" s="6"/>
    </row>
    <row r="165" spans="1:21" ht="21.75" customHeight="1" x14ac:dyDescent="0.25">
      <c r="A165" s="86"/>
      <c r="B165" s="67" t="s">
        <v>105</v>
      </c>
      <c r="C165" s="67" t="s">
        <v>44</v>
      </c>
      <c r="D165" s="67" t="s">
        <v>75</v>
      </c>
      <c r="E165" s="68" t="s">
        <v>76</v>
      </c>
      <c r="F165" s="68" t="s">
        <v>77</v>
      </c>
      <c r="G165" s="69" t="s">
        <v>78</v>
      </c>
      <c r="H165" s="70"/>
      <c r="I165" s="70"/>
      <c r="J165" s="71"/>
      <c r="K165" s="68" t="s">
        <v>194</v>
      </c>
      <c r="L165" s="69" t="s">
        <v>78</v>
      </c>
      <c r="M165" s="70"/>
      <c r="N165" s="70"/>
      <c r="O165" s="71"/>
      <c r="P165" s="31" t="s">
        <v>41</v>
      </c>
      <c r="Q165" s="31" t="s">
        <v>42</v>
      </c>
      <c r="R165" s="31" t="s">
        <v>43</v>
      </c>
      <c r="S165" s="66"/>
      <c r="T165" s="6"/>
      <c r="U165" s="6"/>
    </row>
    <row r="166" spans="1:21" ht="21.75" customHeight="1" x14ac:dyDescent="0.25">
      <c r="A166" s="86"/>
      <c r="B166" s="72"/>
      <c r="C166" s="72"/>
      <c r="D166" s="72"/>
      <c r="E166" s="73"/>
      <c r="F166" s="73"/>
      <c r="G166" s="74" t="s">
        <v>79</v>
      </c>
      <c r="H166" s="74" t="s">
        <v>80</v>
      </c>
      <c r="I166" s="74" t="s">
        <v>81</v>
      </c>
      <c r="J166" s="74" t="s">
        <v>82</v>
      </c>
      <c r="K166" s="73"/>
      <c r="L166" s="74" t="s">
        <v>79</v>
      </c>
      <c r="M166" s="74" t="s">
        <v>80</v>
      </c>
      <c r="N166" s="74" t="s">
        <v>81</v>
      </c>
      <c r="O166" s="74" t="s">
        <v>82</v>
      </c>
      <c r="P166" s="31"/>
      <c r="Q166" s="31"/>
      <c r="R166" s="31"/>
      <c r="S166" s="66"/>
      <c r="T166" s="6"/>
      <c r="U166" s="6"/>
    </row>
    <row r="167" spans="1:21" ht="21.75" customHeight="1" x14ac:dyDescent="0.25">
      <c r="A167" s="87"/>
      <c r="B167" s="76"/>
      <c r="C167" s="76"/>
      <c r="D167" s="76"/>
      <c r="E167" s="77" t="s">
        <v>75</v>
      </c>
      <c r="F167" s="77" t="s">
        <v>75</v>
      </c>
      <c r="G167" s="77" t="s">
        <v>75</v>
      </c>
      <c r="H167" s="77" t="s">
        <v>75</v>
      </c>
      <c r="I167" s="77" t="s">
        <v>75</v>
      </c>
      <c r="J167" s="77" t="s">
        <v>75</v>
      </c>
      <c r="K167" s="77" t="s">
        <v>75</v>
      </c>
      <c r="L167" s="77" t="s">
        <v>75</v>
      </c>
      <c r="M167" s="77" t="s">
        <v>75</v>
      </c>
      <c r="N167" s="77" t="s">
        <v>75</v>
      </c>
      <c r="O167" s="77" t="s">
        <v>75</v>
      </c>
      <c r="P167" s="77" t="s">
        <v>75</v>
      </c>
      <c r="Q167" s="77" t="s">
        <v>75</v>
      </c>
      <c r="R167" s="77" t="s">
        <v>75</v>
      </c>
      <c r="S167" s="78"/>
      <c r="T167" s="6"/>
      <c r="U167" s="6"/>
    </row>
    <row r="168" spans="1:21" ht="21.75" customHeight="1" x14ac:dyDescent="0.25">
      <c r="A168" s="99" t="s">
        <v>21</v>
      </c>
      <c r="B168" s="55" t="s">
        <v>141</v>
      </c>
      <c r="C168" s="56" t="s">
        <v>44</v>
      </c>
      <c r="D168" s="45" t="s">
        <v>6</v>
      </c>
      <c r="E168" s="50">
        <f>SUM(F168:R168)</f>
        <v>0</v>
      </c>
      <c r="F168" s="47">
        <f>F169</f>
        <v>0</v>
      </c>
      <c r="G168" s="48"/>
      <c r="H168" s="48"/>
      <c r="I168" s="48"/>
      <c r="J168" s="49"/>
      <c r="K168" s="47">
        <f>SUM(K169:K169)</f>
        <v>0</v>
      </c>
      <c r="L168" s="48"/>
      <c r="M168" s="48"/>
      <c r="N168" s="48"/>
      <c r="O168" s="49"/>
      <c r="P168" s="50">
        <f>SUM(P169:P169)</f>
        <v>0</v>
      </c>
      <c r="Q168" s="50">
        <f>SUM(Q169:Q169)</f>
        <v>0</v>
      </c>
      <c r="R168" s="50">
        <f>SUM(R169:R169)</f>
        <v>0</v>
      </c>
      <c r="S168" s="57" t="s">
        <v>22</v>
      </c>
      <c r="T168" s="6"/>
      <c r="U168" s="6"/>
    </row>
    <row r="169" spans="1:21" ht="79.5" customHeight="1" x14ac:dyDescent="0.25">
      <c r="A169" s="100"/>
      <c r="B169" s="55"/>
      <c r="C169" s="56"/>
      <c r="D169" s="60" t="s">
        <v>8</v>
      </c>
      <c r="E169" s="50">
        <f>SUM(F169:R169)</f>
        <v>0</v>
      </c>
      <c r="F169" s="62">
        <v>0</v>
      </c>
      <c r="G169" s="63"/>
      <c r="H169" s="63"/>
      <c r="I169" s="63"/>
      <c r="J169" s="64"/>
      <c r="K169" s="62">
        <v>0</v>
      </c>
      <c r="L169" s="63"/>
      <c r="M169" s="63"/>
      <c r="N169" s="63"/>
      <c r="O169" s="64"/>
      <c r="P169" s="65">
        <v>0</v>
      </c>
      <c r="Q169" s="65">
        <v>0</v>
      </c>
      <c r="R169" s="65">
        <v>0</v>
      </c>
      <c r="S169" s="66"/>
      <c r="T169" s="6"/>
      <c r="U169" s="6"/>
    </row>
    <row r="170" spans="1:21" ht="21.75" customHeight="1" x14ac:dyDescent="0.25">
      <c r="A170" s="100"/>
      <c r="B170" s="67" t="s">
        <v>92</v>
      </c>
      <c r="C170" s="67" t="s">
        <v>44</v>
      </c>
      <c r="D170" s="67" t="s">
        <v>75</v>
      </c>
      <c r="E170" s="68" t="s">
        <v>76</v>
      </c>
      <c r="F170" s="68" t="s">
        <v>77</v>
      </c>
      <c r="G170" s="69" t="s">
        <v>78</v>
      </c>
      <c r="H170" s="70"/>
      <c r="I170" s="70"/>
      <c r="J170" s="71"/>
      <c r="K170" s="68" t="s">
        <v>194</v>
      </c>
      <c r="L170" s="69" t="s">
        <v>78</v>
      </c>
      <c r="M170" s="70"/>
      <c r="N170" s="70"/>
      <c r="O170" s="71"/>
      <c r="P170" s="31" t="s">
        <v>41</v>
      </c>
      <c r="Q170" s="31" t="s">
        <v>42</v>
      </c>
      <c r="R170" s="31" t="s">
        <v>43</v>
      </c>
      <c r="S170" s="66"/>
      <c r="T170" s="6"/>
      <c r="U170" s="6"/>
    </row>
    <row r="171" spans="1:21" ht="21.75" customHeight="1" x14ac:dyDescent="0.25">
      <c r="A171" s="100"/>
      <c r="B171" s="72"/>
      <c r="C171" s="72"/>
      <c r="D171" s="72"/>
      <c r="E171" s="73"/>
      <c r="F171" s="73"/>
      <c r="G171" s="74" t="s">
        <v>79</v>
      </c>
      <c r="H171" s="74" t="s">
        <v>80</v>
      </c>
      <c r="I171" s="74" t="s">
        <v>81</v>
      </c>
      <c r="J171" s="74" t="s">
        <v>82</v>
      </c>
      <c r="K171" s="73"/>
      <c r="L171" s="74" t="s">
        <v>79</v>
      </c>
      <c r="M171" s="74" t="s">
        <v>80</v>
      </c>
      <c r="N171" s="74" t="s">
        <v>81</v>
      </c>
      <c r="O171" s="74" t="s">
        <v>82</v>
      </c>
      <c r="P171" s="31"/>
      <c r="Q171" s="31"/>
      <c r="R171" s="31"/>
      <c r="S171" s="66"/>
      <c r="T171" s="6"/>
      <c r="U171" s="6"/>
    </row>
    <row r="172" spans="1:21" ht="63.75" customHeight="1" x14ac:dyDescent="0.25">
      <c r="A172" s="101"/>
      <c r="B172" s="76"/>
      <c r="C172" s="76"/>
      <c r="D172" s="76"/>
      <c r="E172" s="77" t="s">
        <v>75</v>
      </c>
      <c r="F172" s="77" t="s">
        <v>75</v>
      </c>
      <c r="G172" s="77" t="s">
        <v>75</v>
      </c>
      <c r="H172" s="77" t="s">
        <v>75</v>
      </c>
      <c r="I172" s="77" t="s">
        <v>75</v>
      </c>
      <c r="J172" s="77" t="s">
        <v>75</v>
      </c>
      <c r="K172" s="77" t="s">
        <v>75</v>
      </c>
      <c r="L172" s="77" t="s">
        <v>75</v>
      </c>
      <c r="M172" s="77" t="s">
        <v>75</v>
      </c>
      <c r="N172" s="77" t="s">
        <v>75</v>
      </c>
      <c r="O172" s="77" t="s">
        <v>75</v>
      </c>
      <c r="P172" s="77" t="s">
        <v>75</v>
      </c>
      <c r="Q172" s="77" t="s">
        <v>75</v>
      </c>
      <c r="R172" s="77" t="s">
        <v>75</v>
      </c>
      <c r="S172" s="78"/>
      <c r="T172" s="6"/>
      <c r="U172" s="6"/>
    </row>
    <row r="173" spans="1:21" ht="21.75" customHeight="1" x14ac:dyDescent="0.25">
      <c r="A173" s="83" t="s">
        <v>11</v>
      </c>
      <c r="B173" s="84" t="s">
        <v>142</v>
      </c>
      <c r="C173" s="44" t="s">
        <v>44</v>
      </c>
      <c r="D173" s="45" t="s">
        <v>6</v>
      </c>
      <c r="E173" s="50">
        <f>SUM(F173:R173)</f>
        <v>0</v>
      </c>
      <c r="F173" s="47">
        <f>F174</f>
        <v>0</v>
      </c>
      <c r="G173" s="48"/>
      <c r="H173" s="48"/>
      <c r="I173" s="48"/>
      <c r="J173" s="49"/>
      <c r="K173" s="47">
        <f>SUM(K174:K174)</f>
        <v>0</v>
      </c>
      <c r="L173" s="48"/>
      <c r="M173" s="48"/>
      <c r="N173" s="48"/>
      <c r="O173" s="49"/>
      <c r="P173" s="50">
        <f>SUM(P174:P174)</f>
        <v>0</v>
      </c>
      <c r="Q173" s="50">
        <f>SUM(Q174:Q174)</f>
        <v>0</v>
      </c>
      <c r="R173" s="50">
        <f>SUM(R174:R174)</f>
        <v>0</v>
      </c>
      <c r="S173" s="51" t="s">
        <v>22</v>
      </c>
      <c r="T173" s="6"/>
      <c r="U173" s="6"/>
    </row>
    <row r="174" spans="1:21" ht="52.5" customHeight="1" x14ac:dyDescent="0.25">
      <c r="A174" s="83"/>
      <c r="B174" s="84"/>
      <c r="C174" s="44"/>
      <c r="D174" s="45" t="s">
        <v>8</v>
      </c>
      <c r="E174" s="50">
        <f>SUM(F174:R174)</f>
        <v>0</v>
      </c>
      <c r="F174" s="47">
        <f>F176</f>
        <v>0</v>
      </c>
      <c r="G174" s="48"/>
      <c r="H174" s="48"/>
      <c r="I174" s="48"/>
      <c r="J174" s="49"/>
      <c r="K174" s="47">
        <f>K176</f>
        <v>0</v>
      </c>
      <c r="L174" s="48"/>
      <c r="M174" s="48"/>
      <c r="N174" s="48"/>
      <c r="O174" s="49"/>
      <c r="P174" s="50">
        <f t="shared" ref="P174:Q174" si="33">P176</f>
        <v>0</v>
      </c>
      <c r="Q174" s="50">
        <f t="shared" si="33"/>
        <v>0</v>
      </c>
      <c r="R174" s="50">
        <f>R176</f>
        <v>0</v>
      </c>
      <c r="S174" s="51"/>
      <c r="T174" s="6"/>
      <c r="U174" s="6"/>
    </row>
    <row r="175" spans="1:21" ht="21.75" customHeight="1" x14ac:dyDescent="0.25">
      <c r="A175" s="85" t="s">
        <v>12</v>
      </c>
      <c r="B175" s="55" t="s">
        <v>143</v>
      </c>
      <c r="C175" s="85" t="s">
        <v>44</v>
      </c>
      <c r="D175" s="45" t="s">
        <v>6</v>
      </c>
      <c r="E175" s="50">
        <f>SUM(F175:R175)</f>
        <v>0</v>
      </c>
      <c r="F175" s="47">
        <f>F176</f>
        <v>0</v>
      </c>
      <c r="G175" s="48"/>
      <c r="H175" s="48"/>
      <c r="I175" s="48"/>
      <c r="J175" s="49"/>
      <c r="K175" s="47">
        <f>SUM(K176:K176)</f>
        <v>0</v>
      </c>
      <c r="L175" s="48"/>
      <c r="M175" s="48"/>
      <c r="N175" s="48"/>
      <c r="O175" s="49"/>
      <c r="P175" s="50">
        <f>SUM(P176:P176)</f>
        <v>0</v>
      </c>
      <c r="Q175" s="50">
        <f>SUM(Q176:Q176)</f>
        <v>0</v>
      </c>
      <c r="R175" s="50">
        <f>SUM(R176:R176)</f>
        <v>0</v>
      </c>
      <c r="S175" s="57" t="s">
        <v>22</v>
      </c>
      <c r="T175" s="6"/>
      <c r="U175" s="6"/>
    </row>
    <row r="176" spans="1:21" ht="56.25" customHeight="1" x14ac:dyDescent="0.25">
      <c r="A176" s="86"/>
      <c r="B176" s="55"/>
      <c r="C176" s="87"/>
      <c r="D176" s="60" t="s">
        <v>8</v>
      </c>
      <c r="E176" s="50">
        <f>SUM(F176:R176)</f>
        <v>0</v>
      </c>
      <c r="F176" s="62">
        <v>0</v>
      </c>
      <c r="G176" s="63"/>
      <c r="H176" s="63"/>
      <c r="I176" s="63"/>
      <c r="J176" s="64"/>
      <c r="K176" s="62">
        <v>0</v>
      </c>
      <c r="L176" s="63"/>
      <c r="M176" s="63"/>
      <c r="N176" s="63"/>
      <c r="O176" s="64"/>
      <c r="P176" s="65">
        <v>0</v>
      </c>
      <c r="Q176" s="65">
        <v>0</v>
      </c>
      <c r="R176" s="65">
        <v>0</v>
      </c>
      <c r="S176" s="66"/>
      <c r="T176" s="6"/>
      <c r="U176" s="6"/>
    </row>
    <row r="177" spans="1:21" ht="21.75" customHeight="1" x14ac:dyDescent="0.25">
      <c r="A177" s="86"/>
      <c r="B177" s="67" t="s">
        <v>93</v>
      </c>
      <c r="C177" s="67" t="s">
        <v>44</v>
      </c>
      <c r="D177" s="67" t="s">
        <v>75</v>
      </c>
      <c r="E177" s="68" t="s">
        <v>76</v>
      </c>
      <c r="F177" s="68" t="s">
        <v>77</v>
      </c>
      <c r="G177" s="69" t="s">
        <v>78</v>
      </c>
      <c r="H177" s="70"/>
      <c r="I177" s="70"/>
      <c r="J177" s="71"/>
      <c r="K177" s="68" t="s">
        <v>194</v>
      </c>
      <c r="L177" s="69" t="s">
        <v>78</v>
      </c>
      <c r="M177" s="70"/>
      <c r="N177" s="70"/>
      <c r="O177" s="71"/>
      <c r="P177" s="31" t="s">
        <v>41</v>
      </c>
      <c r="Q177" s="31" t="s">
        <v>42</v>
      </c>
      <c r="R177" s="31" t="s">
        <v>43</v>
      </c>
      <c r="S177" s="66"/>
      <c r="T177" s="6"/>
      <c r="U177" s="6"/>
    </row>
    <row r="178" spans="1:21" ht="21.75" customHeight="1" x14ac:dyDescent="0.25">
      <c r="A178" s="86"/>
      <c r="B178" s="72"/>
      <c r="C178" s="72"/>
      <c r="D178" s="72"/>
      <c r="E178" s="73"/>
      <c r="F178" s="73"/>
      <c r="G178" s="74" t="s">
        <v>79</v>
      </c>
      <c r="H178" s="74" t="s">
        <v>80</v>
      </c>
      <c r="I178" s="74" t="s">
        <v>81</v>
      </c>
      <c r="J178" s="74" t="s">
        <v>82</v>
      </c>
      <c r="K178" s="73"/>
      <c r="L178" s="74" t="s">
        <v>79</v>
      </c>
      <c r="M178" s="74" t="s">
        <v>80</v>
      </c>
      <c r="N178" s="74" t="s">
        <v>81</v>
      </c>
      <c r="O178" s="74" t="s">
        <v>82</v>
      </c>
      <c r="P178" s="31"/>
      <c r="Q178" s="31"/>
      <c r="R178" s="31"/>
      <c r="S178" s="66"/>
      <c r="T178" s="6"/>
      <c r="U178" s="6"/>
    </row>
    <row r="179" spans="1:21" ht="21.75" customHeight="1" x14ac:dyDescent="0.25">
      <c r="A179" s="87"/>
      <c r="B179" s="76"/>
      <c r="C179" s="76"/>
      <c r="D179" s="76"/>
      <c r="E179" s="77" t="s">
        <v>75</v>
      </c>
      <c r="F179" s="77" t="s">
        <v>75</v>
      </c>
      <c r="G179" s="77" t="s">
        <v>75</v>
      </c>
      <c r="H179" s="77" t="s">
        <v>75</v>
      </c>
      <c r="I179" s="77" t="s">
        <v>75</v>
      </c>
      <c r="J179" s="77" t="s">
        <v>75</v>
      </c>
      <c r="K179" s="77" t="s">
        <v>75</v>
      </c>
      <c r="L179" s="77" t="s">
        <v>75</v>
      </c>
      <c r="M179" s="77" t="s">
        <v>75</v>
      </c>
      <c r="N179" s="77" t="s">
        <v>75</v>
      </c>
      <c r="O179" s="77" t="s">
        <v>75</v>
      </c>
      <c r="P179" s="77" t="s">
        <v>75</v>
      </c>
      <c r="Q179" s="77" t="s">
        <v>75</v>
      </c>
      <c r="R179" s="77" t="s">
        <v>75</v>
      </c>
      <c r="S179" s="78"/>
      <c r="T179" s="6"/>
      <c r="U179" s="6"/>
    </row>
    <row r="180" spans="1:21" ht="21.75" customHeight="1" x14ac:dyDescent="0.25">
      <c r="A180" s="83" t="s">
        <v>25</v>
      </c>
      <c r="B180" s="84" t="s">
        <v>144</v>
      </c>
      <c r="C180" s="56" t="s">
        <v>44</v>
      </c>
      <c r="D180" s="45" t="s">
        <v>6</v>
      </c>
      <c r="E180" s="50">
        <f t="shared" ref="E180:E185" si="34">SUM(F180:R180)</f>
        <v>4316497.82656</v>
      </c>
      <c r="F180" s="47">
        <f>F181+F182</f>
        <v>866217.27159999998</v>
      </c>
      <c r="G180" s="48"/>
      <c r="H180" s="48"/>
      <c r="I180" s="48"/>
      <c r="J180" s="49"/>
      <c r="K180" s="47">
        <f>K181+K182</f>
        <v>861040.03873999999</v>
      </c>
      <c r="L180" s="48"/>
      <c r="M180" s="48"/>
      <c r="N180" s="48"/>
      <c r="O180" s="49"/>
      <c r="P180" s="50">
        <f>SUM(P181:P182)</f>
        <v>861040.03873999999</v>
      </c>
      <c r="Q180" s="50">
        <f>SUM(Q181:Q182)</f>
        <v>864100.23874000006</v>
      </c>
      <c r="R180" s="50">
        <f>SUM(R181:R182)</f>
        <v>864100.23874000006</v>
      </c>
      <c r="S180" s="51" t="s">
        <v>22</v>
      </c>
      <c r="T180" s="6"/>
      <c r="U180" s="6"/>
    </row>
    <row r="181" spans="1:21" ht="54" customHeight="1" x14ac:dyDescent="0.25">
      <c r="A181" s="83"/>
      <c r="B181" s="84"/>
      <c r="C181" s="56"/>
      <c r="D181" s="45" t="s">
        <v>8</v>
      </c>
      <c r="E181" s="50">
        <f t="shared" si="34"/>
        <v>3986825.1214199997</v>
      </c>
      <c r="F181" s="47">
        <f>F184+F190</f>
        <v>793317.58481999999</v>
      </c>
      <c r="G181" s="48"/>
      <c r="H181" s="48"/>
      <c r="I181" s="48"/>
      <c r="J181" s="49"/>
      <c r="K181" s="47">
        <f>K184+K190</f>
        <v>798376.88414999994</v>
      </c>
      <c r="L181" s="48"/>
      <c r="M181" s="48"/>
      <c r="N181" s="48"/>
      <c r="O181" s="49"/>
      <c r="P181" s="50">
        <f t="shared" ref="P181:R181" si="35">P184+P190</f>
        <v>798376.88414999994</v>
      </c>
      <c r="Q181" s="50">
        <f t="shared" si="35"/>
        <v>798376.88415000006</v>
      </c>
      <c r="R181" s="50">
        <f t="shared" si="35"/>
        <v>798376.88415000006</v>
      </c>
      <c r="S181" s="51"/>
      <c r="T181" s="6"/>
      <c r="U181" s="6"/>
    </row>
    <row r="182" spans="1:21" ht="21.75" customHeight="1" x14ac:dyDescent="0.25">
      <c r="A182" s="83"/>
      <c r="B182" s="84"/>
      <c r="C182" s="56"/>
      <c r="D182" s="94" t="s">
        <v>20</v>
      </c>
      <c r="E182" s="50">
        <f t="shared" si="34"/>
        <v>329672.70514000003</v>
      </c>
      <c r="F182" s="47">
        <f>F185</f>
        <v>72899.686780000004</v>
      </c>
      <c r="G182" s="48"/>
      <c r="H182" s="48"/>
      <c r="I182" s="48"/>
      <c r="J182" s="49"/>
      <c r="K182" s="47">
        <f>K185</f>
        <v>62663.154590000006</v>
      </c>
      <c r="L182" s="48"/>
      <c r="M182" s="48"/>
      <c r="N182" s="48"/>
      <c r="O182" s="49"/>
      <c r="P182" s="50">
        <f t="shared" ref="P182:R182" si="36">P185</f>
        <v>62663.154590000006</v>
      </c>
      <c r="Q182" s="50">
        <f t="shared" si="36"/>
        <v>65723.354590000003</v>
      </c>
      <c r="R182" s="50">
        <f t="shared" si="36"/>
        <v>65723.354590000003</v>
      </c>
      <c r="S182" s="51"/>
      <c r="T182" s="6"/>
      <c r="U182" s="6"/>
    </row>
    <row r="183" spans="1:21" ht="21.75" customHeight="1" x14ac:dyDescent="0.25">
      <c r="A183" s="85" t="s">
        <v>26</v>
      </c>
      <c r="B183" s="55" t="s">
        <v>145</v>
      </c>
      <c r="C183" s="56" t="s">
        <v>44</v>
      </c>
      <c r="D183" s="45" t="s">
        <v>6</v>
      </c>
      <c r="E183" s="50">
        <f t="shared" si="34"/>
        <v>3455457.7878199997</v>
      </c>
      <c r="F183" s="47">
        <f>F184+F185</f>
        <v>866217.27159999998</v>
      </c>
      <c r="G183" s="48"/>
      <c r="H183" s="48"/>
      <c r="I183" s="48"/>
      <c r="J183" s="49"/>
      <c r="K183" s="47">
        <f>SUM(O184:O185)</f>
        <v>0</v>
      </c>
      <c r="L183" s="48"/>
      <c r="M183" s="48"/>
      <c r="N183" s="48"/>
      <c r="O183" s="49"/>
      <c r="P183" s="50">
        <f>SUM(P184:P185)</f>
        <v>861040.03873999999</v>
      </c>
      <c r="Q183" s="50">
        <f>SUM(Q184:Q185)</f>
        <v>864100.23874000006</v>
      </c>
      <c r="R183" s="50">
        <f>SUM(R184:R185)</f>
        <v>864100.23874000006</v>
      </c>
      <c r="S183" s="57" t="s">
        <v>22</v>
      </c>
      <c r="T183" s="6"/>
      <c r="U183" s="6"/>
    </row>
    <row r="184" spans="1:21" ht="54" customHeight="1" x14ac:dyDescent="0.25">
      <c r="A184" s="86"/>
      <c r="B184" s="55"/>
      <c r="C184" s="56"/>
      <c r="D184" s="60" t="s">
        <v>8</v>
      </c>
      <c r="E184" s="50">
        <f t="shared" si="34"/>
        <v>3986825.1214199997</v>
      </c>
      <c r="F184" s="62">
        <f>831943.75803+5000-43326.17321-300</f>
        <v>793317.58481999999</v>
      </c>
      <c r="G184" s="63"/>
      <c r="H184" s="63"/>
      <c r="I184" s="63"/>
      <c r="J184" s="64"/>
      <c r="K184" s="62">
        <f>831943.75803-43326.17321+9759.29933</f>
        <v>798376.88414999994</v>
      </c>
      <c r="L184" s="63"/>
      <c r="M184" s="63"/>
      <c r="N184" s="63"/>
      <c r="O184" s="64"/>
      <c r="P184" s="65">
        <f>831943.75803-43326.17321+9759.29933</f>
        <v>798376.88414999994</v>
      </c>
      <c r="Q184" s="65">
        <f>831943.75803-33566.87388</f>
        <v>798376.88415000006</v>
      </c>
      <c r="R184" s="65">
        <f>831943.75803-33566.87388</f>
        <v>798376.88415000006</v>
      </c>
      <c r="S184" s="66"/>
      <c r="T184" s="6"/>
      <c r="U184" s="6"/>
    </row>
    <row r="185" spans="1:21" ht="21.75" customHeight="1" x14ac:dyDescent="0.25">
      <c r="A185" s="86"/>
      <c r="B185" s="55"/>
      <c r="C185" s="56"/>
      <c r="D185" s="95" t="s">
        <v>20</v>
      </c>
      <c r="E185" s="50">
        <f t="shared" si="34"/>
        <v>329672.70514000003</v>
      </c>
      <c r="F185" s="62">
        <f>65723.35459-3060.2+3220.9129+7015.61929</f>
        <v>72899.686780000004</v>
      </c>
      <c r="G185" s="63"/>
      <c r="H185" s="63"/>
      <c r="I185" s="63"/>
      <c r="J185" s="64"/>
      <c r="K185" s="62">
        <f>65723.35459-3060.2</f>
        <v>62663.154590000006</v>
      </c>
      <c r="L185" s="63"/>
      <c r="M185" s="63"/>
      <c r="N185" s="63"/>
      <c r="O185" s="64"/>
      <c r="P185" s="65">
        <f>65723.35459-3060.2</f>
        <v>62663.154590000006</v>
      </c>
      <c r="Q185" s="65">
        <v>65723.354590000003</v>
      </c>
      <c r="R185" s="65">
        <v>65723.354590000003</v>
      </c>
      <c r="S185" s="66"/>
      <c r="T185" s="6"/>
      <c r="U185" s="6"/>
    </row>
    <row r="186" spans="1:21" ht="21.75" customHeight="1" x14ac:dyDescent="0.25">
      <c r="A186" s="86"/>
      <c r="B186" s="121" t="s">
        <v>146</v>
      </c>
      <c r="C186" s="67" t="s">
        <v>44</v>
      </c>
      <c r="D186" s="67" t="s">
        <v>75</v>
      </c>
      <c r="E186" s="68" t="s">
        <v>76</v>
      </c>
      <c r="F186" s="68" t="s">
        <v>77</v>
      </c>
      <c r="G186" s="69" t="s">
        <v>78</v>
      </c>
      <c r="H186" s="70"/>
      <c r="I186" s="70"/>
      <c r="J186" s="71"/>
      <c r="K186" s="68" t="s">
        <v>194</v>
      </c>
      <c r="L186" s="69" t="s">
        <v>78</v>
      </c>
      <c r="M186" s="70"/>
      <c r="N186" s="70"/>
      <c r="O186" s="71"/>
      <c r="P186" s="31" t="s">
        <v>41</v>
      </c>
      <c r="Q186" s="31" t="s">
        <v>42</v>
      </c>
      <c r="R186" s="31" t="s">
        <v>43</v>
      </c>
      <c r="S186" s="66"/>
      <c r="T186" s="6"/>
      <c r="U186" s="6"/>
    </row>
    <row r="187" spans="1:21" ht="21.75" customHeight="1" x14ac:dyDescent="0.25">
      <c r="A187" s="86"/>
      <c r="B187" s="72"/>
      <c r="C187" s="72"/>
      <c r="D187" s="72"/>
      <c r="E187" s="73"/>
      <c r="F187" s="73"/>
      <c r="G187" s="74" t="s">
        <v>79</v>
      </c>
      <c r="H187" s="74" t="s">
        <v>80</v>
      </c>
      <c r="I187" s="74" t="s">
        <v>81</v>
      </c>
      <c r="J187" s="74" t="s">
        <v>82</v>
      </c>
      <c r="K187" s="73"/>
      <c r="L187" s="74" t="s">
        <v>79</v>
      </c>
      <c r="M187" s="74" t="s">
        <v>80</v>
      </c>
      <c r="N187" s="74" t="s">
        <v>81</v>
      </c>
      <c r="O187" s="74" t="s">
        <v>82</v>
      </c>
      <c r="P187" s="31"/>
      <c r="Q187" s="31"/>
      <c r="R187" s="31"/>
      <c r="S187" s="66"/>
      <c r="T187" s="160"/>
      <c r="U187" s="6"/>
    </row>
    <row r="188" spans="1:21" ht="21.75" customHeight="1" x14ac:dyDescent="0.25">
      <c r="A188" s="87"/>
      <c r="B188" s="76"/>
      <c r="C188" s="76"/>
      <c r="D188" s="76"/>
      <c r="E188" s="97">
        <v>15</v>
      </c>
      <c r="F188" s="97">
        <v>18</v>
      </c>
      <c r="G188" s="97">
        <v>22</v>
      </c>
      <c r="H188" s="97">
        <v>22</v>
      </c>
      <c r="I188" s="97">
        <v>19</v>
      </c>
      <c r="J188" s="97">
        <v>18</v>
      </c>
      <c r="K188" s="97">
        <v>15</v>
      </c>
      <c r="L188" s="97">
        <v>15</v>
      </c>
      <c r="M188" s="97">
        <v>15</v>
      </c>
      <c r="N188" s="97">
        <v>15</v>
      </c>
      <c r="O188" s="97">
        <v>15</v>
      </c>
      <c r="P188" s="97">
        <v>15</v>
      </c>
      <c r="Q188" s="97">
        <v>15</v>
      </c>
      <c r="R188" s="97">
        <v>15</v>
      </c>
      <c r="S188" s="78"/>
      <c r="T188" s="160"/>
      <c r="U188" s="6"/>
    </row>
    <row r="189" spans="1:21" ht="15.75" customHeight="1" x14ac:dyDescent="0.25">
      <c r="A189" s="85" t="s">
        <v>51</v>
      </c>
      <c r="B189" s="107" t="s">
        <v>147</v>
      </c>
      <c r="C189" s="56" t="s">
        <v>44</v>
      </c>
      <c r="D189" s="45" t="s">
        <v>6</v>
      </c>
      <c r="E189" s="50">
        <f>SUM(F189:R189)</f>
        <v>0</v>
      </c>
      <c r="F189" s="47">
        <f>F190</f>
        <v>0</v>
      </c>
      <c r="G189" s="48"/>
      <c r="H189" s="48"/>
      <c r="I189" s="48"/>
      <c r="J189" s="49"/>
      <c r="K189" s="47">
        <f>SUM(K190:K190)</f>
        <v>0</v>
      </c>
      <c r="L189" s="48"/>
      <c r="M189" s="48"/>
      <c r="N189" s="48"/>
      <c r="O189" s="49"/>
      <c r="P189" s="50">
        <f>SUM(P190:P190)</f>
        <v>0</v>
      </c>
      <c r="Q189" s="50">
        <f>SUM(Q190:Q190)</f>
        <v>0</v>
      </c>
      <c r="R189" s="50">
        <f>SUM(R190:R190)</f>
        <v>0</v>
      </c>
      <c r="S189" s="57" t="s">
        <v>22</v>
      </c>
      <c r="T189" s="6"/>
      <c r="U189" s="6"/>
    </row>
    <row r="190" spans="1:21" ht="52.5" customHeight="1" x14ac:dyDescent="0.25">
      <c r="A190" s="86"/>
      <c r="B190" s="109"/>
      <c r="C190" s="56"/>
      <c r="D190" s="60" t="s">
        <v>8</v>
      </c>
      <c r="E190" s="50">
        <f>SUM(F190:R190)</f>
        <v>0</v>
      </c>
      <c r="F190" s="62">
        <v>0</v>
      </c>
      <c r="G190" s="63"/>
      <c r="H190" s="63"/>
      <c r="I190" s="63"/>
      <c r="J190" s="64"/>
      <c r="K190" s="62">
        <v>0</v>
      </c>
      <c r="L190" s="63"/>
      <c r="M190" s="63"/>
      <c r="N190" s="63"/>
      <c r="O190" s="64"/>
      <c r="P190" s="65">
        <v>0</v>
      </c>
      <c r="Q190" s="65">
        <v>0</v>
      </c>
      <c r="R190" s="65">
        <v>0</v>
      </c>
      <c r="S190" s="66"/>
      <c r="T190" s="6"/>
      <c r="U190" s="6"/>
    </row>
    <row r="191" spans="1:21" ht="24.75" hidden="1" customHeight="1" outlineLevel="1" x14ac:dyDescent="0.25">
      <c r="A191" s="86"/>
      <c r="B191" s="67" t="s">
        <v>52</v>
      </c>
      <c r="C191" s="67" t="s">
        <v>44</v>
      </c>
      <c r="D191" s="67" t="s">
        <v>75</v>
      </c>
      <c r="E191" s="68" t="s">
        <v>76</v>
      </c>
      <c r="F191" s="68" t="s">
        <v>77</v>
      </c>
      <c r="G191" s="69" t="s">
        <v>78</v>
      </c>
      <c r="H191" s="70"/>
      <c r="I191" s="70"/>
      <c r="J191" s="71"/>
      <c r="K191" s="80"/>
      <c r="L191" s="80"/>
      <c r="M191" s="80"/>
      <c r="N191" s="80"/>
      <c r="O191" s="31" t="s">
        <v>5</v>
      </c>
      <c r="P191" s="31" t="s">
        <v>41</v>
      </c>
      <c r="Q191" s="31" t="s">
        <v>42</v>
      </c>
      <c r="R191" s="31" t="s">
        <v>43</v>
      </c>
      <c r="S191" s="66"/>
      <c r="T191" s="6"/>
      <c r="U191" s="6"/>
    </row>
    <row r="192" spans="1:21" ht="21" hidden="1" customHeight="1" outlineLevel="1" x14ac:dyDescent="0.25">
      <c r="A192" s="86"/>
      <c r="B192" s="72"/>
      <c r="C192" s="72"/>
      <c r="D192" s="72"/>
      <c r="E192" s="73"/>
      <c r="F192" s="73"/>
      <c r="G192" s="74" t="s">
        <v>79</v>
      </c>
      <c r="H192" s="74" t="s">
        <v>80</v>
      </c>
      <c r="I192" s="74" t="s">
        <v>81</v>
      </c>
      <c r="J192" s="74" t="s">
        <v>82</v>
      </c>
      <c r="K192" s="74"/>
      <c r="L192" s="74"/>
      <c r="M192" s="74"/>
      <c r="N192" s="74"/>
      <c r="O192" s="31"/>
      <c r="P192" s="31"/>
      <c r="Q192" s="31"/>
      <c r="R192" s="31"/>
      <c r="S192" s="66"/>
      <c r="T192" s="6"/>
      <c r="U192" s="6"/>
    </row>
    <row r="193" spans="1:21" ht="18.75" hidden="1" customHeight="1" outlineLevel="1" x14ac:dyDescent="0.25">
      <c r="A193" s="87"/>
      <c r="B193" s="76"/>
      <c r="C193" s="76"/>
      <c r="D193" s="76"/>
      <c r="E193" s="77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78"/>
      <c r="T193" s="6"/>
      <c r="U193" s="6"/>
    </row>
    <row r="194" spans="1:21" ht="18.75" customHeight="1" collapsed="1" x14ac:dyDescent="0.25">
      <c r="A194" s="83" t="s">
        <v>27</v>
      </c>
      <c r="B194" s="84" t="s">
        <v>148</v>
      </c>
      <c r="C194" s="56" t="s">
        <v>44</v>
      </c>
      <c r="D194" s="45" t="s">
        <v>6</v>
      </c>
      <c r="E194" s="50">
        <f t="shared" ref="E194:E199" si="37">SUM(F194:R194)</f>
        <v>73583.885490000001</v>
      </c>
      <c r="F194" s="47">
        <f>F195+F196</f>
        <v>42482.389450000002</v>
      </c>
      <c r="G194" s="48"/>
      <c r="H194" s="48"/>
      <c r="I194" s="48"/>
      <c r="J194" s="49"/>
      <c r="K194" s="47">
        <f>K195+K196</f>
        <v>7775.3740100000005</v>
      </c>
      <c r="L194" s="48"/>
      <c r="M194" s="48"/>
      <c r="N194" s="48"/>
      <c r="O194" s="49"/>
      <c r="P194" s="50">
        <f>SUM(P195:P196)</f>
        <v>7775.3740100000005</v>
      </c>
      <c r="Q194" s="50">
        <f>SUM(Q195:Q196)</f>
        <v>7775.3740100000005</v>
      </c>
      <c r="R194" s="50">
        <f>SUM(R195:R196)</f>
        <v>7775.3740100000005</v>
      </c>
      <c r="S194" s="51" t="s">
        <v>22</v>
      </c>
      <c r="T194" s="6"/>
      <c r="U194" s="6"/>
    </row>
    <row r="195" spans="1:21" ht="54.75" customHeight="1" x14ac:dyDescent="0.25">
      <c r="A195" s="83"/>
      <c r="B195" s="84"/>
      <c r="C195" s="56"/>
      <c r="D195" s="45" t="s">
        <v>8</v>
      </c>
      <c r="E195" s="50">
        <f t="shared" si="37"/>
        <v>41375.71544</v>
      </c>
      <c r="F195" s="47">
        <f>F198+F204+F210+F215</f>
        <v>36175.71544</v>
      </c>
      <c r="G195" s="48"/>
      <c r="H195" s="48"/>
      <c r="I195" s="48"/>
      <c r="J195" s="49"/>
      <c r="K195" s="47">
        <f>K198+K204+K210+K215</f>
        <v>1300</v>
      </c>
      <c r="L195" s="48"/>
      <c r="M195" s="48"/>
      <c r="N195" s="48"/>
      <c r="O195" s="49"/>
      <c r="P195" s="50">
        <f>P198+P204+P210+P215</f>
        <v>1300</v>
      </c>
      <c r="Q195" s="50">
        <f>Q198+Q204+Q210+Q215</f>
        <v>1300</v>
      </c>
      <c r="R195" s="50">
        <f>R198+R204+R210+R215</f>
        <v>1300</v>
      </c>
      <c r="S195" s="51"/>
      <c r="T195" s="6"/>
      <c r="U195" s="6"/>
    </row>
    <row r="196" spans="1:21" ht="39" customHeight="1" x14ac:dyDescent="0.25">
      <c r="A196" s="83"/>
      <c r="B196" s="84"/>
      <c r="C196" s="56"/>
      <c r="D196" s="94" t="s">
        <v>20</v>
      </c>
      <c r="E196" s="50">
        <f t="shared" si="37"/>
        <v>32208.170050000001</v>
      </c>
      <c r="F196" s="47">
        <f>F199+F205</f>
        <v>6306.6740100000006</v>
      </c>
      <c r="G196" s="48"/>
      <c r="H196" s="48"/>
      <c r="I196" s="48"/>
      <c r="J196" s="49"/>
      <c r="K196" s="47">
        <f>O199+K205</f>
        <v>6475.3740100000005</v>
      </c>
      <c r="L196" s="48"/>
      <c r="M196" s="48"/>
      <c r="N196" s="48"/>
      <c r="O196" s="49"/>
      <c r="P196" s="50">
        <f t="shared" ref="P196:R196" si="38">P199+P205</f>
        <v>6475.3740100000005</v>
      </c>
      <c r="Q196" s="50">
        <f t="shared" si="38"/>
        <v>6475.3740100000005</v>
      </c>
      <c r="R196" s="50">
        <f t="shared" si="38"/>
        <v>6475.3740100000005</v>
      </c>
      <c r="S196" s="51"/>
      <c r="T196" s="11"/>
      <c r="U196" s="6"/>
    </row>
    <row r="197" spans="1:21" ht="25.5" customHeight="1" x14ac:dyDescent="0.25">
      <c r="A197" s="85" t="s">
        <v>28</v>
      </c>
      <c r="B197" s="107" t="s">
        <v>149</v>
      </c>
      <c r="C197" s="56" t="s">
        <v>44</v>
      </c>
      <c r="D197" s="45" t="s">
        <v>6</v>
      </c>
      <c r="E197" s="50">
        <f t="shared" si="37"/>
        <v>1500</v>
      </c>
      <c r="F197" s="47">
        <f>F198</f>
        <v>300</v>
      </c>
      <c r="G197" s="48"/>
      <c r="H197" s="48"/>
      <c r="I197" s="48"/>
      <c r="J197" s="49"/>
      <c r="K197" s="47">
        <f>SUM(K198)</f>
        <v>300</v>
      </c>
      <c r="L197" s="48"/>
      <c r="M197" s="48"/>
      <c r="N197" s="48"/>
      <c r="O197" s="49"/>
      <c r="P197" s="50">
        <f>SUM(P198:P199)</f>
        <v>300</v>
      </c>
      <c r="Q197" s="50">
        <f>SUM(Q198:Q199)</f>
        <v>300</v>
      </c>
      <c r="R197" s="50">
        <f>SUM(R198:R199)</f>
        <v>300</v>
      </c>
      <c r="S197" s="57" t="s">
        <v>22</v>
      </c>
      <c r="T197" s="6"/>
      <c r="U197" s="6"/>
    </row>
    <row r="198" spans="1:21" ht="56.25" customHeight="1" x14ac:dyDescent="0.25">
      <c r="A198" s="86"/>
      <c r="B198" s="108"/>
      <c r="C198" s="56"/>
      <c r="D198" s="60" t="s">
        <v>8</v>
      </c>
      <c r="E198" s="50">
        <f t="shared" si="37"/>
        <v>1500</v>
      </c>
      <c r="F198" s="62">
        <v>300</v>
      </c>
      <c r="G198" s="63"/>
      <c r="H198" s="63"/>
      <c r="I198" s="63"/>
      <c r="J198" s="64"/>
      <c r="K198" s="62">
        <v>300</v>
      </c>
      <c r="L198" s="63"/>
      <c r="M198" s="63"/>
      <c r="N198" s="63"/>
      <c r="O198" s="64"/>
      <c r="P198" s="65">
        <v>300</v>
      </c>
      <c r="Q198" s="65">
        <v>300</v>
      </c>
      <c r="R198" s="65">
        <v>300</v>
      </c>
      <c r="S198" s="66"/>
      <c r="T198" s="6"/>
      <c r="U198" s="6"/>
    </row>
    <row r="199" spans="1:21" ht="25.5" hidden="1" customHeight="1" outlineLevel="1" x14ac:dyDescent="0.25">
      <c r="A199" s="86"/>
      <c r="B199" s="109"/>
      <c r="C199" s="56"/>
      <c r="D199" s="95" t="s">
        <v>20</v>
      </c>
      <c r="E199" s="50">
        <f t="shared" si="37"/>
        <v>0</v>
      </c>
      <c r="F199" s="123">
        <v>0</v>
      </c>
      <c r="G199" s="124"/>
      <c r="H199" s="124"/>
      <c r="I199" s="124"/>
      <c r="J199" s="125"/>
      <c r="K199" s="102"/>
      <c r="L199" s="102"/>
      <c r="M199" s="102"/>
      <c r="N199" s="102"/>
      <c r="O199" s="65">
        <v>0</v>
      </c>
      <c r="P199" s="65">
        <v>0</v>
      </c>
      <c r="Q199" s="65">
        <v>0</v>
      </c>
      <c r="R199" s="65">
        <v>0</v>
      </c>
      <c r="S199" s="66"/>
      <c r="T199" s="6"/>
      <c r="U199" s="6"/>
    </row>
    <row r="200" spans="1:21" ht="25.5" customHeight="1" collapsed="1" x14ac:dyDescent="0.25">
      <c r="A200" s="86"/>
      <c r="B200" s="67" t="s">
        <v>94</v>
      </c>
      <c r="C200" s="67" t="s">
        <v>44</v>
      </c>
      <c r="D200" s="67" t="s">
        <v>75</v>
      </c>
      <c r="E200" s="68" t="s">
        <v>76</v>
      </c>
      <c r="F200" s="68" t="s">
        <v>77</v>
      </c>
      <c r="G200" s="69" t="s">
        <v>78</v>
      </c>
      <c r="H200" s="70"/>
      <c r="I200" s="70"/>
      <c r="J200" s="71"/>
      <c r="K200" s="68" t="s">
        <v>194</v>
      </c>
      <c r="L200" s="69" t="s">
        <v>78</v>
      </c>
      <c r="M200" s="70"/>
      <c r="N200" s="70"/>
      <c r="O200" s="71"/>
      <c r="P200" s="31" t="s">
        <v>41</v>
      </c>
      <c r="Q200" s="31" t="s">
        <v>42</v>
      </c>
      <c r="R200" s="31" t="s">
        <v>43</v>
      </c>
      <c r="S200" s="66"/>
      <c r="T200" s="6"/>
      <c r="U200" s="6"/>
    </row>
    <row r="201" spans="1:21" ht="25.5" customHeight="1" x14ac:dyDescent="0.25">
      <c r="A201" s="86"/>
      <c r="B201" s="72"/>
      <c r="C201" s="72"/>
      <c r="D201" s="72"/>
      <c r="E201" s="73"/>
      <c r="F201" s="73"/>
      <c r="G201" s="74" t="s">
        <v>79</v>
      </c>
      <c r="H201" s="74" t="s">
        <v>80</v>
      </c>
      <c r="I201" s="74" t="s">
        <v>81</v>
      </c>
      <c r="J201" s="74" t="s">
        <v>82</v>
      </c>
      <c r="K201" s="73"/>
      <c r="L201" s="74" t="s">
        <v>79</v>
      </c>
      <c r="M201" s="74" t="s">
        <v>80</v>
      </c>
      <c r="N201" s="74" t="s">
        <v>81</v>
      </c>
      <c r="O201" s="74" t="s">
        <v>82</v>
      </c>
      <c r="P201" s="31"/>
      <c r="Q201" s="31"/>
      <c r="R201" s="31"/>
      <c r="S201" s="66"/>
      <c r="T201" s="6"/>
      <c r="U201" s="6"/>
    </row>
    <row r="202" spans="1:21" ht="66" customHeight="1" x14ac:dyDescent="0.25">
      <c r="A202" s="87"/>
      <c r="B202" s="76"/>
      <c r="C202" s="76"/>
      <c r="D202" s="76"/>
      <c r="E202" s="97">
        <v>1</v>
      </c>
      <c r="F202" s="97">
        <v>1</v>
      </c>
      <c r="G202" s="77" t="s">
        <v>75</v>
      </c>
      <c r="H202" s="77" t="s">
        <v>75</v>
      </c>
      <c r="I202" s="77" t="s">
        <v>75</v>
      </c>
      <c r="J202" s="97">
        <v>1</v>
      </c>
      <c r="K202" s="97">
        <v>1</v>
      </c>
      <c r="L202" s="77" t="s">
        <v>75</v>
      </c>
      <c r="M202" s="77" t="s">
        <v>75</v>
      </c>
      <c r="N202" s="77" t="s">
        <v>75</v>
      </c>
      <c r="O202" s="97">
        <v>1</v>
      </c>
      <c r="P202" s="97">
        <v>1</v>
      </c>
      <c r="Q202" s="97">
        <v>1</v>
      </c>
      <c r="R202" s="97">
        <v>1</v>
      </c>
      <c r="S202" s="78"/>
      <c r="T202" s="6"/>
      <c r="U202" s="6"/>
    </row>
    <row r="203" spans="1:21" ht="25.5" customHeight="1" x14ac:dyDescent="0.25">
      <c r="A203" s="85" t="s">
        <v>29</v>
      </c>
      <c r="B203" s="107" t="s">
        <v>150</v>
      </c>
      <c r="C203" s="56" t="s">
        <v>44</v>
      </c>
      <c r="D203" s="45" t="s">
        <v>6</v>
      </c>
      <c r="E203" s="50">
        <f>SUM(F203:R203)</f>
        <v>37066.930850000004</v>
      </c>
      <c r="F203" s="47">
        <f>F204+F205</f>
        <v>7165.4348100000007</v>
      </c>
      <c r="G203" s="48"/>
      <c r="H203" s="48"/>
      <c r="I203" s="48"/>
      <c r="J203" s="49"/>
      <c r="K203" s="47">
        <f>K204+K205</f>
        <v>7475.3740100000005</v>
      </c>
      <c r="L203" s="48"/>
      <c r="M203" s="48"/>
      <c r="N203" s="48"/>
      <c r="O203" s="49"/>
      <c r="P203" s="50">
        <f>SUM(P204:P205)</f>
        <v>7475.3740100000005</v>
      </c>
      <c r="Q203" s="50">
        <f>SUM(Q204:Q205)</f>
        <v>7475.3740100000005</v>
      </c>
      <c r="R203" s="50">
        <f>SUM(R204:R205)</f>
        <v>7475.3740100000005</v>
      </c>
      <c r="S203" s="57" t="s">
        <v>22</v>
      </c>
      <c r="T203" s="6"/>
      <c r="U203" s="6"/>
    </row>
    <row r="204" spans="1:21" ht="51.75" customHeight="1" x14ac:dyDescent="0.25">
      <c r="A204" s="86"/>
      <c r="B204" s="108"/>
      <c r="C204" s="56"/>
      <c r="D204" s="60" t="s">
        <v>8</v>
      </c>
      <c r="E204" s="50">
        <f>SUM(F204:R204)</f>
        <v>4858.7608</v>
      </c>
      <c r="F204" s="62">
        <f>1300-300-75.9625-18.73796-76.29954+220-100-90.2392</f>
        <v>858.76080000000002</v>
      </c>
      <c r="G204" s="63"/>
      <c r="H204" s="63"/>
      <c r="I204" s="63"/>
      <c r="J204" s="64"/>
      <c r="K204" s="62">
        <f>1300-300</f>
        <v>1000</v>
      </c>
      <c r="L204" s="63"/>
      <c r="M204" s="63"/>
      <c r="N204" s="63"/>
      <c r="O204" s="64"/>
      <c r="P204" s="65">
        <f>1300-300</f>
        <v>1000</v>
      </c>
      <c r="Q204" s="65">
        <f>1300-300</f>
        <v>1000</v>
      </c>
      <c r="R204" s="65">
        <f>1300-300</f>
        <v>1000</v>
      </c>
      <c r="S204" s="66"/>
      <c r="T204" s="6"/>
      <c r="U204" s="6"/>
    </row>
    <row r="205" spans="1:21" ht="25.5" customHeight="1" x14ac:dyDescent="0.25">
      <c r="A205" s="86"/>
      <c r="B205" s="109"/>
      <c r="C205" s="56"/>
      <c r="D205" s="95" t="s">
        <v>20</v>
      </c>
      <c r="E205" s="50">
        <f>SUM(F205:R205)</f>
        <v>32208.170050000001</v>
      </c>
      <c r="F205" s="62">
        <f>6475.37401-168.7</f>
        <v>6306.6740100000006</v>
      </c>
      <c r="G205" s="63"/>
      <c r="H205" s="63"/>
      <c r="I205" s="63"/>
      <c r="J205" s="64"/>
      <c r="K205" s="62">
        <v>6475.3740100000005</v>
      </c>
      <c r="L205" s="63"/>
      <c r="M205" s="63"/>
      <c r="N205" s="63"/>
      <c r="O205" s="64"/>
      <c r="P205" s="65">
        <v>6475.3740100000005</v>
      </c>
      <c r="Q205" s="65">
        <v>6475.3740100000005</v>
      </c>
      <c r="R205" s="65">
        <v>6475.3740100000005</v>
      </c>
      <c r="S205" s="66"/>
      <c r="T205" s="6"/>
      <c r="U205" s="6"/>
    </row>
    <row r="206" spans="1:21" ht="18.75" customHeight="1" x14ac:dyDescent="0.25">
      <c r="A206" s="86"/>
      <c r="B206" s="67" t="s">
        <v>115</v>
      </c>
      <c r="C206" s="67" t="s">
        <v>44</v>
      </c>
      <c r="D206" s="67" t="s">
        <v>75</v>
      </c>
      <c r="E206" s="68" t="s">
        <v>76</v>
      </c>
      <c r="F206" s="68" t="s">
        <v>77</v>
      </c>
      <c r="G206" s="69" t="s">
        <v>78</v>
      </c>
      <c r="H206" s="70"/>
      <c r="I206" s="70"/>
      <c r="J206" s="71"/>
      <c r="K206" s="68" t="s">
        <v>194</v>
      </c>
      <c r="L206" s="69" t="s">
        <v>78</v>
      </c>
      <c r="M206" s="70"/>
      <c r="N206" s="70"/>
      <c r="O206" s="71"/>
      <c r="P206" s="31" t="s">
        <v>41</v>
      </c>
      <c r="Q206" s="31" t="s">
        <v>42</v>
      </c>
      <c r="R206" s="31" t="s">
        <v>43</v>
      </c>
      <c r="S206" s="66"/>
      <c r="T206" s="6"/>
      <c r="U206" s="6"/>
    </row>
    <row r="207" spans="1:21" ht="18.75" customHeight="1" x14ac:dyDescent="0.25">
      <c r="A207" s="86"/>
      <c r="B207" s="72"/>
      <c r="C207" s="72"/>
      <c r="D207" s="72"/>
      <c r="E207" s="73"/>
      <c r="F207" s="73"/>
      <c r="G207" s="74" t="s">
        <v>79</v>
      </c>
      <c r="H207" s="74" t="s">
        <v>80</v>
      </c>
      <c r="I207" s="74" t="s">
        <v>81</v>
      </c>
      <c r="J207" s="74" t="s">
        <v>82</v>
      </c>
      <c r="K207" s="73"/>
      <c r="L207" s="74" t="s">
        <v>79</v>
      </c>
      <c r="M207" s="74" t="s">
        <v>80</v>
      </c>
      <c r="N207" s="74" t="s">
        <v>81</v>
      </c>
      <c r="O207" s="74" t="s">
        <v>82</v>
      </c>
      <c r="P207" s="31"/>
      <c r="Q207" s="31"/>
      <c r="R207" s="31"/>
      <c r="S207" s="66"/>
      <c r="T207" s="6"/>
      <c r="U207" s="6"/>
    </row>
    <row r="208" spans="1:21" ht="36.75" customHeight="1" x14ac:dyDescent="0.25">
      <c r="A208" s="87"/>
      <c r="B208" s="76"/>
      <c r="C208" s="76"/>
      <c r="D208" s="76"/>
      <c r="E208" s="97">
        <v>15</v>
      </c>
      <c r="F208" s="97">
        <v>16</v>
      </c>
      <c r="G208" s="77" t="s">
        <v>75</v>
      </c>
      <c r="H208" s="97">
        <v>4</v>
      </c>
      <c r="I208" s="97">
        <v>5</v>
      </c>
      <c r="J208" s="97">
        <v>7</v>
      </c>
      <c r="K208" s="97">
        <v>15</v>
      </c>
      <c r="L208" s="77" t="s">
        <v>75</v>
      </c>
      <c r="M208" s="97">
        <v>5</v>
      </c>
      <c r="N208" s="97">
        <v>5</v>
      </c>
      <c r="O208" s="97">
        <v>5</v>
      </c>
      <c r="P208" s="97">
        <v>15</v>
      </c>
      <c r="Q208" s="97">
        <v>15</v>
      </c>
      <c r="R208" s="97">
        <v>15</v>
      </c>
      <c r="S208" s="78"/>
      <c r="T208" s="6"/>
      <c r="U208" s="6"/>
    </row>
    <row r="209" spans="1:21" ht="21.75" customHeight="1" x14ac:dyDescent="0.3">
      <c r="A209" s="85" t="s">
        <v>30</v>
      </c>
      <c r="B209" s="107" t="s">
        <v>151</v>
      </c>
      <c r="C209" s="56" t="s">
        <v>44</v>
      </c>
      <c r="D209" s="45" t="s">
        <v>6</v>
      </c>
      <c r="E209" s="50">
        <f>SUM(F209:R209)</f>
        <v>0</v>
      </c>
      <c r="F209" s="47">
        <f>F210</f>
        <v>0</v>
      </c>
      <c r="G209" s="48"/>
      <c r="H209" s="48"/>
      <c r="I209" s="48"/>
      <c r="J209" s="49"/>
      <c r="K209" s="47">
        <f>SUM(K210:K210)</f>
        <v>0</v>
      </c>
      <c r="L209" s="48"/>
      <c r="M209" s="48"/>
      <c r="N209" s="48"/>
      <c r="O209" s="49"/>
      <c r="P209" s="50">
        <f>SUM(P210:P210)</f>
        <v>0</v>
      </c>
      <c r="Q209" s="50">
        <f>SUM(Q210:Q210)</f>
        <v>0</v>
      </c>
      <c r="R209" s="50">
        <f>SUM(R210:R210)</f>
        <v>0</v>
      </c>
      <c r="S209" s="57" t="s">
        <v>22</v>
      </c>
      <c r="T209" s="12"/>
      <c r="U209" s="6"/>
    </row>
    <row r="210" spans="1:21" ht="60" customHeight="1" x14ac:dyDescent="0.3">
      <c r="A210" s="86"/>
      <c r="B210" s="108"/>
      <c r="C210" s="56"/>
      <c r="D210" s="60" t="s">
        <v>8</v>
      </c>
      <c r="E210" s="50">
        <f>SUM(F210:R210)</f>
        <v>0</v>
      </c>
      <c r="F210" s="62">
        <v>0</v>
      </c>
      <c r="G210" s="63"/>
      <c r="H210" s="63"/>
      <c r="I210" s="63"/>
      <c r="J210" s="64"/>
      <c r="K210" s="62">
        <v>0</v>
      </c>
      <c r="L210" s="63"/>
      <c r="M210" s="63"/>
      <c r="N210" s="63"/>
      <c r="O210" s="64"/>
      <c r="P210" s="65">
        <v>0</v>
      </c>
      <c r="Q210" s="65">
        <v>0</v>
      </c>
      <c r="R210" s="65">
        <v>0</v>
      </c>
      <c r="S210" s="66"/>
      <c r="T210" s="13"/>
      <c r="U210" s="14"/>
    </row>
    <row r="211" spans="1:21" ht="26.25" customHeight="1" x14ac:dyDescent="0.3">
      <c r="A211" s="86"/>
      <c r="B211" s="67" t="s">
        <v>199</v>
      </c>
      <c r="C211" s="67" t="s">
        <v>44</v>
      </c>
      <c r="D211" s="67" t="s">
        <v>75</v>
      </c>
      <c r="E211" s="68" t="s">
        <v>76</v>
      </c>
      <c r="F211" s="68" t="s">
        <v>77</v>
      </c>
      <c r="G211" s="69" t="s">
        <v>78</v>
      </c>
      <c r="H211" s="70"/>
      <c r="I211" s="70"/>
      <c r="J211" s="71"/>
      <c r="K211" s="68" t="s">
        <v>194</v>
      </c>
      <c r="L211" s="69" t="s">
        <v>78</v>
      </c>
      <c r="M211" s="70"/>
      <c r="N211" s="70"/>
      <c r="O211" s="71"/>
      <c r="P211" s="31" t="s">
        <v>41</v>
      </c>
      <c r="Q211" s="31" t="s">
        <v>42</v>
      </c>
      <c r="R211" s="31" t="s">
        <v>43</v>
      </c>
      <c r="S211" s="66"/>
      <c r="T211" s="9"/>
      <c r="U211" s="6"/>
    </row>
    <row r="212" spans="1:21" ht="19.5" customHeight="1" x14ac:dyDescent="0.3">
      <c r="A212" s="86"/>
      <c r="B212" s="72"/>
      <c r="C212" s="72"/>
      <c r="D212" s="72"/>
      <c r="E212" s="73"/>
      <c r="F212" s="73"/>
      <c r="G212" s="74" t="s">
        <v>79</v>
      </c>
      <c r="H212" s="74" t="s">
        <v>80</v>
      </c>
      <c r="I212" s="74" t="s">
        <v>81</v>
      </c>
      <c r="J212" s="74" t="s">
        <v>82</v>
      </c>
      <c r="K212" s="73"/>
      <c r="L212" s="74" t="s">
        <v>79</v>
      </c>
      <c r="M212" s="74" t="s">
        <v>80</v>
      </c>
      <c r="N212" s="74" t="s">
        <v>81</v>
      </c>
      <c r="O212" s="74" t="s">
        <v>82</v>
      </c>
      <c r="P212" s="31"/>
      <c r="Q212" s="31"/>
      <c r="R212" s="31"/>
      <c r="S212" s="66"/>
      <c r="T212" s="9"/>
      <c r="U212" s="6"/>
    </row>
    <row r="213" spans="1:21" ht="61.5" customHeight="1" x14ac:dyDescent="0.3">
      <c r="A213" s="87"/>
      <c r="B213" s="76"/>
      <c r="C213" s="76"/>
      <c r="D213" s="76"/>
      <c r="E213" s="77" t="s">
        <v>75</v>
      </c>
      <c r="F213" s="77" t="s">
        <v>75</v>
      </c>
      <c r="G213" s="77" t="s">
        <v>75</v>
      </c>
      <c r="H213" s="77" t="s">
        <v>75</v>
      </c>
      <c r="I213" s="77" t="s">
        <v>75</v>
      </c>
      <c r="J213" s="77" t="s">
        <v>75</v>
      </c>
      <c r="K213" s="77" t="s">
        <v>75</v>
      </c>
      <c r="L213" s="77" t="s">
        <v>75</v>
      </c>
      <c r="M213" s="77" t="s">
        <v>75</v>
      </c>
      <c r="N213" s="77" t="s">
        <v>75</v>
      </c>
      <c r="O213" s="77" t="s">
        <v>75</v>
      </c>
      <c r="P213" s="77" t="s">
        <v>75</v>
      </c>
      <c r="Q213" s="77" t="s">
        <v>75</v>
      </c>
      <c r="R213" s="77" t="s">
        <v>75</v>
      </c>
      <c r="S213" s="78"/>
      <c r="T213" s="9"/>
      <c r="U213" s="6"/>
    </row>
    <row r="214" spans="1:21" ht="27.75" customHeight="1" x14ac:dyDescent="0.3">
      <c r="A214" s="85" t="s">
        <v>53</v>
      </c>
      <c r="B214" s="107" t="s">
        <v>152</v>
      </c>
      <c r="C214" s="56" t="s">
        <v>44</v>
      </c>
      <c r="D214" s="45" t="s">
        <v>6</v>
      </c>
      <c r="E214" s="50">
        <f>SUM(F214:R214)</f>
        <v>35016.954640000004</v>
      </c>
      <c r="F214" s="47">
        <f>F215</f>
        <v>35016.954640000004</v>
      </c>
      <c r="G214" s="48"/>
      <c r="H214" s="48"/>
      <c r="I214" s="48"/>
      <c r="J214" s="49"/>
      <c r="K214" s="47">
        <f>SUM(K215:K215)</f>
        <v>0</v>
      </c>
      <c r="L214" s="48"/>
      <c r="M214" s="48"/>
      <c r="N214" s="48"/>
      <c r="O214" s="49"/>
      <c r="P214" s="50">
        <f>SUM(P215:P215)</f>
        <v>0</v>
      </c>
      <c r="Q214" s="50">
        <f>SUM(Q215:Q215)</f>
        <v>0</v>
      </c>
      <c r="R214" s="50">
        <f>SUM(R215:R215)</f>
        <v>0</v>
      </c>
      <c r="S214" s="57" t="s">
        <v>22</v>
      </c>
      <c r="T214" s="9"/>
      <c r="U214" s="6"/>
    </row>
    <row r="215" spans="1:21" ht="58.5" customHeight="1" x14ac:dyDescent="0.3">
      <c r="A215" s="86"/>
      <c r="B215" s="108"/>
      <c r="C215" s="56"/>
      <c r="D215" s="60" t="s">
        <v>8</v>
      </c>
      <c r="E215" s="50">
        <f>SUM(F215:R215)</f>
        <v>35016.954640000004</v>
      </c>
      <c r="F215" s="62">
        <f>19040+16593.86203+310-310-616.90739</f>
        <v>35016.954640000004</v>
      </c>
      <c r="G215" s="63"/>
      <c r="H215" s="63"/>
      <c r="I215" s="63"/>
      <c r="J215" s="64"/>
      <c r="K215" s="62">
        <v>0</v>
      </c>
      <c r="L215" s="63"/>
      <c r="M215" s="63"/>
      <c r="N215" s="63"/>
      <c r="O215" s="64"/>
      <c r="P215" s="65">
        <v>0</v>
      </c>
      <c r="Q215" s="65">
        <v>0</v>
      </c>
      <c r="R215" s="65">
        <v>0</v>
      </c>
      <c r="S215" s="66"/>
      <c r="T215" s="9"/>
      <c r="U215" s="6"/>
    </row>
    <row r="216" spans="1:21" ht="19.5" customHeight="1" x14ac:dyDescent="0.3">
      <c r="A216" s="86"/>
      <c r="B216" s="67" t="s">
        <v>116</v>
      </c>
      <c r="C216" s="67" t="s">
        <v>44</v>
      </c>
      <c r="D216" s="67" t="s">
        <v>75</v>
      </c>
      <c r="E216" s="68" t="s">
        <v>76</v>
      </c>
      <c r="F216" s="68" t="s">
        <v>77</v>
      </c>
      <c r="G216" s="69" t="s">
        <v>78</v>
      </c>
      <c r="H216" s="70"/>
      <c r="I216" s="70"/>
      <c r="J216" s="71"/>
      <c r="K216" s="68" t="s">
        <v>194</v>
      </c>
      <c r="L216" s="69" t="s">
        <v>78</v>
      </c>
      <c r="M216" s="70"/>
      <c r="N216" s="70"/>
      <c r="O216" s="71"/>
      <c r="P216" s="31" t="s">
        <v>41</v>
      </c>
      <c r="Q216" s="31" t="s">
        <v>42</v>
      </c>
      <c r="R216" s="31" t="s">
        <v>43</v>
      </c>
      <c r="S216" s="66"/>
      <c r="T216" s="9"/>
      <c r="U216" s="6"/>
    </row>
    <row r="217" spans="1:21" ht="19.5" customHeight="1" x14ac:dyDescent="0.3">
      <c r="A217" s="86"/>
      <c r="B217" s="72"/>
      <c r="C217" s="72"/>
      <c r="D217" s="72"/>
      <c r="E217" s="73"/>
      <c r="F217" s="73"/>
      <c r="G217" s="74" t="s">
        <v>79</v>
      </c>
      <c r="H217" s="74" t="s">
        <v>80</v>
      </c>
      <c r="I217" s="74" t="s">
        <v>81</v>
      </c>
      <c r="J217" s="74" t="s">
        <v>82</v>
      </c>
      <c r="K217" s="73"/>
      <c r="L217" s="74" t="s">
        <v>79</v>
      </c>
      <c r="M217" s="74" t="s">
        <v>80</v>
      </c>
      <c r="N217" s="74" t="s">
        <v>81</v>
      </c>
      <c r="O217" s="74" t="s">
        <v>82</v>
      </c>
      <c r="P217" s="31"/>
      <c r="Q217" s="31"/>
      <c r="R217" s="31"/>
      <c r="S217" s="66"/>
      <c r="T217" s="9"/>
      <c r="U217" s="6"/>
    </row>
    <row r="218" spans="1:21" ht="42" customHeight="1" x14ac:dyDescent="0.3">
      <c r="A218" s="87"/>
      <c r="B218" s="76"/>
      <c r="C218" s="76"/>
      <c r="D218" s="76"/>
      <c r="E218" s="96">
        <v>2</v>
      </c>
      <c r="F218" s="96">
        <v>2</v>
      </c>
      <c r="G218" s="96" t="s">
        <v>75</v>
      </c>
      <c r="H218" s="96" t="s">
        <v>75</v>
      </c>
      <c r="I218" s="96">
        <v>2</v>
      </c>
      <c r="J218" s="96" t="s">
        <v>75</v>
      </c>
      <c r="K218" s="96" t="s">
        <v>75</v>
      </c>
      <c r="L218" s="96" t="s">
        <v>75</v>
      </c>
      <c r="M218" s="96" t="s">
        <v>75</v>
      </c>
      <c r="N218" s="96" t="s">
        <v>75</v>
      </c>
      <c r="O218" s="96" t="s">
        <v>75</v>
      </c>
      <c r="P218" s="126" t="s">
        <v>75</v>
      </c>
      <c r="Q218" s="126" t="s">
        <v>75</v>
      </c>
      <c r="R218" s="126" t="s">
        <v>75</v>
      </c>
      <c r="S218" s="78"/>
      <c r="T218" s="9"/>
      <c r="U218" s="6"/>
    </row>
    <row r="219" spans="1:21" ht="19.5" customHeight="1" x14ac:dyDescent="0.3">
      <c r="A219" s="85" t="s">
        <v>69</v>
      </c>
      <c r="B219" s="107" t="s">
        <v>153</v>
      </c>
      <c r="C219" s="56" t="s">
        <v>44</v>
      </c>
      <c r="D219" s="45" t="s">
        <v>6</v>
      </c>
      <c r="E219" s="50">
        <f>SUM(F219:R219)</f>
        <v>0</v>
      </c>
      <c r="F219" s="47">
        <f>F220</f>
        <v>0</v>
      </c>
      <c r="G219" s="48"/>
      <c r="H219" s="48"/>
      <c r="I219" s="48"/>
      <c r="J219" s="49"/>
      <c r="K219" s="47">
        <f>SUM(K220:K220)</f>
        <v>0</v>
      </c>
      <c r="L219" s="48"/>
      <c r="M219" s="48"/>
      <c r="N219" s="48"/>
      <c r="O219" s="49"/>
      <c r="P219" s="50">
        <f>SUM(P220:P220)</f>
        <v>0</v>
      </c>
      <c r="Q219" s="50">
        <f>SUM(Q220:Q220)</f>
        <v>0</v>
      </c>
      <c r="R219" s="50">
        <f>SUM(R220:R220)</f>
        <v>0</v>
      </c>
      <c r="S219" s="57" t="s">
        <v>22</v>
      </c>
      <c r="T219" s="9"/>
      <c r="U219" s="6"/>
    </row>
    <row r="220" spans="1:21" ht="60.75" customHeight="1" x14ac:dyDescent="0.3">
      <c r="A220" s="86"/>
      <c r="B220" s="108"/>
      <c r="C220" s="56"/>
      <c r="D220" s="60" t="s">
        <v>8</v>
      </c>
      <c r="E220" s="50">
        <f>SUM(F220:R220)</f>
        <v>0</v>
      </c>
      <c r="F220" s="62">
        <v>0</v>
      </c>
      <c r="G220" s="63"/>
      <c r="H220" s="63"/>
      <c r="I220" s="63"/>
      <c r="J220" s="64"/>
      <c r="K220" s="62">
        <v>0</v>
      </c>
      <c r="L220" s="63"/>
      <c r="M220" s="63"/>
      <c r="N220" s="63"/>
      <c r="O220" s="64"/>
      <c r="P220" s="65">
        <v>0</v>
      </c>
      <c r="Q220" s="65">
        <v>0</v>
      </c>
      <c r="R220" s="65">
        <v>0</v>
      </c>
      <c r="S220" s="66"/>
      <c r="T220" s="9"/>
      <c r="U220" s="6"/>
    </row>
    <row r="221" spans="1:21" ht="19.5" customHeight="1" x14ac:dyDescent="0.3">
      <c r="A221" s="86"/>
      <c r="B221" s="67" t="s">
        <v>97</v>
      </c>
      <c r="C221" s="67" t="s">
        <v>44</v>
      </c>
      <c r="D221" s="67" t="s">
        <v>75</v>
      </c>
      <c r="E221" s="68" t="s">
        <v>76</v>
      </c>
      <c r="F221" s="68" t="s">
        <v>77</v>
      </c>
      <c r="G221" s="69" t="s">
        <v>78</v>
      </c>
      <c r="H221" s="70"/>
      <c r="I221" s="70"/>
      <c r="J221" s="71"/>
      <c r="K221" s="68" t="s">
        <v>194</v>
      </c>
      <c r="L221" s="69" t="s">
        <v>78</v>
      </c>
      <c r="M221" s="70"/>
      <c r="N221" s="70"/>
      <c r="O221" s="71"/>
      <c r="P221" s="31" t="s">
        <v>41</v>
      </c>
      <c r="Q221" s="31" t="s">
        <v>42</v>
      </c>
      <c r="R221" s="31" t="s">
        <v>43</v>
      </c>
      <c r="S221" s="66"/>
      <c r="T221" s="9"/>
      <c r="U221" s="6"/>
    </row>
    <row r="222" spans="1:21" ht="19.5" customHeight="1" x14ac:dyDescent="0.3">
      <c r="A222" s="86"/>
      <c r="B222" s="72"/>
      <c r="C222" s="72"/>
      <c r="D222" s="72"/>
      <c r="E222" s="73"/>
      <c r="F222" s="73"/>
      <c r="G222" s="74" t="s">
        <v>79</v>
      </c>
      <c r="H222" s="74" t="s">
        <v>80</v>
      </c>
      <c r="I222" s="74" t="s">
        <v>81</v>
      </c>
      <c r="J222" s="74" t="s">
        <v>82</v>
      </c>
      <c r="K222" s="73"/>
      <c r="L222" s="74" t="s">
        <v>79</v>
      </c>
      <c r="M222" s="74" t="s">
        <v>80</v>
      </c>
      <c r="N222" s="74" t="s">
        <v>81</v>
      </c>
      <c r="O222" s="74" t="s">
        <v>82</v>
      </c>
      <c r="P222" s="31"/>
      <c r="Q222" s="31"/>
      <c r="R222" s="31"/>
      <c r="S222" s="66"/>
      <c r="T222" s="9"/>
      <c r="U222" s="6"/>
    </row>
    <row r="223" spans="1:21" ht="62.25" customHeight="1" x14ac:dyDescent="0.3">
      <c r="A223" s="87"/>
      <c r="B223" s="76"/>
      <c r="C223" s="76"/>
      <c r="D223" s="76"/>
      <c r="E223" s="77" t="s">
        <v>75</v>
      </c>
      <c r="F223" s="77" t="s">
        <v>75</v>
      </c>
      <c r="G223" s="77" t="s">
        <v>75</v>
      </c>
      <c r="H223" s="77" t="s">
        <v>75</v>
      </c>
      <c r="I223" s="77" t="s">
        <v>75</v>
      </c>
      <c r="J223" s="77" t="s">
        <v>75</v>
      </c>
      <c r="K223" s="77" t="s">
        <v>75</v>
      </c>
      <c r="L223" s="77" t="s">
        <v>75</v>
      </c>
      <c r="M223" s="77" t="s">
        <v>75</v>
      </c>
      <c r="N223" s="77" t="s">
        <v>75</v>
      </c>
      <c r="O223" s="77" t="s">
        <v>75</v>
      </c>
      <c r="P223" s="77" t="s">
        <v>75</v>
      </c>
      <c r="Q223" s="77" t="s">
        <v>75</v>
      </c>
      <c r="R223" s="77" t="s">
        <v>75</v>
      </c>
      <c r="S223" s="78"/>
      <c r="T223" s="9"/>
      <c r="U223" s="6"/>
    </row>
    <row r="224" spans="1:21" ht="19.5" customHeight="1" x14ac:dyDescent="0.3">
      <c r="A224" s="85" t="s">
        <v>70</v>
      </c>
      <c r="B224" s="107" t="s">
        <v>154</v>
      </c>
      <c r="C224" s="56" t="s">
        <v>44</v>
      </c>
      <c r="D224" s="45" t="s">
        <v>6</v>
      </c>
      <c r="E224" s="50">
        <f>SUM(F224:R224)</f>
        <v>0</v>
      </c>
      <c r="F224" s="47">
        <f>F225</f>
        <v>0</v>
      </c>
      <c r="G224" s="48"/>
      <c r="H224" s="48"/>
      <c r="I224" s="48"/>
      <c r="J224" s="49"/>
      <c r="K224" s="47">
        <f>SUM(K225:K225)</f>
        <v>0</v>
      </c>
      <c r="L224" s="48"/>
      <c r="M224" s="48"/>
      <c r="N224" s="48"/>
      <c r="O224" s="49"/>
      <c r="P224" s="50">
        <f>SUM(P225:P225)</f>
        <v>0</v>
      </c>
      <c r="Q224" s="50">
        <f>SUM(Q225:Q225)</f>
        <v>0</v>
      </c>
      <c r="R224" s="50">
        <f>SUM(R225:R225)</f>
        <v>0</v>
      </c>
      <c r="S224" s="57" t="s">
        <v>22</v>
      </c>
      <c r="T224" s="9"/>
      <c r="U224" s="6"/>
    </row>
    <row r="225" spans="1:21" ht="54" customHeight="1" x14ac:dyDescent="0.3">
      <c r="A225" s="86"/>
      <c r="B225" s="108"/>
      <c r="C225" s="56"/>
      <c r="D225" s="60" t="s">
        <v>8</v>
      </c>
      <c r="E225" s="50">
        <f>SUM(F225:R225)</f>
        <v>0</v>
      </c>
      <c r="F225" s="62">
        <v>0</v>
      </c>
      <c r="G225" s="63"/>
      <c r="H225" s="63"/>
      <c r="I225" s="63"/>
      <c r="J225" s="64"/>
      <c r="K225" s="62">
        <v>0</v>
      </c>
      <c r="L225" s="63"/>
      <c r="M225" s="63"/>
      <c r="N225" s="63"/>
      <c r="O225" s="64"/>
      <c r="P225" s="65">
        <v>0</v>
      </c>
      <c r="Q225" s="65">
        <v>0</v>
      </c>
      <c r="R225" s="65">
        <v>0</v>
      </c>
      <c r="S225" s="66"/>
      <c r="T225" s="9"/>
      <c r="U225" s="6"/>
    </row>
    <row r="226" spans="1:21" ht="19.5" customHeight="1" x14ac:dyDescent="0.3">
      <c r="A226" s="86"/>
      <c r="B226" s="67" t="s">
        <v>155</v>
      </c>
      <c r="C226" s="67" t="s">
        <v>44</v>
      </c>
      <c r="D226" s="67" t="s">
        <v>75</v>
      </c>
      <c r="E226" s="68" t="s">
        <v>76</v>
      </c>
      <c r="F226" s="68" t="s">
        <v>77</v>
      </c>
      <c r="G226" s="69" t="s">
        <v>78</v>
      </c>
      <c r="H226" s="70"/>
      <c r="I226" s="70"/>
      <c r="J226" s="71"/>
      <c r="K226" s="68" t="s">
        <v>194</v>
      </c>
      <c r="L226" s="69" t="s">
        <v>78</v>
      </c>
      <c r="M226" s="70"/>
      <c r="N226" s="70"/>
      <c r="O226" s="71"/>
      <c r="P226" s="31" t="s">
        <v>41</v>
      </c>
      <c r="Q226" s="31" t="s">
        <v>42</v>
      </c>
      <c r="R226" s="31" t="s">
        <v>43</v>
      </c>
      <c r="S226" s="66"/>
      <c r="T226" s="9"/>
      <c r="U226" s="6"/>
    </row>
    <row r="227" spans="1:21" ht="19.5" customHeight="1" x14ac:dyDescent="0.3">
      <c r="A227" s="86"/>
      <c r="B227" s="72"/>
      <c r="C227" s="72"/>
      <c r="D227" s="72"/>
      <c r="E227" s="73"/>
      <c r="F227" s="73"/>
      <c r="G227" s="74" t="s">
        <v>79</v>
      </c>
      <c r="H227" s="74" t="s">
        <v>80</v>
      </c>
      <c r="I227" s="74" t="s">
        <v>81</v>
      </c>
      <c r="J227" s="74" t="s">
        <v>82</v>
      </c>
      <c r="K227" s="73"/>
      <c r="L227" s="74" t="s">
        <v>79</v>
      </c>
      <c r="M227" s="74" t="s">
        <v>80</v>
      </c>
      <c r="N227" s="74" t="s">
        <v>81</v>
      </c>
      <c r="O227" s="74" t="s">
        <v>82</v>
      </c>
      <c r="P227" s="31"/>
      <c r="Q227" s="31"/>
      <c r="R227" s="31"/>
      <c r="S227" s="66"/>
      <c r="T227" s="9"/>
      <c r="U227" s="6"/>
    </row>
    <row r="228" spans="1:21" ht="31.5" customHeight="1" x14ac:dyDescent="0.3">
      <c r="A228" s="87"/>
      <c r="B228" s="76"/>
      <c r="C228" s="76"/>
      <c r="D228" s="76"/>
      <c r="E228" s="77" t="s">
        <v>75</v>
      </c>
      <c r="F228" s="77" t="s">
        <v>75</v>
      </c>
      <c r="G228" s="77" t="s">
        <v>75</v>
      </c>
      <c r="H228" s="77" t="s">
        <v>75</v>
      </c>
      <c r="I228" s="77" t="s">
        <v>75</v>
      </c>
      <c r="J228" s="77" t="s">
        <v>75</v>
      </c>
      <c r="K228" s="77" t="s">
        <v>75</v>
      </c>
      <c r="L228" s="77" t="s">
        <v>75</v>
      </c>
      <c r="M228" s="77" t="s">
        <v>75</v>
      </c>
      <c r="N228" s="77" t="s">
        <v>75</v>
      </c>
      <c r="O228" s="77" t="s">
        <v>75</v>
      </c>
      <c r="P228" s="77" t="s">
        <v>75</v>
      </c>
      <c r="Q228" s="77" t="s">
        <v>75</v>
      </c>
      <c r="R228" s="77" t="s">
        <v>75</v>
      </c>
      <c r="S228" s="78"/>
      <c r="T228" s="9"/>
      <c r="U228" s="6"/>
    </row>
    <row r="229" spans="1:21" ht="19.5" customHeight="1" x14ac:dyDescent="0.3">
      <c r="A229" s="43" t="s">
        <v>170</v>
      </c>
      <c r="B229" s="44" t="s">
        <v>54</v>
      </c>
      <c r="C229" s="43" t="s">
        <v>44</v>
      </c>
      <c r="D229" s="45" t="s">
        <v>6</v>
      </c>
      <c r="E229" s="127">
        <f t="shared" ref="E229:E234" si="39">SUM(F229:R229)</f>
        <v>709556.03542999993</v>
      </c>
      <c r="F229" s="128">
        <f>F230+F231</f>
        <v>185540.20887</v>
      </c>
      <c r="G229" s="129"/>
      <c r="H229" s="129"/>
      <c r="I229" s="129"/>
      <c r="J229" s="130"/>
      <c r="K229" s="128">
        <f>K230+K231</f>
        <v>131003.95663999999</v>
      </c>
      <c r="L229" s="129"/>
      <c r="M229" s="129"/>
      <c r="N229" s="129"/>
      <c r="O229" s="130"/>
      <c r="P229" s="127">
        <f>SUM(P230:P231)</f>
        <v>131003.95663999999</v>
      </c>
      <c r="Q229" s="127">
        <f>SUM(Q230:Q231)</f>
        <v>131003.95663999999</v>
      </c>
      <c r="R229" s="127">
        <f>SUM(R230:R231)</f>
        <v>131003.95663999999</v>
      </c>
      <c r="S229" s="51" t="s">
        <v>7</v>
      </c>
      <c r="T229" s="9"/>
      <c r="U229" s="6"/>
    </row>
    <row r="230" spans="1:21" ht="51.75" customHeight="1" x14ac:dyDescent="0.3">
      <c r="A230" s="43"/>
      <c r="B230" s="44"/>
      <c r="C230" s="43"/>
      <c r="D230" s="45" t="s">
        <v>8</v>
      </c>
      <c r="E230" s="127">
        <f t="shared" si="39"/>
        <v>399543.27257999993</v>
      </c>
      <c r="F230" s="128">
        <f>F233+F239</f>
        <v>94375.519899999999</v>
      </c>
      <c r="G230" s="129"/>
      <c r="H230" s="129"/>
      <c r="I230" s="129"/>
      <c r="J230" s="130"/>
      <c r="K230" s="128">
        <f>K233+K239</f>
        <v>76291.938169999994</v>
      </c>
      <c r="L230" s="129"/>
      <c r="M230" s="129"/>
      <c r="N230" s="129"/>
      <c r="O230" s="130"/>
      <c r="P230" s="127">
        <f>P233+P239</f>
        <v>76291.938169999994</v>
      </c>
      <c r="Q230" s="127">
        <f>Q233+Q239</f>
        <v>76291.938169999994</v>
      </c>
      <c r="R230" s="127">
        <f>R233+R239</f>
        <v>76291.938169999994</v>
      </c>
      <c r="S230" s="51"/>
      <c r="T230" s="9"/>
      <c r="U230" s="6"/>
    </row>
    <row r="231" spans="1:21" ht="19.5" customHeight="1" x14ac:dyDescent="0.3">
      <c r="A231" s="43"/>
      <c r="B231" s="44"/>
      <c r="C231" s="43"/>
      <c r="D231" s="94" t="s">
        <v>20</v>
      </c>
      <c r="E231" s="127">
        <f t="shared" si="39"/>
        <v>310012.76285</v>
      </c>
      <c r="F231" s="128">
        <f>F234</f>
        <v>91164.688970000003</v>
      </c>
      <c r="G231" s="129"/>
      <c r="H231" s="129"/>
      <c r="I231" s="129"/>
      <c r="J231" s="130"/>
      <c r="K231" s="128">
        <f>K234</f>
        <v>54712.018470000003</v>
      </c>
      <c r="L231" s="129"/>
      <c r="M231" s="129"/>
      <c r="N231" s="129"/>
      <c r="O231" s="130"/>
      <c r="P231" s="127">
        <f t="shared" ref="P231:R231" si="40">P234</f>
        <v>54712.018470000003</v>
      </c>
      <c r="Q231" s="127">
        <f t="shared" si="40"/>
        <v>54712.018470000003</v>
      </c>
      <c r="R231" s="127">
        <f t="shared" si="40"/>
        <v>54712.018470000003</v>
      </c>
      <c r="S231" s="51"/>
      <c r="T231" s="9"/>
      <c r="U231" s="6"/>
    </row>
    <row r="232" spans="1:21" ht="19.5" customHeight="1" x14ac:dyDescent="0.3">
      <c r="A232" s="54" t="s">
        <v>32</v>
      </c>
      <c r="B232" s="55" t="s">
        <v>156</v>
      </c>
      <c r="C232" s="56" t="s">
        <v>44</v>
      </c>
      <c r="D232" s="45" t="s">
        <v>6</v>
      </c>
      <c r="E232" s="127">
        <f t="shared" si="39"/>
        <v>709556.03542999993</v>
      </c>
      <c r="F232" s="128">
        <f>F233+F234</f>
        <v>185540.20887</v>
      </c>
      <c r="G232" s="129"/>
      <c r="H232" s="129"/>
      <c r="I232" s="129"/>
      <c r="J232" s="130"/>
      <c r="K232" s="128">
        <f>SUM(K233:O234)</f>
        <v>131003.95663999999</v>
      </c>
      <c r="L232" s="129"/>
      <c r="M232" s="129"/>
      <c r="N232" s="129"/>
      <c r="O232" s="130"/>
      <c r="P232" s="127">
        <f>SUM(P233:P234)</f>
        <v>131003.95663999999</v>
      </c>
      <c r="Q232" s="127">
        <f>SUM(Q233:Q234)</f>
        <v>131003.95663999999</v>
      </c>
      <c r="R232" s="127">
        <f>SUM(R233:R234)</f>
        <v>131003.95663999999</v>
      </c>
      <c r="S232" s="57" t="s">
        <v>22</v>
      </c>
      <c r="T232" s="9"/>
      <c r="U232" s="6"/>
    </row>
    <row r="233" spans="1:21" ht="49.5" customHeight="1" x14ac:dyDescent="0.3">
      <c r="A233" s="58"/>
      <c r="B233" s="55"/>
      <c r="C233" s="56"/>
      <c r="D233" s="60" t="s">
        <v>8</v>
      </c>
      <c r="E233" s="127">
        <f t="shared" si="39"/>
        <v>399543.27257999993</v>
      </c>
      <c r="F233" s="131">
        <f>59192.50457+1200+1969+0.49964+13.86935+15+14.1403+46.8222+1194+833.46+4618.5+466.95363+5101.53333+1847.52352+16857.36+1004.35336</f>
        <v>94375.519899999999</v>
      </c>
      <c r="G233" s="132"/>
      <c r="H233" s="132"/>
      <c r="I233" s="132"/>
      <c r="J233" s="133"/>
      <c r="K233" s="131">
        <f>59202.50457+17089.4336</f>
        <v>76291.938169999994</v>
      </c>
      <c r="L233" s="132"/>
      <c r="M233" s="132"/>
      <c r="N233" s="132"/>
      <c r="O233" s="133"/>
      <c r="P233" s="134">
        <f>59202.50457+17089.4336</f>
        <v>76291.938169999994</v>
      </c>
      <c r="Q233" s="134">
        <f t="shared" ref="Q233:R233" si="41">59202.50457+17089.4336</f>
        <v>76291.938169999994</v>
      </c>
      <c r="R233" s="134">
        <f t="shared" si="41"/>
        <v>76291.938169999994</v>
      </c>
      <c r="S233" s="66"/>
      <c r="T233" s="9"/>
      <c r="U233" s="6"/>
    </row>
    <row r="234" spans="1:21" ht="19.5" customHeight="1" x14ac:dyDescent="0.3">
      <c r="A234" s="58"/>
      <c r="B234" s="55"/>
      <c r="C234" s="56"/>
      <c r="D234" s="95" t="s">
        <v>20</v>
      </c>
      <c r="E234" s="127">
        <f t="shared" si="39"/>
        <v>310012.76285</v>
      </c>
      <c r="F234" s="131">
        <f>54712.01847+1543.4031+16718.439+15139.38813+3051.44027</f>
        <v>91164.688970000003</v>
      </c>
      <c r="G234" s="132"/>
      <c r="H234" s="132"/>
      <c r="I234" s="132"/>
      <c r="J234" s="133"/>
      <c r="K234" s="131">
        <v>54712.018470000003</v>
      </c>
      <c r="L234" s="132"/>
      <c r="M234" s="132"/>
      <c r="N234" s="132"/>
      <c r="O234" s="133"/>
      <c r="P234" s="134">
        <v>54712.018470000003</v>
      </c>
      <c r="Q234" s="134">
        <v>54712.018470000003</v>
      </c>
      <c r="R234" s="134">
        <v>54712.018470000003</v>
      </c>
      <c r="S234" s="66"/>
      <c r="T234" s="9"/>
      <c r="U234" s="6"/>
    </row>
    <row r="235" spans="1:21" ht="19.5" customHeight="1" x14ac:dyDescent="0.3">
      <c r="A235" s="58"/>
      <c r="B235" s="91" t="s">
        <v>157</v>
      </c>
      <c r="C235" s="67" t="s">
        <v>44</v>
      </c>
      <c r="D235" s="67" t="s">
        <v>75</v>
      </c>
      <c r="E235" s="68" t="s">
        <v>76</v>
      </c>
      <c r="F235" s="68" t="s">
        <v>77</v>
      </c>
      <c r="G235" s="69" t="s">
        <v>78</v>
      </c>
      <c r="H235" s="70"/>
      <c r="I235" s="70"/>
      <c r="J235" s="71"/>
      <c r="K235" s="68" t="s">
        <v>194</v>
      </c>
      <c r="L235" s="69" t="s">
        <v>78</v>
      </c>
      <c r="M235" s="70"/>
      <c r="N235" s="70"/>
      <c r="O235" s="71"/>
      <c r="P235" s="31" t="s">
        <v>41</v>
      </c>
      <c r="Q235" s="31" t="s">
        <v>42</v>
      </c>
      <c r="R235" s="31" t="s">
        <v>43</v>
      </c>
      <c r="S235" s="66"/>
      <c r="T235" s="9"/>
      <c r="U235" s="6"/>
    </row>
    <row r="236" spans="1:21" ht="19.5" customHeight="1" x14ac:dyDescent="0.3">
      <c r="A236" s="58"/>
      <c r="B236" s="92"/>
      <c r="C236" s="72"/>
      <c r="D236" s="72"/>
      <c r="E236" s="73"/>
      <c r="F236" s="73"/>
      <c r="G236" s="74" t="s">
        <v>79</v>
      </c>
      <c r="H236" s="74" t="s">
        <v>80</v>
      </c>
      <c r="I236" s="74" t="s">
        <v>81</v>
      </c>
      <c r="J236" s="74" t="s">
        <v>82</v>
      </c>
      <c r="K236" s="73"/>
      <c r="L236" s="74" t="s">
        <v>79</v>
      </c>
      <c r="M236" s="74" t="s">
        <v>80</v>
      </c>
      <c r="N236" s="74" t="s">
        <v>81</v>
      </c>
      <c r="O236" s="74" t="s">
        <v>82</v>
      </c>
      <c r="P236" s="31"/>
      <c r="Q236" s="31"/>
      <c r="R236" s="31"/>
      <c r="S236" s="66"/>
      <c r="T236" s="9"/>
      <c r="U236" s="6"/>
    </row>
    <row r="237" spans="1:21" ht="28.5" customHeight="1" x14ac:dyDescent="0.3">
      <c r="A237" s="75"/>
      <c r="B237" s="93"/>
      <c r="C237" s="76"/>
      <c r="D237" s="76"/>
      <c r="E237" s="96">
        <v>4</v>
      </c>
      <c r="F237" s="96">
        <v>4</v>
      </c>
      <c r="G237" s="96">
        <v>4</v>
      </c>
      <c r="H237" s="96">
        <v>4</v>
      </c>
      <c r="I237" s="96">
        <v>4</v>
      </c>
      <c r="J237" s="96">
        <v>4</v>
      </c>
      <c r="K237" s="96">
        <v>4</v>
      </c>
      <c r="L237" s="96">
        <v>4</v>
      </c>
      <c r="M237" s="96">
        <v>4</v>
      </c>
      <c r="N237" s="96">
        <v>4</v>
      </c>
      <c r="O237" s="96">
        <v>4</v>
      </c>
      <c r="P237" s="96">
        <v>4</v>
      </c>
      <c r="Q237" s="96">
        <v>4</v>
      </c>
      <c r="R237" s="96">
        <v>4</v>
      </c>
      <c r="S237" s="78"/>
      <c r="T237" s="9"/>
      <c r="U237" s="6"/>
    </row>
    <row r="238" spans="1:21" ht="29.25" customHeight="1" x14ac:dyDescent="0.3">
      <c r="A238" s="85" t="s">
        <v>33</v>
      </c>
      <c r="B238" s="107" t="s">
        <v>158</v>
      </c>
      <c r="C238" s="85" t="s">
        <v>44</v>
      </c>
      <c r="D238" s="45" t="s">
        <v>6</v>
      </c>
      <c r="E238" s="127">
        <f>SUM(F238:R238)</f>
        <v>0</v>
      </c>
      <c r="F238" s="128">
        <f>F239</f>
        <v>0</v>
      </c>
      <c r="G238" s="129"/>
      <c r="H238" s="129"/>
      <c r="I238" s="129"/>
      <c r="J238" s="130"/>
      <c r="K238" s="128">
        <f>K239</f>
        <v>0</v>
      </c>
      <c r="L238" s="129"/>
      <c r="M238" s="129"/>
      <c r="N238" s="129"/>
      <c r="O238" s="130"/>
      <c r="P238" s="127">
        <f t="shared" ref="P238:R238" si="42">P239</f>
        <v>0</v>
      </c>
      <c r="Q238" s="127">
        <f t="shared" si="42"/>
        <v>0</v>
      </c>
      <c r="R238" s="127">
        <f t="shared" si="42"/>
        <v>0</v>
      </c>
      <c r="S238" s="57" t="s">
        <v>22</v>
      </c>
      <c r="T238" s="9"/>
      <c r="U238" s="6"/>
    </row>
    <row r="239" spans="1:21" ht="52.5" customHeight="1" x14ac:dyDescent="0.3">
      <c r="A239" s="86"/>
      <c r="B239" s="109"/>
      <c r="C239" s="87"/>
      <c r="D239" s="60" t="s">
        <v>8</v>
      </c>
      <c r="E239" s="127">
        <f>SUM(F239:R239)</f>
        <v>0</v>
      </c>
      <c r="F239" s="131">
        <v>0</v>
      </c>
      <c r="G239" s="132"/>
      <c r="H239" s="132"/>
      <c r="I239" s="132"/>
      <c r="J239" s="133"/>
      <c r="K239" s="131">
        <v>0</v>
      </c>
      <c r="L239" s="132"/>
      <c r="M239" s="132"/>
      <c r="N239" s="132"/>
      <c r="O239" s="133"/>
      <c r="P239" s="134">
        <v>0</v>
      </c>
      <c r="Q239" s="134">
        <v>0</v>
      </c>
      <c r="R239" s="134">
        <v>0</v>
      </c>
      <c r="S239" s="66"/>
      <c r="T239" s="9"/>
      <c r="U239" s="6"/>
    </row>
    <row r="240" spans="1:21" ht="19.5" customHeight="1" x14ac:dyDescent="0.3">
      <c r="A240" s="86"/>
      <c r="B240" s="67" t="s">
        <v>96</v>
      </c>
      <c r="C240" s="67" t="s">
        <v>44</v>
      </c>
      <c r="D240" s="67" t="s">
        <v>75</v>
      </c>
      <c r="E240" s="68" t="s">
        <v>76</v>
      </c>
      <c r="F240" s="68" t="s">
        <v>77</v>
      </c>
      <c r="G240" s="69" t="s">
        <v>78</v>
      </c>
      <c r="H240" s="70"/>
      <c r="I240" s="70"/>
      <c r="J240" s="71"/>
      <c r="K240" s="68" t="s">
        <v>194</v>
      </c>
      <c r="L240" s="69" t="s">
        <v>78</v>
      </c>
      <c r="M240" s="70"/>
      <c r="N240" s="70"/>
      <c r="O240" s="71"/>
      <c r="P240" s="31" t="s">
        <v>41</v>
      </c>
      <c r="Q240" s="31" t="s">
        <v>42</v>
      </c>
      <c r="R240" s="31" t="s">
        <v>43</v>
      </c>
      <c r="S240" s="66"/>
      <c r="T240" s="9"/>
      <c r="U240" s="6"/>
    </row>
    <row r="241" spans="1:21" ht="19.5" customHeight="1" x14ac:dyDescent="0.3">
      <c r="A241" s="86"/>
      <c r="B241" s="72"/>
      <c r="C241" s="72"/>
      <c r="D241" s="72"/>
      <c r="E241" s="73"/>
      <c r="F241" s="73"/>
      <c r="G241" s="74" t="s">
        <v>79</v>
      </c>
      <c r="H241" s="74" t="s">
        <v>80</v>
      </c>
      <c r="I241" s="74" t="s">
        <v>81</v>
      </c>
      <c r="J241" s="74" t="s">
        <v>82</v>
      </c>
      <c r="K241" s="73"/>
      <c r="L241" s="74" t="s">
        <v>79</v>
      </c>
      <c r="M241" s="74" t="s">
        <v>80</v>
      </c>
      <c r="N241" s="74" t="s">
        <v>81</v>
      </c>
      <c r="O241" s="74" t="s">
        <v>82</v>
      </c>
      <c r="P241" s="31"/>
      <c r="Q241" s="31"/>
      <c r="R241" s="31"/>
      <c r="S241" s="66"/>
      <c r="T241" s="9"/>
      <c r="U241" s="6"/>
    </row>
    <row r="242" spans="1:21" ht="19.5" customHeight="1" x14ac:dyDescent="0.3">
      <c r="A242" s="87"/>
      <c r="B242" s="76"/>
      <c r="C242" s="76"/>
      <c r="D242" s="76"/>
      <c r="E242" s="77" t="s">
        <v>75</v>
      </c>
      <c r="F242" s="77" t="s">
        <v>75</v>
      </c>
      <c r="G242" s="77" t="s">
        <v>75</v>
      </c>
      <c r="H242" s="77" t="s">
        <v>75</v>
      </c>
      <c r="I242" s="77" t="s">
        <v>75</v>
      </c>
      <c r="J242" s="77" t="s">
        <v>75</v>
      </c>
      <c r="K242" s="77" t="s">
        <v>75</v>
      </c>
      <c r="L242" s="77" t="s">
        <v>75</v>
      </c>
      <c r="M242" s="77" t="s">
        <v>75</v>
      </c>
      <c r="N242" s="77" t="s">
        <v>75</v>
      </c>
      <c r="O242" s="77" t="s">
        <v>75</v>
      </c>
      <c r="P242" s="77" t="s">
        <v>75</v>
      </c>
      <c r="Q242" s="77" t="s">
        <v>75</v>
      </c>
      <c r="R242" s="77" t="s">
        <v>75</v>
      </c>
      <c r="S242" s="78"/>
      <c r="T242" s="9"/>
      <c r="U242" s="6"/>
    </row>
    <row r="243" spans="1:21" ht="19.5" customHeight="1" x14ac:dyDescent="0.3">
      <c r="A243" s="85" t="s">
        <v>55</v>
      </c>
      <c r="B243" s="135" t="s">
        <v>180</v>
      </c>
      <c r="C243" s="91" t="s">
        <v>44</v>
      </c>
      <c r="D243" s="45" t="s">
        <v>6</v>
      </c>
      <c r="E243" s="50">
        <f t="shared" ref="E243" si="43">SUM(F243:R243)</f>
        <v>56763.239000000001</v>
      </c>
      <c r="F243" s="47">
        <f>F244</f>
        <v>56763.239000000001</v>
      </c>
      <c r="G243" s="48"/>
      <c r="H243" s="48"/>
      <c r="I243" s="48"/>
      <c r="J243" s="49"/>
      <c r="K243" s="47">
        <f>K244</f>
        <v>0</v>
      </c>
      <c r="L243" s="48"/>
      <c r="M243" s="48"/>
      <c r="N243" s="48"/>
      <c r="O243" s="49"/>
      <c r="P243" s="50">
        <f t="shared" ref="P243:R243" si="44">P244</f>
        <v>0</v>
      </c>
      <c r="Q243" s="50">
        <f t="shared" si="44"/>
        <v>0</v>
      </c>
      <c r="R243" s="50">
        <f t="shared" si="44"/>
        <v>0</v>
      </c>
      <c r="S243" s="51" t="s">
        <v>22</v>
      </c>
      <c r="T243" s="9"/>
      <c r="U243" s="6"/>
    </row>
    <row r="244" spans="1:21" ht="36.75" customHeight="1" x14ac:dyDescent="0.3">
      <c r="A244" s="86"/>
      <c r="B244" s="136"/>
      <c r="C244" s="92"/>
      <c r="D244" s="45" t="s">
        <v>19</v>
      </c>
      <c r="E244" s="50">
        <f>SUM(F244:R244)</f>
        <v>56763.239000000001</v>
      </c>
      <c r="F244" s="47">
        <f>F246</f>
        <v>56763.239000000001</v>
      </c>
      <c r="G244" s="48"/>
      <c r="H244" s="48"/>
      <c r="I244" s="48"/>
      <c r="J244" s="49"/>
      <c r="K244" s="47">
        <f>K246</f>
        <v>0</v>
      </c>
      <c r="L244" s="48"/>
      <c r="M244" s="48"/>
      <c r="N244" s="48"/>
      <c r="O244" s="49"/>
      <c r="P244" s="50">
        <f t="shared" ref="P244:R244" si="45">P246</f>
        <v>0</v>
      </c>
      <c r="Q244" s="50">
        <f t="shared" si="45"/>
        <v>0</v>
      </c>
      <c r="R244" s="50">
        <f t="shared" si="45"/>
        <v>0</v>
      </c>
      <c r="S244" s="51"/>
      <c r="T244" s="9"/>
      <c r="U244" s="6"/>
    </row>
    <row r="245" spans="1:21" ht="19.5" customHeight="1" x14ac:dyDescent="0.3">
      <c r="A245" s="54" t="s">
        <v>104</v>
      </c>
      <c r="B245" s="55" t="s">
        <v>193</v>
      </c>
      <c r="C245" s="85" t="s">
        <v>44</v>
      </c>
      <c r="D245" s="45" t="s">
        <v>6</v>
      </c>
      <c r="E245" s="50">
        <f t="shared" ref="E245:E246" si="46">SUM(F245:R245)</f>
        <v>56763.239000000001</v>
      </c>
      <c r="F245" s="47">
        <f>SUM(F246:J246)</f>
        <v>56763.239000000001</v>
      </c>
      <c r="G245" s="48"/>
      <c r="H245" s="48"/>
      <c r="I245" s="48"/>
      <c r="J245" s="49"/>
      <c r="K245" s="47">
        <f>SUM(K246:K246)</f>
        <v>0</v>
      </c>
      <c r="L245" s="48"/>
      <c r="M245" s="48"/>
      <c r="N245" s="48"/>
      <c r="O245" s="49"/>
      <c r="P245" s="50">
        <f>SUM(P246:P246)</f>
        <v>0</v>
      </c>
      <c r="Q245" s="50">
        <f>SUM(Q246:Q246)</f>
        <v>0</v>
      </c>
      <c r="R245" s="50">
        <f>SUM(R246:R246)</f>
        <v>0</v>
      </c>
      <c r="S245" s="57" t="s">
        <v>22</v>
      </c>
      <c r="T245" s="9"/>
      <c r="U245" s="6"/>
    </row>
    <row r="246" spans="1:21" ht="45" customHeight="1" x14ac:dyDescent="0.3">
      <c r="A246" s="58"/>
      <c r="B246" s="55"/>
      <c r="C246" s="86"/>
      <c r="D246" s="60" t="s">
        <v>19</v>
      </c>
      <c r="E246" s="50">
        <f t="shared" si="46"/>
        <v>56763.239000000001</v>
      </c>
      <c r="F246" s="62">
        <f>30749.574+9286.373+4122.672+1245.046+12570.434-1210.86</f>
        <v>56763.239000000001</v>
      </c>
      <c r="G246" s="63"/>
      <c r="H246" s="63"/>
      <c r="I246" s="63"/>
      <c r="J246" s="64"/>
      <c r="K246" s="62">
        <v>0</v>
      </c>
      <c r="L246" s="63"/>
      <c r="M246" s="63"/>
      <c r="N246" s="63"/>
      <c r="O246" s="64"/>
      <c r="P246" s="65">
        <v>0</v>
      </c>
      <c r="Q246" s="65">
        <v>0</v>
      </c>
      <c r="R246" s="65">
        <v>0</v>
      </c>
      <c r="S246" s="66"/>
      <c r="T246" s="9"/>
      <c r="U246" s="6"/>
    </row>
    <row r="247" spans="1:21" ht="24" customHeight="1" x14ac:dyDescent="0.3">
      <c r="A247" s="58"/>
      <c r="B247" s="67" t="s">
        <v>183</v>
      </c>
      <c r="C247" s="67" t="s">
        <v>44</v>
      </c>
      <c r="D247" s="67" t="s">
        <v>75</v>
      </c>
      <c r="E247" s="68" t="s">
        <v>76</v>
      </c>
      <c r="F247" s="68" t="s">
        <v>77</v>
      </c>
      <c r="G247" s="69" t="s">
        <v>78</v>
      </c>
      <c r="H247" s="70"/>
      <c r="I247" s="70"/>
      <c r="J247" s="71"/>
      <c r="K247" s="68" t="s">
        <v>194</v>
      </c>
      <c r="L247" s="69" t="s">
        <v>78</v>
      </c>
      <c r="M247" s="70"/>
      <c r="N247" s="70"/>
      <c r="O247" s="71"/>
      <c r="P247" s="31" t="s">
        <v>41</v>
      </c>
      <c r="Q247" s="31" t="s">
        <v>42</v>
      </c>
      <c r="R247" s="31" t="s">
        <v>43</v>
      </c>
      <c r="S247" s="66"/>
      <c r="T247" s="9"/>
      <c r="U247" s="6"/>
    </row>
    <row r="248" spans="1:21" ht="55.5" customHeight="1" x14ac:dyDescent="0.3">
      <c r="A248" s="58"/>
      <c r="B248" s="72"/>
      <c r="C248" s="72"/>
      <c r="D248" s="72"/>
      <c r="E248" s="73"/>
      <c r="F248" s="73"/>
      <c r="G248" s="74" t="s">
        <v>79</v>
      </c>
      <c r="H248" s="74" t="s">
        <v>80</v>
      </c>
      <c r="I248" s="74" t="s">
        <v>81</v>
      </c>
      <c r="J248" s="74" t="s">
        <v>82</v>
      </c>
      <c r="K248" s="73"/>
      <c r="L248" s="74" t="s">
        <v>79</v>
      </c>
      <c r="M248" s="74" t="s">
        <v>80</v>
      </c>
      <c r="N248" s="74" t="s">
        <v>81</v>
      </c>
      <c r="O248" s="74" t="s">
        <v>82</v>
      </c>
      <c r="P248" s="31"/>
      <c r="Q248" s="31"/>
      <c r="R248" s="31"/>
      <c r="S248" s="66"/>
      <c r="T248" s="9"/>
      <c r="U248" s="6"/>
    </row>
    <row r="249" spans="1:21" ht="84" customHeight="1" x14ac:dyDescent="0.3">
      <c r="A249" s="75"/>
      <c r="B249" s="76"/>
      <c r="C249" s="76"/>
      <c r="D249" s="76"/>
      <c r="E249" s="97">
        <v>96.88</v>
      </c>
      <c r="F249" s="97">
        <v>96.88</v>
      </c>
      <c r="G249" s="77" t="s">
        <v>75</v>
      </c>
      <c r="H249" s="77" t="s">
        <v>75</v>
      </c>
      <c r="I249" s="97">
        <v>96.88</v>
      </c>
      <c r="J249" s="97">
        <v>96.88</v>
      </c>
      <c r="K249" s="77" t="s">
        <v>75</v>
      </c>
      <c r="L249" s="77" t="s">
        <v>75</v>
      </c>
      <c r="M249" s="77" t="s">
        <v>75</v>
      </c>
      <c r="N249" s="77" t="s">
        <v>75</v>
      </c>
      <c r="O249" s="77" t="s">
        <v>75</v>
      </c>
      <c r="P249" s="77" t="s">
        <v>75</v>
      </c>
      <c r="Q249" s="77" t="s">
        <v>75</v>
      </c>
      <c r="R249" s="77" t="s">
        <v>75</v>
      </c>
      <c r="S249" s="78"/>
      <c r="T249" s="9"/>
      <c r="U249" s="6"/>
    </row>
    <row r="250" spans="1:21" ht="44.25" customHeight="1" x14ac:dyDescent="0.3">
      <c r="A250" s="91" t="s">
        <v>173</v>
      </c>
      <c r="B250" s="135" t="s">
        <v>169</v>
      </c>
      <c r="C250" s="91" t="s">
        <v>44</v>
      </c>
      <c r="D250" s="45" t="s">
        <v>6</v>
      </c>
      <c r="E250" s="50">
        <f t="shared" ref="E250:E257" si="47">SUM(F250:R250)</f>
        <v>0</v>
      </c>
      <c r="F250" s="47">
        <f>F251+F252+F253</f>
        <v>0</v>
      </c>
      <c r="G250" s="48"/>
      <c r="H250" s="48"/>
      <c r="I250" s="48"/>
      <c r="J250" s="49"/>
      <c r="K250" s="47">
        <f>SUM(O251:O253)</f>
        <v>0</v>
      </c>
      <c r="L250" s="48"/>
      <c r="M250" s="48"/>
      <c r="N250" s="48"/>
      <c r="O250" s="49"/>
      <c r="P250" s="50">
        <f>SUM(P251:P253)</f>
        <v>0</v>
      </c>
      <c r="Q250" s="50">
        <f>SUM(Q251:Q253)</f>
        <v>0</v>
      </c>
      <c r="R250" s="50">
        <f>SUM(R251:R253)</f>
        <v>0</v>
      </c>
      <c r="S250" s="51" t="s">
        <v>22</v>
      </c>
      <c r="T250" s="9"/>
      <c r="U250" s="6"/>
    </row>
    <row r="251" spans="1:21" ht="40.5" hidden="1" customHeight="1" outlineLevel="1" x14ac:dyDescent="0.3">
      <c r="A251" s="92"/>
      <c r="B251" s="136"/>
      <c r="C251" s="92"/>
      <c r="D251" s="45" t="s">
        <v>23</v>
      </c>
      <c r="E251" s="50">
        <f t="shared" si="47"/>
        <v>0</v>
      </c>
      <c r="F251" s="47">
        <f>F255</f>
        <v>0</v>
      </c>
      <c r="G251" s="48"/>
      <c r="H251" s="48"/>
      <c r="I251" s="48"/>
      <c r="J251" s="49"/>
      <c r="K251" s="137"/>
      <c r="L251" s="137"/>
      <c r="M251" s="137"/>
      <c r="N251" s="137"/>
      <c r="O251" s="50">
        <f>O255</f>
        <v>0</v>
      </c>
      <c r="P251" s="50">
        <f t="shared" ref="P251:R251" si="48">P255</f>
        <v>0</v>
      </c>
      <c r="Q251" s="50">
        <f t="shared" si="48"/>
        <v>0</v>
      </c>
      <c r="R251" s="50">
        <f t="shared" si="48"/>
        <v>0</v>
      </c>
      <c r="S251" s="51"/>
      <c r="T251" s="9"/>
      <c r="U251" s="6"/>
    </row>
    <row r="252" spans="1:21" ht="36.75" hidden="1" customHeight="1" outlineLevel="1" x14ac:dyDescent="0.3">
      <c r="A252" s="92"/>
      <c r="B252" s="136"/>
      <c r="C252" s="92"/>
      <c r="D252" s="45" t="s">
        <v>19</v>
      </c>
      <c r="E252" s="50">
        <f t="shared" si="47"/>
        <v>0</v>
      </c>
      <c r="F252" s="47">
        <f>F256</f>
        <v>0</v>
      </c>
      <c r="G252" s="48"/>
      <c r="H252" s="48"/>
      <c r="I252" s="48"/>
      <c r="J252" s="49"/>
      <c r="K252" s="137"/>
      <c r="L252" s="137"/>
      <c r="M252" s="137"/>
      <c r="N252" s="137"/>
      <c r="O252" s="50">
        <f>O256+O262</f>
        <v>0</v>
      </c>
      <c r="P252" s="50">
        <f t="shared" ref="P252:R253" si="49">P256+P262</f>
        <v>0</v>
      </c>
      <c r="Q252" s="50">
        <f t="shared" si="49"/>
        <v>0</v>
      </c>
      <c r="R252" s="50">
        <f t="shared" si="49"/>
        <v>0</v>
      </c>
      <c r="S252" s="51"/>
      <c r="T252" s="9"/>
      <c r="U252" s="6"/>
    </row>
    <row r="253" spans="1:21" ht="48" customHeight="1" collapsed="1" x14ac:dyDescent="0.3">
      <c r="A253" s="93"/>
      <c r="B253" s="138"/>
      <c r="C253" s="92"/>
      <c r="D253" s="45" t="s">
        <v>8</v>
      </c>
      <c r="E253" s="50">
        <f>SUM(F253:R253)</f>
        <v>0</v>
      </c>
      <c r="F253" s="47">
        <f>F257</f>
        <v>0</v>
      </c>
      <c r="G253" s="48"/>
      <c r="H253" s="48"/>
      <c r="I253" s="48"/>
      <c r="J253" s="49"/>
      <c r="K253" s="47">
        <f>K257+O263</f>
        <v>0</v>
      </c>
      <c r="L253" s="48"/>
      <c r="M253" s="48"/>
      <c r="N253" s="48"/>
      <c r="O253" s="49"/>
      <c r="P253" s="50">
        <f t="shared" si="49"/>
        <v>0</v>
      </c>
      <c r="Q253" s="50">
        <f t="shared" si="49"/>
        <v>0</v>
      </c>
      <c r="R253" s="50">
        <f t="shared" si="49"/>
        <v>0</v>
      </c>
      <c r="S253" s="51"/>
      <c r="T253" s="9"/>
      <c r="U253" s="6"/>
    </row>
    <row r="254" spans="1:21" ht="19.5" customHeight="1" x14ac:dyDescent="0.3">
      <c r="A254" s="85" t="s">
        <v>174</v>
      </c>
      <c r="B254" s="107" t="s">
        <v>171</v>
      </c>
      <c r="C254" s="85" t="s">
        <v>44</v>
      </c>
      <c r="D254" s="45" t="s">
        <v>6</v>
      </c>
      <c r="E254" s="50">
        <f t="shared" si="47"/>
        <v>0</v>
      </c>
      <c r="F254" s="47">
        <f>F255+F256+F257</f>
        <v>0</v>
      </c>
      <c r="G254" s="48"/>
      <c r="H254" s="48"/>
      <c r="I254" s="48"/>
      <c r="J254" s="49"/>
      <c r="K254" s="47">
        <f>SUM(O255:O257)</f>
        <v>0</v>
      </c>
      <c r="L254" s="48"/>
      <c r="M254" s="48"/>
      <c r="N254" s="48"/>
      <c r="O254" s="49"/>
      <c r="P254" s="50">
        <f>SUM(P255:P257)</f>
        <v>0</v>
      </c>
      <c r="Q254" s="50">
        <f>SUM(Q255:Q257)</f>
        <v>0</v>
      </c>
      <c r="R254" s="50">
        <f>SUM(R255:R257)</f>
        <v>0</v>
      </c>
      <c r="S254" s="57" t="s">
        <v>22</v>
      </c>
      <c r="T254" s="9"/>
      <c r="U254" s="6"/>
    </row>
    <row r="255" spans="1:21" ht="33.75" hidden="1" customHeight="1" outlineLevel="1" x14ac:dyDescent="0.3">
      <c r="A255" s="86"/>
      <c r="B255" s="108"/>
      <c r="C255" s="86"/>
      <c r="D255" s="60" t="s">
        <v>23</v>
      </c>
      <c r="E255" s="50">
        <f t="shared" si="47"/>
        <v>0</v>
      </c>
      <c r="F255" s="62">
        <v>0</v>
      </c>
      <c r="G255" s="63"/>
      <c r="H255" s="63"/>
      <c r="I255" s="63"/>
      <c r="J255" s="64"/>
      <c r="K255" s="102"/>
      <c r="L255" s="102"/>
      <c r="M255" s="102"/>
      <c r="N255" s="102"/>
      <c r="O255" s="65">
        <v>0</v>
      </c>
      <c r="P255" s="65">
        <v>0</v>
      </c>
      <c r="Q255" s="65">
        <v>0</v>
      </c>
      <c r="R255" s="65">
        <v>0</v>
      </c>
      <c r="S255" s="66"/>
      <c r="T255" s="9"/>
      <c r="U255" s="6"/>
    </row>
    <row r="256" spans="1:21" ht="37.5" hidden="1" customHeight="1" outlineLevel="1" x14ac:dyDescent="0.3">
      <c r="A256" s="86"/>
      <c r="B256" s="108"/>
      <c r="C256" s="86"/>
      <c r="D256" s="60" t="s">
        <v>19</v>
      </c>
      <c r="E256" s="50">
        <f t="shared" si="47"/>
        <v>0</v>
      </c>
      <c r="F256" s="62">
        <v>0</v>
      </c>
      <c r="G256" s="63"/>
      <c r="H256" s="63"/>
      <c r="I256" s="63"/>
      <c r="J256" s="64"/>
      <c r="K256" s="102"/>
      <c r="L256" s="102"/>
      <c r="M256" s="102"/>
      <c r="N256" s="102"/>
      <c r="O256" s="65">
        <v>0</v>
      </c>
      <c r="P256" s="65">
        <v>0</v>
      </c>
      <c r="Q256" s="65">
        <v>0</v>
      </c>
      <c r="R256" s="65">
        <v>0</v>
      </c>
      <c r="S256" s="66"/>
      <c r="T256" s="9"/>
      <c r="U256" s="6"/>
    </row>
    <row r="257" spans="1:21" ht="56.25" customHeight="1" collapsed="1" x14ac:dyDescent="0.3">
      <c r="A257" s="86"/>
      <c r="B257" s="109"/>
      <c r="C257" s="86"/>
      <c r="D257" s="60" t="s">
        <v>8</v>
      </c>
      <c r="E257" s="50">
        <f t="shared" si="47"/>
        <v>0</v>
      </c>
      <c r="F257" s="62">
        <v>0</v>
      </c>
      <c r="G257" s="63"/>
      <c r="H257" s="63"/>
      <c r="I257" s="63"/>
      <c r="J257" s="64"/>
      <c r="K257" s="62">
        <v>0</v>
      </c>
      <c r="L257" s="63"/>
      <c r="M257" s="63"/>
      <c r="N257" s="63"/>
      <c r="O257" s="64"/>
      <c r="P257" s="65">
        <v>0</v>
      </c>
      <c r="Q257" s="65">
        <v>0</v>
      </c>
      <c r="R257" s="65">
        <v>0</v>
      </c>
      <c r="S257" s="66"/>
      <c r="T257" s="9"/>
      <c r="U257" s="6"/>
    </row>
    <row r="258" spans="1:21" ht="19.5" customHeight="1" x14ac:dyDescent="0.3">
      <c r="A258" s="86"/>
      <c r="B258" s="67" t="s">
        <v>172</v>
      </c>
      <c r="C258" s="67" t="s">
        <v>44</v>
      </c>
      <c r="D258" s="67" t="s">
        <v>75</v>
      </c>
      <c r="E258" s="68" t="s">
        <v>76</v>
      </c>
      <c r="F258" s="68" t="s">
        <v>77</v>
      </c>
      <c r="G258" s="69" t="s">
        <v>78</v>
      </c>
      <c r="H258" s="70"/>
      <c r="I258" s="70"/>
      <c r="J258" s="71"/>
      <c r="K258" s="68" t="s">
        <v>194</v>
      </c>
      <c r="L258" s="69" t="s">
        <v>78</v>
      </c>
      <c r="M258" s="70"/>
      <c r="N258" s="70"/>
      <c r="O258" s="71"/>
      <c r="P258" s="31" t="s">
        <v>41</v>
      </c>
      <c r="Q258" s="31" t="s">
        <v>42</v>
      </c>
      <c r="R258" s="31" t="s">
        <v>43</v>
      </c>
      <c r="S258" s="66"/>
      <c r="T258" s="9"/>
      <c r="U258" s="6"/>
    </row>
    <row r="259" spans="1:21" ht="19.5" customHeight="1" x14ac:dyDescent="0.3">
      <c r="A259" s="86"/>
      <c r="B259" s="72"/>
      <c r="C259" s="72"/>
      <c r="D259" s="72"/>
      <c r="E259" s="73"/>
      <c r="F259" s="73"/>
      <c r="G259" s="74" t="s">
        <v>79</v>
      </c>
      <c r="H259" s="74" t="s">
        <v>80</v>
      </c>
      <c r="I259" s="74" t="s">
        <v>81</v>
      </c>
      <c r="J259" s="74" t="s">
        <v>82</v>
      </c>
      <c r="K259" s="73"/>
      <c r="L259" s="74" t="s">
        <v>79</v>
      </c>
      <c r="M259" s="74" t="s">
        <v>80</v>
      </c>
      <c r="N259" s="74" t="s">
        <v>81</v>
      </c>
      <c r="O259" s="74" t="s">
        <v>82</v>
      </c>
      <c r="P259" s="31"/>
      <c r="Q259" s="31"/>
      <c r="R259" s="31"/>
      <c r="S259" s="66"/>
      <c r="T259" s="9"/>
      <c r="U259" s="6"/>
    </row>
    <row r="260" spans="1:21" ht="19.5" customHeight="1" x14ac:dyDescent="0.3">
      <c r="A260" s="87"/>
      <c r="B260" s="76"/>
      <c r="C260" s="76"/>
      <c r="D260" s="76"/>
      <c r="E260" s="77" t="s">
        <v>75</v>
      </c>
      <c r="F260" s="77" t="s">
        <v>75</v>
      </c>
      <c r="G260" s="77" t="s">
        <v>75</v>
      </c>
      <c r="H260" s="77" t="s">
        <v>75</v>
      </c>
      <c r="I260" s="77" t="s">
        <v>75</v>
      </c>
      <c r="J260" s="77" t="s">
        <v>75</v>
      </c>
      <c r="K260" s="77" t="s">
        <v>75</v>
      </c>
      <c r="L260" s="77" t="s">
        <v>75</v>
      </c>
      <c r="M260" s="77" t="s">
        <v>75</v>
      </c>
      <c r="N260" s="77" t="s">
        <v>75</v>
      </c>
      <c r="O260" s="77" t="s">
        <v>75</v>
      </c>
      <c r="P260" s="139" t="s">
        <v>75</v>
      </c>
      <c r="Q260" s="139" t="s">
        <v>75</v>
      </c>
      <c r="R260" s="139" t="s">
        <v>75</v>
      </c>
      <c r="S260" s="78"/>
      <c r="T260" s="9"/>
      <c r="U260" s="6"/>
    </row>
    <row r="261" spans="1:21" ht="15.75" x14ac:dyDescent="0.25">
      <c r="A261" s="43" t="s">
        <v>186</v>
      </c>
      <c r="B261" s="44" t="s">
        <v>31</v>
      </c>
      <c r="C261" s="91" t="s">
        <v>44</v>
      </c>
      <c r="D261" s="45" t="s">
        <v>6</v>
      </c>
      <c r="E261" s="50">
        <f t="shared" ref="E261:E268" si="50">SUM(F261:R261)</f>
        <v>0</v>
      </c>
      <c r="F261" s="47">
        <f>F262+F263+F264</f>
        <v>0</v>
      </c>
      <c r="G261" s="48"/>
      <c r="H261" s="48"/>
      <c r="I261" s="48"/>
      <c r="J261" s="49"/>
      <c r="K261" s="47">
        <f>K262+K263+K264</f>
        <v>0</v>
      </c>
      <c r="L261" s="48"/>
      <c r="M261" s="48"/>
      <c r="N261" s="48"/>
      <c r="O261" s="49"/>
      <c r="P261" s="50">
        <f>SUM(P262:P264)</f>
        <v>0</v>
      </c>
      <c r="Q261" s="50">
        <f>SUM(Q262:Q264)</f>
        <v>0</v>
      </c>
      <c r="R261" s="50">
        <f>SUM(R262:R264)</f>
        <v>0</v>
      </c>
      <c r="S261" s="51" t="s">
        <v>22</v>
      </c>
      <c r="T261" s="6"/>
      <c r="U261" s="6"/>
    </row>
    <row r="262" spans="1:21" ht="31.5" hidden="1" outlineLevel="1" x14ac:dyDescent="0.25">
      <c r="A262" s="43"/>
      <c r="B262" s="44"/>
      <c r="C262" s="92"/>
      <c r="D262" s="45" t="s">
        <v>23</v>
      </c>
      <c r="E262" s="50">
        <f t="shared" si="50"/>
        <v>0</v>
      </c>
      <c r="F262" s="47">
        <f>F266</f>
        <v>0</v>
      </c>
      <c r="G262" s="48"/>
      <c r="H262" s="48"/>
      <c r="I262" s="48"/>
      <c r="J262" s="49"/>
      <c r="K262" s="137"/>
      <c r="L262" s="137"/>
      <c r="M262" s="137"/>
      <c r="N262" s="137"/>
      <c r="O262" s="50">
        <f>O266</f>
        <v>0</v>
      </c>
      <c r="P262" s="50">
        <f t="shared" ref="P262:R262" si="51">P266</f>
        <v>0</v>
      </c>
      <c r="Q262" s="50">
        <f t="shared" si="51"/>
        <v>0</v>
      </c>
      <c r="R262" s="50">
        <f t="shared" si="51"/>
        <v>0</v>
      </c>
      <c r="S262" s="51"/>
      <c r="T262" s="6"/>
      <c r="U262" s="6"/>
    </row>
    <row r="263" spans="1:21" ht="31.5" hidden="1" outlineLevel="1" x14ac:dyDescent="0.25">
      <c r="A263" s="43"/>
      <c r="B263" s="44"/>
      <c r="C263" s="92"/>
      <c r="D263" s="45" t="s">
        <v>19</v>
      </c>
      <c r="E263" s="50">
        <f t="shared" si="50"/>
        <v>0</v>
      </c>
      <c r="F263" s="47">
        <f>F267+F273</f>
        <v>0</v>
      </c>
      <c r="G263" s="48"/>
      <c r="H263" s="48"/>
      <c r="I263" s="48"/>
      <c r="J263" s="49"/>
      <c r="K263" s="137"/>
      <c r="L263" s="137"/>
      <c r="M263" s="137"/>
      <c r="N263" s="137"/>
      <c r="O263" s="50">
        <f>O267+O273</f>
        <v>0</v>
      </c>
      <c r="P263" s="50">
        <f t="shared" ref="P263:R264" si="52">P267+P273</f>
        <v>0</v>
      </c>
      <c r="Q263" s="50">
        <f t="shared" si="52"/>
        <v>0</v>
      </c>
      <c r="R263" s="50">
        <f t="shared" si="52"/>
        <v>0</v>
      </c>
      <c r="S263" s="51"/>
      <c r="T263" s="6"/>
      <c r="U263" s="6"/>
    </row>
    <row r="264" spans="1:21" ht="52.15" customHeight="1" collapsed="1" x14ac:dyDescent="0.25">
      <c r="A264" s="43"/>
      <c r="B264" s="44"/>
      <c r="C264" s="92"/>
      <c r="D264" s="45" t="s">
        <v>8</v>
      </c>
      <c r="E264" s="50">
        <f t="shared" si="50"/>
        <v>0</v>
      </c>
      <c r="F264" s="47">
        <f>F268+F274</f>
        <v>0</v>
      </c>
      <c r="G264" s="48"/>
      <c r="H264" s="48"/>
      <c r="I264" s="48"/>
      <c r="J264" s="49"/>
      <c r="K264" s="47">
        <f>K268+K274</f>
        <v>0</v>
      </c>
      <c r="L264" s="48"/>
      <c r="M264" s="48"/>
      <c r="N264" s="48"/>
      <c r="O264" s="49"/>
      <c r="P264" s="50">
        <f t="shared" si="52"/>
        <v>0</v>
      </c>
      <c r="Q264" s="50">
        <f t="shared" si="52"/>
        <v>0</v>
      </c>
      <c r="R264" s="50">
        <f t="shared" si="52"/>
        <v>0</v>
      </c>
      <c r="S264" s="51"/>
      <c r="T264" s="6"/>
      <c r="U264" s="6"/>
    </row>
    <row r="265" spans="1:21" ht="15" customHeight="1" x14ac:dyDescent="0.25">
      <c r="A265" s="85" t="s">
        <v>187</v>
      </c>
      <c r="B265" s="55" t="s">
        <v>57</v>
      </c>
      <c r="C265" s="85" t="s">
        <v>44</v>
      </c>
      <c r="D265" s="45" t="s">
        <v>6</v>
      </c>
      <c r="E265" s="50">
        <f t="shared" si="50"/>
        <v>0</v>
      </c>
      <c r="F265" s="47">
        <f>F266+F267+F268</f>
        <v>0</v>
      </c>
      <c r="G265" s="48"/>
      <c r="H265" s="48"/>
      <c r="I265" s="48"/>
      <c r="J265" s="49"/>
      <c r="K265" s="47">
        <f>SUM(O266:O268)</f>
        <v>0</v>
      </c>
      <c r="L265" s="48"/>
      <c r="M265" s="48"/>
      <c r="N265" s="48"/>
      <c r="O265" s="49"/>
      <c r="P265" s="50">
        <f>SUM(P266:P268)</f>
        <v>0</v>
      </c>
      <c r="Q265" s="50">
        <f>SUM(Q266:Q268)</f>
        <v>0</v>
      </c>
      <c r="R265" s="50">
        <f>SUM(R266:R268)</f>
        <v>0</v>
      </c>
      <c r="S265" s="57" t="s">
        <v>22</v>
      </c>
      <c r="T265" s="6"/>
      <c r="U265" s="6"/>
    </row>
    <row r="266" spans="1:21" ht="35.25" hidden="1" customHeight="1" outlineLevel="1" x14ac:dyDescent="0.3">
      <c r="A266" s="86"/>
      <c r="B266" s="55"/>
      <c r="C266" s="86"/>
      <c r="D266" s="60" t="s">
        <v>23</v>
      </c>
      <c r="E266" s="50">
        <f t="shared" si="50"/>
        <v>0</v>
      </c>
      <c r="F266" s="62">
        <v>0</v>
      </c>
      <c r="G266" s="63"/>
      <c r="H266" s="63"/>
      <c r="I266" s="63"/>
      <c r="J266" s="64"/>
      <c r="K266" s="102"/>
      <c r="L266" s="102"/>
      <c r="M266" s="102"/>
      <c r="N266" s="102"/>
      <c r="O266" s="65">
        <v>0</v>
      </c>
      <c r="P266" s="65">
        <v>0</v>
      </c>
      <c r="Q266" s="65">
        <v>0</v>
      </c>
      <c r="R266" s="65">
        <v>0</v>
      </c>
      <c r="S266" s="66"/>
      <c r="T266" s="12"/>
      <c r="U266" s="27"/>
    </row>
    <row r="267" spans="1:21" ht="31.5" hidden="1" customHeight="1" outlineLevel="1" x14ac:dyDescent="0.3">
      <c r="A267" s="86"/>
      <c r="B267" s="55"/>
      <c r="C267" s="86"/>
      <c r="D267" s="60" t="s">
        <v>19</v>
      </c>
      <c r="E267" s="50">
        <f t="shared" si="50"/>
        <v>0</v>
      </c>
      <c r="F267" s="62">
        <v>0</v>
      </c>
      <c r="G267" s="63"/>
      <c r="H267" s="63"/>
      <c r="I267" s="63"/>
      <c r="J267" s="64"/>
      <c r="K267" s="102"/>
      <c r="L267" s="102"/>
      <c r="M267" s="102"/>
      <c r="N267" s="102"/>
      <c r="O267" s="65">
        <v>0</v>
      </c>
      <c r="P267" s="65">
        <v>0</v>
      </c>
      <c r="Q267" s="65">
        <v>0</v>
      </c>
      <c r="R267" s="65">
        <v>0</v>
      </c>
      <c r="S267" s="66"/>
      <c r="T267" s="16"/>
      <c r="U267" s="27"/>
    </row>
    <row r="268" spans="1:21" ht="56.25" customHeight="1" collapsed="1" x14ac:dyDescent="0.25">
      <c r="A268" s="86"/>
      <c r="B268" s="55"/>
      <c r="C268" s="86"/>
      <c r="D268" s="60" t="s">
        <v>8</v>
      </c>
      <c r="E268" s="50">
        <f t="shared" si="50"/>
        <v>0</v>
      </c>
      <c r="F268" s="62">
        <v>0</v>
      </c>
      <c r="G268" s="63"/>
      <c r="H268" s="63"/>
      <c r="I268" s="63"/>
      <c r="J268" s="64"/>
      <c r="K268" s="62">
        <v>0</v>
      </c>
      <c r="L268" s="63"/>
      <c r="M268" s="63"/>
      <c r="N268" s="63"/>
      <c r="O268" s="64"/>
      <c r="P268" s="65">
        <v>0</v>
      </c>
      <c r="Q268" s="65">
        <v>0</v>
      </c>
      <c r="R268" s="65">
        <v>0</v>
      </c>
      <c r="S268" s="66"/>
      <c r="T268" s="6"/>
      <c r="U268" s="27"/>
    </row>
    <row r="269" spans="1:21" ht="22.5" customHeight="1" x14ac:dyDescent="0.25">
      <c r="A269" s="86"/>
      <c r="B269" s="67" t="s">
        <v>200</v>
      </c>
      <c r="C269" s="67" t="s">
        <v>44</v>
      </c>
      <c r="D269" s="67" t="s">
        <v>75</v>
      </c>
      <c r="E269" s="68" t="s">
        <v>76</v>
      </c>
      <c r="F269" s="68" t="s">
        <v>77</v>
      </c>
      <c r="G269" s="69" t="s">
        <v>78</v>
      </c>
      <c r="H269" s="70"/>
      <c r="I269" s="70"/>
      <c r="J269" s="71"/>
      <c r="K269" s="68" t="s">
        <v>194</v>
      </c>
      <c r="L269" s="69" t="s">
        <v>78</v>
      </c>
      <c r="M269" s="70"/>
      <c r="N269" s="70"/>
      <c r="O269" s="71"/>
      <c r="P269" s="31" t="s">
        <v>41</v>
      </c>
      <c r="Q269" s="31" t="s">
        <v>42</v>
      </c>
      <c r="R269" s="31" t="s">
        <v>43</v>
      </c>
      <c r="S269" s="66"/>
      <c r="T269" s="6"/>
      <c r="U269" s="15"/>
    </row>
    <row r="270" spans="1:21" ht="19.5" customHeight="1" x14ac:dyDescent="0.25">
      <c r="A270" s="86"/>
      <c r="B270" s="72"/>
      <c r="C270" s="72"/>
      <c r="D270" s="72"/>
      <c r="E270" s="73"/>
      <c r="F270" s="73"/>
      <c r="G270" s="74" t="s">
        <v>79</v>
      </c>
      <c r="H270" s="74" t="s">
        <v>80</v>
      </c>
      <c r="I270" s="74" t="s">
        <v>81</v>
      </c>
      <c r="J270" s="74" t="s">
        <v>82</v>
      </c>
      <c r="K270" s="73"/>
      <c r="L270" s="74" t="s">
        <v>79</v>
      </c>
      <c r="M270" s="74" t="s">
        <v>80</v>
      </c>
      <c r="N270" s="74" t="s">
        <v>81</v>
      </c>
      <c r="O270" s="74" t="s">
        <v>82</v>
      </c>
      <c r="P270" s="31"/>
      <c r="Q270" s="31"/>
      <c r="R270" s="31"/>
      <c r="S270" s="66"/>
      <c r="T270" s="6"/>
      <c r="U270" s="15"/>
    </row>
    <row r="271" spans="1:21" ht="18" customHeight="1" x14ac:dyDescent="0.25">
      <c r="A271" s="87"/>
      <c r="B271" s="76"/>
      <c r="C271" s="76"/>
      <c r="D271" s="76"/>
      <c r="E271" s="77" t="s">
        <v>75</v>
      </c>
      <c r="F271" s="77" t="s">
        <v>75</v>
      </c>
      <c r="G271" s="77" t="s">
        <v>75</v>
      </c>
      <c r="H271" s="77" t="s">
        <v>75</v>
      </c>
      <c r="I271" s="77" t="s">
        <v>75</v>
      </c>
      <c r="J271" s="77" t="s">
        <v>75</v>
      </c>
      <c r="K271" s="77" t="s">
        <v>75</v>
      </c>
      <c r="L271" s="77" t="s">
        <v>75</v>
      </c>
      <c r="M271" s="77" t="s">
        <v>75</v>
      </c>
      <c r="N271" s="77" t="s">
        <v>75</v>
      </c>
      <c r="O271" s="77" t="s">
        <v>75</v>
      </c>
      <c r="P271" s="139" t="s">
        <v>75</v>
      </c>
      <c r="Q271" s="139" t="s">
        <v>75</v>
      </c>
      <c r="R271" s="139" t="s">
        <v>75</v>
      </c>
      <c r="S271" s="78"/>
      <c r="T271" s="6"/>
      <c r="U271" s="15"/>
    </row>
    <row r="272" spans="1:21" ht="19.5" customHeight="1" x14ac:dyDescent="0.25">
      <c r="A272" s="85" t="s">
        <v>188</v>
      </c>
      <c r="B272" s="55" t="s">
        <v>58</v>
      </c>
      <c r="C272" s="56" t="s">
        <v>44</v>
      </c>
      <c r="D272" s="45" t="s">
        <v>6</v>
      </c>
      <c r="E272" s="50">
        <f>SUM(F272:R272)</f>
        <v>0</v>
      </c>
      <c r="F272" s="47">
        <f>F273+F274</f>
        <v>0</v>
      </c>
      <c r="G272" s="48"/>
      <c r="H272" s="48"/>
      <c r="I272" s="48"/>
      <c r="J272" s="49"/>
      <c r="K272" s="47">
        <f>K273+K274</f>
        <v>0</v>
      </c>
      <c r="L272" s="48"/>
      <c r="M272" s="48"/>
      <c r="N272" s="48"/>
      <c r="O272" s="49"/>
      <c r="P272" s="50">
        <f>SUM(P273:P274)</f>
        <v>0</v>
      </c>
      <c r="Q272" s="50">
        <f>SUM(Q273:Q274)</f>
        <v>0</v>
      </c>
      <c r="R272" s="50">
        <f>SUM(R273:R274)</f>
        <v>0</v>
      </c>
      <c r="S272" s="57" t="s">
        <v>22</v>
      </c>
      <c r="T272" s="6"/>
      <c r="U272" s="28"/>
    </row>
    <row r="273" spans="1:21" ht="0.75" customHeight="1" outlineLevel="1" x14ac:dyDescent="0.25">
      <c r="A273" s="86"/>
      <c r="B273" s="55"/>
      <c r="C273" s="56"/>
      <c r="D273" s="60" t="s">
        <v>19</v>
      </c>
      <c r="E273" s="50">
        <f>SUM(F273:R273)</f>
        <v>0</v>
      </c>
      <c r="F273" s="62">
        <v>0</v>
      </c>
      <c r="G273" s="63"/>
      <c r="H273" s="63"/>
      <c r="I273" s="63"/>
      <c r="J273" s="64"/>
      <c r="K273" s="102"/>
      <c r="L273" s="102"/>
      <c r="M273" s="102"/>
      <c r="N273" s="102"/>
      <c r="O273" s="65">
        <v>0</v>
      </c>
      <c r="P273" s="65">
        <v>0</v>
      </c>
      <c r="Q273" s="65">
        <v>0</v>
      </c>
      <c r="R273" s="65">
        <v>0</v>
      </c>
      <c r="S273" s="66"/>
      <c r="T273" s="6"/>
      <c r="U273" s="28"/>
    </row>
    <row r="274" spans="1:21" ht="68.25" customHeight="1" x14ac:dyDescent="0.25">
      <c r="A274" s="86"/>
      <c r="B274" s="55"/>
      <c r="C274" s="56"/>
      <c r="D274" s="60" t="s">
        <v>8</v>
      </c>
      <c r="E274" s="50">
        <f>SUM(F274:R274)</f>
        <v>0</v>
      </c>
      <c r="F274" s="62">
        <v>0</v>
      </c>
      <c r="G274" s="63"/>
      <c r="H274" s="63"/>
      <c r="I274" s="63"/>
      <c r="J274" s="64"/>
      <c r="K274" s="62">
        <v>0</v>
      </c>
      <c r="L274" s="63"/>
      <c r="M274" s="63"/>
      <c r="N274" s="63"/>
      <c r="O274" s="64"/>
      <c r="P274" s="65">
        <v>0</v>
      </c>
      <c r="Q274" s="65">
        <v>0</v>
      </c>
      <c r="R274" s="65">
        <v>0</v>
      </c>
      <c r="S274" s="66"/>
      <c r="T274" s="6"/>
      <c r="U274" s="28"/>
    </row>
    <row r="275" spans="1:21" ht="18.75" customHeight="1" x14ac:dyDescent="0.25">
      <c r="A275" s="86"/>
      <c r="B275" s="67" t="s">
        <v>95</v>
      </c>
      <c r="C275" s="67" t="s">
        <v>44</v>
      </c>
      <c r="D275" s="67" t="s">
        <v>75</v>
      </c>
      <c r="E275" s="68" t="s">
        <v>76</v>
      </c>
      <c r="F275" s="68" t="s">
        <v>77</v>
      </c>
      <c r="G275" s="69" t="s">
        <v>78</v>
      </c>
      <c r="H275" s="70"/>
      <c r="I275" s="70"/>
      <c r="J275" s="71"/>
      <c r="K275" s="68" t="s">
        <v>194</v>
      </c>
      <c r="L275" s="69" t="s">
        <v>78</v>
      </c>
      <c r="M275" s="70"/>
      <c r="N275" s="70"/>
      <c r="O275" s="71"/>
      <c r="P275" s="31" t="s">
        <v>41</v>
      </c>
      <c r="Q275" s="31" t="s">
        <v>42</v>
      </c>
      <c r="R275" s="31" t="s">
        <v>43</v>
      </c>
      <c r="S275" s="66"/>
      <c r="T275" s="6"/>
      <c r="U275" s="17"/>
    </row>
    <row r="276" spans="1:21" ht="18.75" customHeight="1" x14ac:dyDescent="0.25">
      <c r="A276" s="86"/>
      <c r="B276" s="72"/>
      <c r="C276" s="72"/>
      <c r="D276" s="72"/>
      <c r="E276" s="73"/>
      <c r="F276" s="73"/>
      <c r="G276" s="74" t="s">
        <v>79</v>
      </c>
      <c r="H276" s="74" t="s">
        <v>80</v>
      </c>
      <c r="I276" s="74" t="s">
        <v>81</v>
      </c>
      <c r="J276" s="74" t="s">
        <v>82</v>
      </c>
      <c r="K276" s="73"/>
      <c r="L276" s="74" t="s">
        <v>79</v>
      </c>
      <c r="M276" s="74" t="s">
        <v>80</v>
      </c>
      <c r="N276" s="74" t="s">
        <v>81</v>
      </c>
      <c r="O276" s="74" t="s">
        <v>82</v>
      </c>
      <c r="P276" s="31"/>
      <c r="Q276" s="31"/>
      <c r="R276" s="31"/>
      <c r="S276" s="66"/>
      <c r="T276" s="6"/>
      <c r="U276" s="17"/>
    </row>
    <row r="277" spans="1:21" ht="57" customHeight="1" x14ac:dyDescent="0.25">
      <c r="A277" s="87"/>
      <c r="B277" s="76"/>
      <c r="C277" s="76"/>
      <c r="D277" s="76"/>
      <c r="E277" s="77" t="s">
        <v>75</v>
      </c>
      <c r="F277" s="77" t="s">
        <v>75</v>
      </c>
      <c r="G277" s="77" t="s">
        <v>75</v>
      </c>
      <c r="H277" s="77" t="s">
        <v>75</v>
      </c>
      <c r="I277" s="77" t="s">
        <v>75</v>
      </c>
      <c r="J277" s="77" t="s">
        <v>75</v>
      </c>
      <c r="K277" s="77" t="s">
        <v>75</v>
      </c>
      <c r="L277" s="77" t="s">
        <v>75</v>
      </c>
      <c r="M277" s="77" t="s">
        <v>75</v>
      </c>
      <c r="N277" s="77" t="s">
        <v>75</v>
      </c>
      <c r="O277" s="77" t="s">
        <v>75</v>
      </c>
      <c r="P277" s="77" t="s">
        <v>75</v>
      </c>
      <c r="Q277" s="77" t="s">
        <v>75</v>
      </c>
      <c r="R277" s="77" t="s">
        <v>75</v>
      </c>
      <c r="S277" s="78"/>
      <c r="T277" s="6"/>
      <c r="U277" s="17"/>
    </row>
    <row r="278" spans="1:21" ht="28.5" customHeight="1" x14ac:dyDescent="0.25">
      <c r="A278" s="89" t="s">
        <v>17</v>
      </c>
      <c r="B278" s="89"/>
      <c r="C278" s="89"/>
      <c r="D278" s="45" t="s">
        <v>6</v>
      </c>
      <c r="E278" s="50">
        <f>SUM(F278:R278)</f>
        <v>5723861.45034</v>
      </c>
      <c r="F278" s="47">
        <f>F279+F280+F281+F282</f>
        <v>1219809.6462999999</v>
      </c>
      <c r="G278" s="48"/>
      <c r="H278" s="48"/>
      <c r="I278" s="48"/>
      <c r="J278" s="49"/>
      <c r="K278" s="47">
        <f>K279+K280+K281+K282</f>
        <v>1126012.95101</v>
      </c>
      <c r="L278" s="48"/>
      <c r="M278" s="48"/>
      <c r="N278" s="48"/>
      <c r="O278" s="49"/>
      <c r="P278" s="50">
        <f>SUM(P279:P282)</f>
        <v>1126012.95101</v>
      </c>
      <c r="Q278" s="50">
        <f>SUM(Q279:Q282)</f>
        <v>1126012.95101</v>
      </c>
      <c r="R278" s="50">
        <f>SUM(R279:R282)</f>
        <v>1126012.95101</v>
      </c>
      <c r="S278" s="51"/>
      <c r="T278" s="6"/>
      <c r="U278" s="6"/>
    </row>
    <row r="279" spans="1:21" ht="31.5" hidden="1" outlineLevel="1" x14ac:dyDescent="0.25">
      <c r="A279" s="89"/>
      <c r="B279" s="89"/>
      <c r="C279" s="89"/>
      <c r="D279" s="45" t="s">
        <v>23</v>
      </c>
      <c r="E279" s="50">
        <f>SUM(F279:R279)</f>
        <v>0</v>
      </c>
      <c r="F279" s="47">
        <f>F262+F251</f>
        <v>0</v>
      </c>
      <c r="G279" s="48"/>
      <c r="H279" s="48"/>
      <c r="I279" s="48"/>
      <c r="J279" s="49"/>
      <c r="K279" s="137"/>
      <c r="L279" s="137"/>
      <c r="M279" s="137"/>
      <c r="N279" s="137"/>
      <c r="O279" s="50">
        <f>O262+O251</f>
        <v>0</v>
      </c>
      <c r="P279" s="50">
        <f t="shared" ref="P279:R279" si="53">P262+P251</f>
        <v>0</v>
      </c>
      <c r="Q279" s="50">
        <f t="shared" si="53"/>
        <v>0</v>
      </c>
      <c r="R279" s="50">
        <f t="shared" si="53"/>
        <v>0</v>
      </c>
      <c r="S279" s="51"/>
      <c r="T279" s="6"/>
      <c r="U279" s="6"/>
    </row>
    <row r="280" spans="1:21" ht="31.5" outlineLevel="1" x14ac:dyDescent="0.25">
      <c r="A280" s="89"/>
      <c r="B280" s="89"/>
      <c r="C280" s="89"/>
      <c r="D280" s="45" t="s">
        <v>19</v>
      </c>
      <c r="E280" s="50">
        <f>SUM(F280:R280)</f>
        <v>56763.239000000001</v>
      </c>
      <c r="F280" s="47">
        <f>F263+F252+F244</f>
        <v>56763.239000000001</v>
      </c>
      <c r="G280" s="48"/>
      <c r="H280" s="48"/>
      <c r="I280" s="48"/>
      <c r="J280" s="49"/>
      <c r="K280" s="47">
        <f>O263+O252+K244</f>
        <v>0</v>
      </c>
      <c r="L280" s="48"/>
      <c r="M280" s="48"/>
      <c r="N280" s="48"/>
      <c r="O280" s="49"/>
      <c r="P280" s="50">
        <f t="shared" ref="P280:R280" si="54">P263+P252+P244</f>
        <v>0</v>
      </c>
      <c r="Q280" s="50">
        <f t="shared" si="54"/>
        <v>0</v>
      </c>
      <c r="R280" s="50">
        <f t="shared" si="54"/>
        <v>0</v>
      </c>
      <c r="S280" s="51"/>
      <c r="T280" s="6"/>
      <c r="U280" s="6"/>
    </row>
    <row r="281" spans="1:21" ht="52.5" customHeight="1" x14ac:dyDescent="0.25">
      <c r="A281" s="89"/>
      <c r="B281" s="89"/>
      <c r="C281" s="89"/>
      <c r="D281" s="45" t="s">
        <v>8</v>
      </c>
      <c r="E281" s="50">
        <f>SUM(F281:R281)</f>
        <v>4982996.3671299992</v>
      </c>
      <c r="F281" s="47">
        <f>F155+F174+F181+F195+F230+F264+F253</f>
        <v>988361.37892999989</v>
      </c>
      <c r="G281" s="48"/>
      <c r="H281" s="48"/>
      <c r="I281" s="48"/>
      <c r="J281" s="49"/>
      <c r="K281" s="47">
        <f>K155+K174+K181+K195++K230+K264+K253</f>
        <v>998658.74704999989</v>
      </c>
      <c r="L281" s="48"/>
      <c r="M281" s="48"/>
      <c r="N281" s="48"/>
      <c r="O281" s="49"/>
      <c r="P281" s="50">
        <f>P155+P174+P181+P195++P230+P264+P253</f>
        <v>998658.74704999989</v>
      </c>
      <c r="Q281" s="50">
        <f>Q155+Q174+Q181+Q195++Q230+Q264+Q253</f>
        <v>998658.74705000001</v>
      </c>
      <c r="R281" s="50">
        <f>R155+R174+R181+R195++R230+R264+R253</f>
        <v>998658.74705000001</v>
      </c>
      <c r="S281" s="51"/>
      <c r="T281" s="6"/>
      <c r="U281" s="6"/>
    </row>
    <row r="282" spans="1:21" ht="19.899999999999999" customHeight="1" x14ac:dyDescent="0.25">
      <c r="A282" s="89"/>
      <c r="B282" s="89"/>
      <c r="C282" s="89"/>
      <c r="D282" s="94" t="s">
        <v>20</v>
      </c>
      <c r="E282" s="50">
        <f>SUM(F282:R282)</f>
        <v>684101.84421000001</v>
      </c>
      <c r="F282" s="47">
        <f>F156+F182+F196+F231</f>
        <v>174685.02837000001</v>
      </c>
      <c r="G282" s="48"/>
      <c r="H282" s="48"/>
      <c r="I282" s="48"/>
      <c r="J282" s="49"/>
      <c r="K282" s="47">
        <f>K156+K182+K196+K231</f>
        <v>127354.20396000001</v>
      </c>
      <c r="L282" s="48"/>
      <c r="M282" s="48"/>
      <c r="N282" s="48"/>
      <c r="O282" s="49"/>
      <c r="P282" s="50">
        <f>P156+P182+P196+P231</f>
        <v>127354.20396000001</v>
      </c>
      <c r="Q282" s="50">
        <f>Q156+Q182+Q196+Q231</f>
        <v>127354.20396000001</v>
      </c>
      <c r="R282" s="50">
        <f>R156+R182+R196+R231</f>
        <v>127354.20396000001</v>
      </c>
      <c r="S282" s="51"/>
      <c r="T282" s="18"/>
      <c r="U282" s="6"/>
    </row>
    <row r="283" spans="1:21" ht="42" customHeight="1" x14ac:dyDescent="0.25">
      <c r="A283" s="140" t="s">
        <v>189</v>
      </c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6"/>
      <c r="U283" s="6"/>
    </row>
    <row r="284" spans="1:21" ht="22.5" customHeight="1" x14ac:dyDescent="0.25">
      <c r="A284" s="43">
        <v>1</v>
      </c>
      <c r="B284" s="44" t="s">
        <v>159</v>
      </c>
      <c r="C284" s="43" t="s">
        <v>44</v>
      </c>
      <c r="D284" s="45" t="s">
        <v>6</v>
      </c>
      <c r="E284" s="127">
        <f t="shared" ref="E284:E289" si="55">SUM(F284:R284)</f>
        <v>11703.44</v>
      </c>
      <c r="F284" s="128">
        <f>F285+F286</f>
        <v>1036.43</v>
      </c>
      <c r="G284" s="129"/>
      <c r="H284" s="129"/>
      <c r="I284" s="129"/>
      <c r="J284" s="130"/>
      <c r="K284" s="128">
        <f>K285+K286</f>
        <v>0</v>
      </c>
      <c r="L284" s="129"/>
      <c r="M284" s="129"/>
      <c r="N284" s="129"/>
      <c r="O284" s="130"/>
      <c r="P284" s="127">
        <f>SUM(P285:P286)</f>
        <v>7412.2800000000007</v>
      </c>
      <c r="Q284" s="127">
        <f>SUM(Q285:Q286)</f>
        <v>3254.73</v>
      </c>
      <c r="R284" s="127">
        <f>SUM(R285:R286)</f>
        <v>0</v>
      </c>
      <c r="S284" s="51" t="s">
        <v>22</v>
      </c>
      <c r="T284" s="6"/>
      <c r="U284" s="6"/>
    </row>
    <row r="285" spans="1:21" ht="34.5" customHeight="1" x14ac:dyDescent="0.25">
      <c r="A285" s="43"/>
      <c r="B285" s="44"/>
      <c r="C285" s="43"/>
      <c r="D285" s="45" t="s">
        <v>19</v>
      </c>
      <c r="E285" s="127">
        <f t="shared" si="55"/>
        <v>8192.41</v>
      </c>
      <c r="F285" s="128">
        <f>F288</f>
        <v>725.5</v>
      </c>
      <c r="G285" s="129"/>
      <c r="H285" s="129"/>
      <c r="I285" s="129"/>
      <c r="J285" s="130"/>
      <c r="K285" s="128">
        <f>K288</f>
        <v>0</v>
      </c>
      <c r="L285" s="129"/>
      <c r="M285" s="129"/>
      <c r="N285" s="129"/>
      <c r="O285" s="130"/>
      <c r="P285" s="127">
        <f t="shared" ref="P285:R286" si="56">P288</f>
        <v>5188.6000000000004</v>
      </c>
      <c r="Q285" s="127">
        <f t="shared" si="56"/>
        <v>2278.31</v>
      </c>
      <c r="R285" s="127">
        <f t="shared" si="56"/>
        <v>0</v>
      </c>
      <c r="S285" s="51"/>
      <c r="T285" s="6"/>
      <c r="U285" s="6"/>
    </row>
    <row r="286" spans="1:21" ht="54" customHeight="1" x14ac:dyDescent="0.25">
      <c r="A286" s="43"/>
      <c r="B286" s="44"/>
      <c r="C286" s="43"/>
      <c r="D286" s="45" t="s">
        <v>8</v>
      </c>
      <c r="E286" s="127">
        <f t="shared" si="55"/>
        <v>3511.03</v>
      </c>
      <c r="F286" s="128">
        <f>F289</f>
        <v>310.93</v>
      </c>
      <c r="G286" s="129"/>
      <c r="H286" s="129"/>
      <c r="I286" s="129"/>
      <c r="J286" s="130"/>
      <c r="K286" s="128">
        <f>K289</f>
        <v>0</v>
      </c>
      <c r="L286" s="129"/>
      <c r="M286" s="129"/>
      <c r="N286" s="129"/>
      <c r="O286" s="130"/>
      <c r="P286" s="127">
        <f t="shared" si="56"/>
        <v>2223.6800000000003</v>
      </c>
      <c r="Q286" s="127">
        <f t="shared" si="56"/>
        <v>976.42</v>
      </c>
      <c r="R286" s="127">
        <f t="shared" si="56"/>
        <v>0</v>
      </c>
      <c r="S286" s="51"/>
      <c r="T286" s="6"/>
      <c r="U286" s="6"/>
    </row>
    <row r="287" spans="1:21" ht="18.75" customHeight="1" x14ac:dyDescent="0.25">
      <c r="A287" s="54" t="s">
        <v>9</v>
      </c>
      <c r="B287" s="107" t="s">
        <v>59</v>
      </c>
      <c r="C287" s="85" t="s">
        <v>44</v>
      </c>
      <c r="D287" s="45" t="s">
        <v>6</v>
      </c>
      <c r="E287" s="127">
        <f t="shared" si="55"/>
        <v>11703.44</v>
      </c>
      <c r="F287" s="128">
        <f>F288+F289</f>
        <v>1036.43</v>
      </c>
      <c r="G287" s="129"/>
      <c r="H287" s="129"/>
      <c r="I287" s="129"/>
      <c r="J287" s="130"/>
      <c r="K287" s="128">
        <f>SUM(K288:O289)</f>
        <v>0</v>
      </c>
      <c r="L287" s="129"/>
      <c r="M287" s="129"/>
      <c r="N287" s="129"/>
      <c r="O287" s="130"/>
      <c r="P287" s="127">
        <f>SUM(P288:P289)</f>
        <v>7412.2800000000007</v>
      </c>
      <c r="Q287" s="127">
        <f>SUM(Q288:Q289)</f>
        <v>3254.73</v>
      </c>
      <c r="R287" s="127">
        <f>SUM(R288:R289)</f>
        <v>0</v>
      </c>
      <c r="S287" s="57" t="s">
        <v>22</v>
      </c>
      <c r="T287" s="6"/>
      <c r="U287" s="6"/>
    </row>
    <row r="288" spans="1:21" ht="31.5" customHeight="1" x14ac:dyDescent="0.25">
      <c r="A288" s="58"/>
      <c r="B288" s="108"/>
      <c r="C288" s="86"/>
      <c r="D288" s="60" t="s">
        <v>19</v>
      </c>
      <c r="E288" s="127">
        <f t="shared" si="55"/>
        <v>8192.41</v>
      </c>
      <c r="F288" s="131">
        <v>725.5</v>
      </c>
      <c r="G288" s="132"/>
      <c r="H288" s="132"/>
      <c r="I288" s="132"/>
      <c r="J288" s="133"/>
      <c r="K288" s="131">
        <f>6006.76-300.96-5705.8</f>
        <v>0</v>
      </c>
      <c r="L288" s="132"/>
      <c r="M288" s="132"/>
      <c r="N288" s="132"/>
      <c r="O288" s="133"/>
      <c r="P288" s="134">
        <f>3279.83+280+1628.77</f>
        <v>5188.6000000000004</v>
      </c>
      <c r="Q288" s="134">
        <v>2278.31</v>
      </c>
      <c r="R288" s="134">
        <v>0</v>
      </c>
      <c r="S288" s="66"/>
      <c r="T288" s="6"/>
      <c r="U288" s="6"/>
    </row>
    <row r="289" spans="1:21" ht="51" customHeight="1" x14ac:dyDescent="0.25">
      <c r="A289" s="58"/>
      <c r="B289" s="109"/>
      <c r="C289" s="87"/>
      <c r="D289" s="60" t="s">
        <v>8</v>
      </c>
      <c r="E289" s="127">
        <f t="shared" si="55"/>
        <v>3511.03</v>
      </c>
      <c r="F289" s="131">
        <v>310.93</v>
      </c>
      <c r="G289" s="132"/>
      <c r="H289" s="132"/>
      <c r="I289" s="132"/>
      <c r="J289" s="133"/>
      <c r="K289" s="131">
        <f>2574.32-128.98-2445.34</f>
        <v>0</v>
      </c>
      <c r="L289" s="132"/>
      <c r="M289" s="132"/>
      <c r="N289" s="132"/>
      <c r="O289" s="133"/>
      <c r="P289" s="134">
        <f>1525.64+698.04</f>
        <v>2223.6800000000003</v>
      </c>
      <c r="Q289" s="134">
        <v>976.42</v>
      </c>
      <c r="R289" s="134">
        <f>976.42-976.42</f>
        <v>0</v>
      </c>
      <c r="S289" s="66"/>
      <c r="T289" s="6"/>
      <c r="U289" s="6"/>
    </row>
    <row r="290" spans="1:21" ht="22.5" customHeight="1" x14ac:dyDescent="0.25">
      <c r="A290" s="58"/>
      <c r="B290" s="67" t="s">
        <v>98</v>
      </c>
      <c r="C290" s="67" t="s">
        <v>44</v>
      </c>
      <c r="D290" s="67" t="s">
        <v>75</v>
      </c>
      <c r="E290" s="68" t="s">
        <v>76</v>
      </c>
      <c r="F290" s="68" t="s">
        <v>77</v>
      </c>
      <c r="G290" s="69" t="s">
        <v>78</v>
      </c>
      <c r="H290" s="70"/>
      <c r="I290" s="70"/>
      <c r="J290" s="71"/>
      <c r="K290" s="68" t="s">
        <v>194</v>
      </c>
      <c r="L290" s="69" t="s">
        <v>78</v>
      </c>
      <c r="M290" s="70"/>
      <c r="N290" s="70"/>
      <c r="O290" s="71"/>
      <c r="P290" s="31" t="s">
        <v>41</v>
      </c>
      <c r="Q290" s="31" t="s">
        <v>42</v>
      </c>
      <c r="R290" s="31" t="s">
        <v>43</v>
      </c>
      <c r="S290" s="66"/>
      <c r="T290" s="6"/>
      <c r="U290" s="6"/>
    </row>
    <row r="291" spans="1:21" ht="21.75" customHeight="1" x14ac:dyDescent="0.25">
      <c r="A291" s="58"/>
      <c r="B291" s="72"/>
      <c r="C291" s="72"/>
      <c r="D291" s="72"/>
      <c r="E291" s="73"/>
      <c r="F291" s="73"/>
      <c r="G291" s="74" t="s">
        <v>79</v>
      </c>
      <c r="H291" s="74" t="s">
        <v>80</v>
      </c>
      <c r="I291" s="74" t="s">
        <v>81</v>
      </c>
      <c r="J291" s="74" t="s">
        <v>82</v>
      </c>
      <c r="K291" s="73"/>
      <c r="L291" s="74" t="s">
        <v>79</v>
      </c>
      <c r="M291" s="74" t="s">
        <v>80</v>
      </c>
      <c r="N291" s="74" t="s">
        <v>81</v>
      </c>
      <c r="O291" s="74" t="s">
        <v>82</v>
      </c>
      <c r="P291" s="31"/>
      <c r="Q291" s="31"/>
      <c r="R291" s="31"/>
      <c r="S291" s="66"/>
      <c r="T291" s="6"/>
      <c r="U291" s="6"/>
    </row>
    <row r="292" spans="1:21" ht="41.25" customHeight="1" x14ac:dyDescent="0.25">
      <c r="A292" s="75"/>
      <c r="B292" s="76"/>
      <c r="C292" s="76"/>
      <c r="D292" s="76"/>
      <c r="E292" s="96">
        <v>7</v>
      </c>
      <c r="F292" s="96">
        <v>1</v>
      </c>
      <c r="G292" s="96" t="s">
        <v>75</v>
      </c>
      <c r="H292" s="96" t="s">
        <v>75</v>
      </c>
      <c r="I292" s="96">
        <v>1</v>
      </c>
      <c r="J292" s="96" t="s">
        <v>75</v>
      </c>
      <c r="K292" s="96" t="s">
        <v>75</v>
      </c>
      <c r="L292" s="96" t="s">
        <v>75</v>
      </c>
      <c r="M292" s="96" t="s">
        <v>75</v>
      </c>
      <c r="N292" s="96" t="s">
        <v>75</v>
      </c>
      <c r="O292" s="96" t="s">
        <v>75</v>
      </c>
      <c r="P292" s="96">
        <v>5</v>
      </c>
      <c r="Q292" s="96">
        <v>1</v>
      </c>
      <c r="R292" s="96" t="s">
        <v>75</v>
      </c>
      <c r="S292" s="78"/>
      <c r="T292" s="6"/>
      <c r="U292" s="6"/>
    </row>
    <row r="293" spans="1:21" ht="24" customHeight="1" x14ac:dyDescent="0.25">
      <c r="A293" s="43" t="s">
        <v>11</v>
      </c>
      <c r="B293" s="44" t="s">
        <v>160</v>
      </c>
      <c r="C293" s="43" t="s">
        <v>44</v>
      </c>
      <c r="D293" s="45" t="s">
        <v>6</v>
      </c>
      <c r="E293" s="127">
        <f t="shared" ref="E293:E300" si="57">SUM(F293:R293)</f>
        <v>0</v>
      </c>
      <c r="F293" s="128">
        <f>F294+F295+F296</f>
        <v>0</v>
      </c>
      <c r="G293" s="129"/>
      <c r="H293" s="129"/>
      <c r="I293" s="129"/>
      <c r="J293" s="130"/>
      <c r="K293" s="128">
        <f>SUM(O294:O296)</f>
        <v>0</v>
      </c>
      <c r="L293" s="129"/>
      <c r="M293" s="129"/>
      <c r="N293" s="129"/>
      <c r="O293" s="130"/>
      <c r="P293" s="127">
        <f>SUM(P294:P296)</f>
        <v>0</v>
      </c>
      <c r="Q293" s="127">
        <f>SUM(Q294:Q296)</f>
        <v>0</v>
      </c>
      <c r="R293" s="127">
        <f>SUM(R294:R296)</f>
        <v>0</v>
      </c>
      <c r="S293" s="51" t="s">
        <v>22</v>
      </c>
      <c r="T293" s="6"/>
      <c r="U293" s="6"/>
    </row>
    <row r="294" spans="1:21" ht="32.25" hidden="1" customHeight="1" outlineLevel="1" x14ac:dyDescent="0.25">
      <c r="A294" s="43"/>
      <c r="B294" s="44"/>
      <c r="C294" s="43"/>
      <c r="D294" s="45" t="s">
        <v>23</v>
      </c>
      <c r="E294" s="127">
        <f t="shared" si="57"/>
        <v>0</v>
      </c>
      <c r="F294" s="128">
        <f>F298</f>
        <v>0</v>
      </c>
      <c r="G294" s="129"/>
      <c r="H294" s="129"/>
      <c r="I294" s="129"/>
      <c r="J294" s="130"/>
      <c r="K294" s="142"/>
      <c r="L294" s="142"/>
      <c r="M294" s="142"/>
      <c r="N294" s="142"/>
      <c r="O294" s="127">
        <f>O298</f>
        <v>0</v>
      </c>
      <c r="P294" s="127">
        <f t="shared" ref="P294:R296" si="58">P298</f>
        <v>0</v>
      </c>
      <c r="Q294" s="127">
        <f t="shared" si="58"/>
        <v>0</v>
      </c>
      <c r="R294" s="127">
        <f t="shared" si="58"/>
        <v>0</v>
      </c>
      <c r="S294" s="51"/>
      <c r="T294" s="6"/>
      <c r="U294" s="6"/>
    </row>
    <row r="295" spans="1:21" ht="35.25" hidden="1" customHeight="1" outlineLevel="1" x14ac:dyDescent="0.25">
      <c r="A295" s="43"/>
      <c r="B295" s="44"/>
      <c r="C295" s="43"/>
      <c r="D295" s="45" t="s">
        <v>19</v>
      </c>
      <c r="E295" s="127">
        <f t="shared" si="57"/>
        <v>0</v>
      </c>
      <c r="F295" s="128">
        <f>F299</f>
        <v>0</v>
      </c>
      <c r="G295" s="129"/>
      <c r="H295" s="129"/>
      <c r="I295" s="129"/>
      <c r="J295" s="130"/>
      <c r="K295" s="142"/>
      <c r="L295" s="142"/>
      <c r="M295" s="142"/>
      <c r="N295" s="142"/>
      <c r="O295" s="127">
        <f>O299</f>
        <v>0</v>
      </c>
      <c r="P295" s="127">
        <f t="shared" si="58"/>
        <v>0</v>
      </c>
      <c r="Q295" s="127">
        <f t="shared" si="58"/>
        <v>0</v>
      </c>
      <c r="R295" s="127">
        <f t="shared" si="58"/>
        <v>0</v>
      </c>
      <c r="S295" s="51"/>
      <c r="T295" s="6"/>
      <c r="U295" s="6"/>
    </row>
    <row r="296" spans="1:21" ht="51" customHeight="1" collapsed="1" x14ac:dyDescent="0.25">
      <c r="A296" s="43"/>
      <c r="B296" s="44"/>
      <c r="C296" s="43"/>
      <c r="D296" s="45" t="s">
        <v>8</v>
      </c>
      <c r="E296" s="127">
        <f t="shared" si="57"/>
        <v>0</v>
      </c>
      <c r="F296" s="128">
        <f>F300</f>
        <v>0</v>
      </c>
      <c r="G296" s="129"/>
      <c r="H296" s="129"/>
      <c r="I296" s="129"/>
      <c r="J296" s="130"/>
      <c r="K296" s="128">
        <f>K300</f>
        <v>0</v>
      </c>
      <c r="L296" s="129"/>
      <c r="M296" s="129"/>
      <c r="N296" s="129"/>
      <c r="O296" s="130"/>
      <c r="P296" s="127">
        <f t="shared" si="58"/>
        <v>0</v>
      </c>
      <c r="Q296" s="127">
        <f t="shared" si="58"/>
        <v>0</v>
      </c>
      <c r="R296" s="127">
        <f t="shared" si="58"/>
        <v>0</v>
      </c>
      <c r="S296" s="51"/>
      <c r="T296" s="6"/>
      <c r="U296" s="6"/>
    </row>
    <row r="297" spans="1:21" ht="21.75" customHeight="1" x14ac:dyDescent="0.25">
      <c r="A297" s="54" t="s">
        <v>12</v>
      </c>
      <c r="B297" s="55" t="s">
        <v>83</v>
      </c>
      <c r="C297" s="56" t="s">
        <v>44</v>
      </c>
      <c r="D297" s="45" t="s">
        <v>6</v>
      </c>
      <c r="E297" s="127">
        <f t="shared" si="57"/>
        <v>0</v>
      </c>
      <c r="F297" s="128">
        <f>F298+F299+F300</f>
        <v>0</v>
      </c>
      <c r="G297" s="129"/>
      <c r="H297" s="129"/>
      <c r="I297" s="129"/>
      <c r="J297" s="130"/>
      <c r="K297" s="128">
        <f>SUM(O298:O300)</f>
        <v>0</v>
      </c>
      <c r="L297" s="129"/>
      <c r="M297" s="129"/>
      <c r="N297" s="129"/>
      <c r="O297" s="130"/>
      <c r="P297" s="127">
        <f>SUM(P298:P300)</f>
        <v>0</v>
      </c>
      <c r="Q297" s="127">
        <f>SUM(Q298:Q300)</f>
        <v>0</v>
      </c>
      <c r="R297" s="127">
        <f>SUM(R298:R300)</f>
        <v>0</v>
      </c>
      <c r="S297" s="51" t="s">
        <v>22</v>
      </c>
      <c r="T297" s="6"/>
      <c r="U297" s="6"/>
    </row>
    <row r="298" spans="1:21" ht="33.75" hidden="1" customHeight="1" outlineLevel="1" x14ac:dyDescent="0.25">
      <c r="A298" s="58"/>
      <c r="B298" s="55"/>
      <c r="C298" s="56"/>
      <c r="D298" s="60" t="s">
        <v>23</v>
      </c>
      <c r="E298" s="127">
        <f t="shared" si="57"/>
        <v>0</v>
      </c>
      <c r="F298" s="131">
        <v>0</v>
      </c>
      <c r="G298" s="132"/>
      <c r="H298" s="132"/>
      <c r="I298" s="132"/>
      <c r="J298" s="133"/>
      <c r="K298" s="143"/>
      <c r="L298" s="143"/>
      <c r="M298" s="143"/>
      <c r="N298" s="143"/>
      <c r="O298" s="134">
        <v>0</v>
      </c>
      <c r="P298" s="134">
        <v>0</v>
      </c>
      <c r="Q298" s="134">
        <v>0</v>
      </c>
      <c r="R298" s="134">
        <v>0</v>
      </c>
      <c r="S298" s="51"/>
      <c r="T298" s="6"/>
      <c r="U298" s="6"/>
    </row>
    <row r="299" spans="1:21" ht="36" hidden="1" customHeight="1" outlineLevel="1" x14ac:dyDescent="0.25">
      <c r="A299" s="58"/>
      <c r="B299" s="55"/>
      <c r="C299" s="56"/>
      <c r="D299" s="60" t="s">
        <v>19</v>
      </c>
      <c r="E299" s="127">
        <f t="shared" si="57"/>
        <v>0</v>
      </c>
      <c r="F299" s="131">
        <v>0</v>
      </c>
      <c r="G299" s="132"/>
      <c r="H299" s="132"/>
      <c r="I299" s="132"/>
      <c r="J299" s="133"/>
      <c r="K299" s="143"/>
      <c r="L299" s="143"/>
      <c r="M299" s="143"/>
      <c r="N299" s="143"/>
      <c r="O299" s="134">
        <v>0</v>
      </c>
      <c r="P299" s="134">
        <v>0</v>
      </c>
      <c r="Q299" s="134">
        <v>0</v>
      </c>
      <c r="R299" s="134">
        <v>0</v>
      </c>
      <c r="S299" s="51"/>
      <c r="T299" s="6"/>
      <c r="U299" s="6"/>
    </row>
    <row r="300" spans="1:21" ht="72" customHeight="1" collapsed="1" x14ac:dyDescent="0.25">
      <c r="A300" s="58"/>
      <c r="B300" s="55"/>
      <c r="C300" s="56"/>
      <c r="D300" s="60" t="s">
        <v>8</v>
      </c>
      <c r="E300" s="127">
        <f t="shared" si="57"/>
        <v>0</v>
      </c>
      <c r="F300" s="131">
        <v>0</v>
      </c>
      <c r="G300" s="132"/>
      <c r="H300" s="132"/>
      <c r="I300" s="132"/>
      <c r="J300" s="133"/>
      <c r="K300" s="131">
        <v>0</v>
      </c>
      <c r="L300" s="132"/>
      <c r="M300" s="132"/>
      <c r="N300" s="132"/>
      <c r="O300" s="133"/>
      <c r="P300" s="134">
        <v>0</v>
      </c>
      <c r="Q300" s="134">
        <v>0</v>
      </c>
      <c r="R300" s="134">
        <v>0</v>
      </c>
      <c r="S300" s="51"/>
      <c r="T300" s="6"/>
      <c r="U300" s="6"/>
    </row>
    <row r="301" spans="1:21" ht="22.5" customHeight="1" x14ac:dyDescent="0.25">
      <c r="A301" s="58"/>
      <c r="B301" s="67" t="s">
        <v>99</v>
      </c>
      <c r="C301" s="67" t="s">
        <v>44</v>
      </c>
      <c r="D301" s="67" t="s">
        <v>75</v>
      </c>
      <c r="E301" s="68" t="s">
        <v>76</v>
      </c>
      <c r="F301" s="68" t="s">
        <v>77</v>
      </c>
      <c r="G301" s="69" t="s">
        <v>78</v>
      </c>
      <c r="H301" s="70"/>
      <c r="I301" s="70"/>
      <c r="J301" s="71"/>
      <c r="K301" s="68" t="s">
        <v>194</v>
      </c>
      <c r="L301" s="69" t="s">
        <v>78</v>
      </c>
      <c r="M301" s="70"/>
      <c r="N301" s="70"/>
      <c r="O301" s="71"/>
      <c r="P301" s="31" t="s">
        <v>41</v>
      </c>
      <c r="Q301" s="31" t="s">
        <v>42</v>
      </c>
      <c r="R301" s="31" t="s">
        <v>43</v>
      </c>
      <c r="S301" s="51"/>
      <c r="T301" s="6"/>
      <c r="U301" s="6"/>
    </row>
    <row r="302" spans="1:21" ht="21.75" customHeight="1" x14ac:dyDescent="0.25">
      <c r="A302" s="58"/>
      <c r="B302" s="72"/>
      <c r="C302" s="72"/>
      <c r="D302" s="72"/>
      <c r="E302" s="73"/>
      <c r="F302" s="73"/>
      <c r="G302" s="74" t="s">
        <v>79</v>
      </c>
      <c r="H302" s="74" t="s">
        <v>80</v>
      </c>
      <c r="I302" s="74" t="s">
        <v>81</v>
      </c>
      <c r="J302" s="74" t="s">
        <v>82</v>
      </c>
      <c r="K302" s="73"/>
      <c r="L302" s="74" t="s">
        <v>79</v>
      </c>
      <c r="M302" s="74" t="s">
        <v>80</v>
      </c>
      <c r="N302" s="74" t="s">
        <v>81</v>
      </c>
      <c r="O302" s="74" t="s">
        <v>82</v>
      </c>
      <c r="P302" s="31"/>
      <c r="Q302" s="31"/>
      <c r="R302" s="31"/>
      <c r="S302" s="51"/>
      <c r="T302" s="6"/>
      <c r="U302" s="6"/>
    </row>
    <row r="303" spans="1:21" ht="47.25" customHeight="1" x14ac:dyDescent="0.25">
      <c r="A303" s="75"/>
      <c r="B303" s="76"/>
      <c r="C303" s="76"/>
      <c r="D303" s="76"/>
      <c r="E303" s="77" t="s">
        <v>75</v>
      </c>
      <c r="F303" s="77" t="s">
        <v>75</v>
      </c>
      <c r="G303" s="77" t="s">
        <v>75</v>
      </c>
      <c r="H303" s="77" t="s">
        <v>75</v>
      </c>
      <c r="I303" s="77" t="s">
        <v>75</v>
      </c>
      <c r="J303" s="77" t="s">
        <v>75</v>
      </c>
      <c r="K303" s="77" t="s">
        <v>75</v>
      </c>
      <c r="L303" s="77" t="s">
        <v>75</v>
      </c>
      <c r="M303" s="77" t="s">
        <v>75</v>
      </c>
      <c r="N303" s="77" t="s">
        <v>75</v>
      </c>
      <c r="O303" s="77" t="s">
        <v>75</v>
      </c>
      <c r="P303" s="77" t="s">
        <v>75</v>
      </c>
      <c r="Q303" s="77" t="s">
        <v>75</v>
      </c>
      <c r="R303" s="77" t="s">
        <v>75</v>
      </c>
      <c r="S303" s="51"/>
      <c r="T303" s="6"/>
      <c r="U303" s="6"/>
    </row>
    <row r="304" spans="1:21" ht="15.75" x14ac:dyDescent="0.25">
      <c r="A304" s="89" t="s">
        <v>17</v>
      </c>
      <c r="B304" s="89"/>
      <c r="C304" s="89"/>
      <c r="D304" s="45" t="s">
        <v>6</v>
      </c>
      <c r="E304" s="127">
        <f>SUM(F304:R304)</f>
        <v>11703.44</v>
      </c>
      <c r="F304" s="128">
        <f>F305+F306+F307</f>
        <v>1036.43</v>
      </c>
      <c r="G304" s="129"/>
      <c r="H304" s="129"/>
      <c r="I304" s="129"/>
      <c r="J304" s="130"/>
      <c r="K304" s="128">
        <f>K305+K306+K307</f>
        <v>0</v>
      </c>
      <c r="L304" s="129"/>
      <c r="M304" s="129"/>
      <c r="N304" s="129"/>
      <c r="O304" s="130"/>
      <c r="P304" s="127">
        <f>SUM(P305:P307)</f>
        <v>7412.2800000000007</v>
      </c>
      <c r="Q304" s="127">
        <f>SUM(Q305:Q307)</f>
        <v>3254.73</v>
      </c>
      <c r="R304" s="127">
        <f>SUM(R305:R307)</f>
        <v>0</v>
      </c>
      <c r="S304" s="51"/>
      <c r="T304" s="6"/>
      <c r="U304" s="6"/>
    </row>
    <row r="305" spans="1:21" ht="31.5" hidden="1" outlineLevel="1" x14ac:dyDescent="0.25">
      <c r="A305" s="89"/>
      <c r="B305" s="89"/>
      <c r="C305" s="89"/>
      <c r="D305" s="45" t="s">
        <v>23</v>
      </c>
      <c r="E305" s="127">
        <f>SUM(F305:R305)</f>
        <v>0</v>
      </c>
      <c r="F305" s="128">
        <f>F294</f>
        <v>0</v>
      </c>
      <c r="G305" s="129"/>
      <c r="H305" s="129"/>
      <c r="I305" s="129"/>
      <c r="J305" s="130"/>
      <c r="K305" s="142"/>
      <c r="L305" s="142"/>
      <c r="M305" s="142"/>
      <c r="N305" s="142"/>
      <c r="O305" s="127">
        <f>O294</f>
        <v>0</v>
      </c>
      <c r="P305" s="127">
        <f t="shared" ref="P305:R305" si="59">P294</f>
        <v>0</v>
      </c>
      <c r="Q305" s="127">
        <f t="shared" si="59"/>
        <v>0</v>
      </c>
      <c r="R305" s="127">
        <f t="shared" si="59"/>
        <v>0</v>
      </c>
      <c r="S305" s="51"/>
      <c r="T305" s="6"/>
      <c r="U305" s="6"/>
    </row>
    <row r="306" spans="1:21" ht="31.5" collapsed="1" x14ac:dyDescent="0.25">
      <c r="A306" s="89"/>
      <c r="B306" s="89"/>
      <c r="C306" s="89"/>
      <c r="D306" s="45" t="s">
        <v>19</v>
      </c>
      <c r="E306" s="127">
        <f>SUM(F306:R306)</f>
        <v>8192.41</v>
      </c>
      <c r="F306" s="128">
        <f>F285+F295</f>
        <v>725.5</v>
      </c>
      <c r="G306" s="129"/>
      <c r="H306" s="129"/>
      <c r="I306" s="129"/>
      <c r="J306" s="130"/>
      <c r="K306" s="128">
        <f>K285+O295</f>
        <v>0</v>
      </c>
      <c r="L306" s="129"/>
      <c r="M306" s="129"/>
      <c r="N306" s="129"/>
      <c r="O306" s="130"/>
      <c r="P306" s="127">
        <f t="shared" ref="P306:R307" si="60">P285+P295</f>
        <v>5188.6000000000004</v>
      </c>
      <c r="Q306" s="127">
        <f t="shared" si="60"/>
        <v>2278.31</v>
      </c>
      <c r="R306" s="127">
        <f t="shared" si="60"/>
        <v>0</v>
      </c>
      <c r="S306" s="51"/>
      <c r="T306" s="6"/>
      <c r="U306" s="6"/>
    </row>
    <row r="307" spans="1:21" ht="48" customHeight="1" x14ac:dyDescent="0.25">
      <c r="A307" s="89"/>
      <c r="B307" s="89"/>
      <c r="C307" s="89"/>
      <c r="D307" s="45" t="s">
        <v>8</v>
      </c>
      <c r="E307" s="127">
        <f>SUM(F307:R307)</f>
        <v>3511.03</v>
      </c>
      <c r="F307" s="128">
        <f>F286+F296</f>
        <v>310.93</v>
      </c>
      <c r="G307" s="129"/>
      <c r="H307" s="129"/>
      <c r="I307" s="129"/>
      <c r="J307" s="130"/>
      <c r="K307" s="128">
        <f>K286+K296</f>
        <v>0</v>
      </c>
      <c r="L307" s="129"/>
      <c r="M307" s="129"/>
      <c r="N307" s="129"/>
      <c r="O307" s="130"/>
      <c r="P307" s="127">
        <f t="shared" si="60"/>
        <v>2223.6800000000003</v>
      </c>
      <c r="Q307" s="127">
        <f t="shared" si="60"/>
        <v>976.42</v>
      </c>
      <c r="R307" s="127">
        <f t="shared" si="60"/>
        <v>0</v>
      </c>
      <c r="S307" s="51"/>
      <c r="T307" s="6"/>
      <c r="U307" s="6"/>
    </row>
    <row r="308" spans="1:21" ht="31.5" customHeight="1" x14ac:dyDescent="0.25">
      <c r="A308" s="38" t="s">
        <v>190</v>
      </c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6"/>
      <c r="U308" s="6"/>
    </row>
    <row r="309" spans="1:21" ht="15" customHeight="1" x14ac:dyDescent="0.25">
      <c r="A309" s="43" t="s">
        <v>35</v>
      </c>
      <c r="B309" s="44" t="s">
        <v>39</v>
      </c>
      <c r="C309" s="43" t="s">
        <v>44</v>
      </c>
      <c r="D309" s="45" t="s">
        <v>6</v>
      </c>
      <c r="E309" s="127">
        <f>SUM(F309:R309)</f>
        <v>2325116.8920499999</v>
      </c>
      <c r="F309" s="128">
        <f>F310+F311</f>
        <v>484502.81920999999</v>
      </c>
      <c r="G309" s="129"/>
      <c r="H309" s="129"/>
      <c r="I309" s="129"/>
      <c r="J309" s="130"/>
      <c r="K309" s="128">
        <f>K310+K311</f>
        <v>460003.51820999995</v>
      </c>
      <c r="L309" s="129"/>
      <c r="M309" s="129"/>
      <c r="N309" s="129"/>
      <c r="O309" s="130"/>
      <c r="P309" s="127">
        <f>SUM(P310:P311)</f>
        <v>460203.51820999995</v>
      </c>
      <c r="Q309" s="127">
        <f>SUM(Q310:Q311)</f>
        <v>460203.51820999995</v>
      </c>
      <c r="R309" s="127">
        <f>SUM(R310:R311)</f>
        <v>460203.51820999995</v>
      </c>
      <c r="S309" s="51" t="s">
        <v>36</v>
      </c>
      <c r="T309" s="6"/>
      <c r="U309" s="6"/>
    </row>
    <row r="310" spans="1:21" ht="47.25" x14ac:dyDescent="0.25">
      <c r="A310" s="43"/>
      <c r="B310" s="44"/>
      <c r="C310" s="43"/>
      <c r="D310" s="45" t="s">
        <v>8</v>
      </c>
      <c r="E310" s="127">
        <f t="shared" ref="E310:E314" si="61">SUM(F310:R310)</f>
        <v>1969081.4462799998</v>
      </c>
      <c r="F310" s="128">
        <f>F313</f>
        <v>401353.44627999997</v>
      </c>
      <c r="G310" s="129"/>
      <c r="H310" s="129"/>
      <c r="I310" s="129"/>
      <c r="J310" s="130"/>
      <c r="K310" s="128">
        <f>K313</f>
        <v>391781.99999999994</v>
      </c>
      <c r="L310" s="129"/>
      <c r="M310" s="129"/>
      <c r="N310" s="129"/>
      <c r="O310" s="130"/>
      <c r="P310" s="127">
        <f t="shared" ref="P310:R311" si="62">P313</f>
        <v>391981.99999999994</v>
      </c>
      <c r="Q310" s="127">
        <f t="shared" si="62"/>
        <v>391981.99999999994</v>
      </c>
      <c r="R310" s="127">
        <f t="shared" si="62"/>
        <v>391981.99999999994</v>
      </c>
      <c r="S310" s="51"/>
      <c r="T310" s="6"/>
      <c r="U310" s="6"/>
    </row>
    <row r="311" spans="1:21" ht="33.75" customHeight="1" x14ac:dyDescent="0.25">
      <c r="A311" s="43"/>
      <c r="B311" s="44"/>
      <c r="C311" s="43"/>
      <c r="D311" s="94" t="s">
        <v>20</v>
      </c>
      <c r="E311" s="127">
        <f t="shared" si="61"/>
        <v>356035.44576999999</v>
      </c>
      <c r="F311" s="128">
        <f>F314</f>
        <v>83149.372929999983</v>
      </c>
      <c r="G311" s="129"/>
      <c r="H311" s="129"/>
      <c r="I311" s="129"/>
      <c r="J311" s="130"/>
      <c r="K311" s="128">
        <f>K314</f>
        <v>68221.518209999995</v>
      </c>
      <c r="L311" s="129"/>
      <c r="M311" s="129"/>
      <c r="N311" s="129"/>
      <c r="O311" s="130"/>
      <c r="P311" s="127">
        <f t="shared" si="62"/>
        <v>68221.518209999995</v>
      </c>
      <c r="Q311" s="127">
        <f t="shared" si="62"/>
        <v>68221.518209999995</v>
      </c>
      <c r="R311" s="127">
        <f t="shared" si="62"/>
        <v>68221.518209999995</v>
      </c>
      <c r="S311" s="51"/>
      <c r="T311" s="6"/>
      <c r="U311" s="6"/>
    </row>
    <row r="312" spans="1:21" ht="33.75" customHeight="1" x14ac:dyDescent="0.25">
      <c r="A312" s="54" t="s">
        <v>37</v>
      </c>
      <c r="B312" s="55" t="s">
        <v>40</v>
      </c>
      <c r="C312" s="56" t="s">
        <v>44</v>
      </c>
      <c r="D312" s="45" t="s">
        <v>6</v>
      </c>
      <c r="E312" s="127">
        <f t="shared" si="61"/>
        <v>2325116.8920499999</v>
      </c>
      <c r="F312" s="128">
        <f>F313+F314</f>
        <v>484502.81920999999</v>
      </c>
      <c r="G312" s="129"/>
      <c r="H312" s="129"/>
      <c r="I312" s="129"/>
      <c r="J312" s="130"/>
      <c r="K312" s="128">
        <f>SUM(K313:O314)</f>
        <v>460003.51820999995</v>
      </c>
      <c r="L312" s="129"/>
      <c r="M312" s="129"/>
      <c r="N312" s="129"/>
      <c r="O312" s="130"/>
      <c r="P312" s="127">
        <f>SUM(P313:P314)</f>
        <v>460203.51820999995</v>
      </c>
      <c r="Q312" s="127">
        <f>SUM(Q313:Q314)</f>
        <v>460203.51820999995</v>
      </c>
      <c r="R312" s="127">
        <f>SUM(R313:R314)</f>
        <v>460203.51820999995</v>
      </c>
      <c r="S312" s="51" t="s">
        <v>36</v>
      </c>
      <c r="T312" s="6"/>
      <c r="U312" s="6"/>
    </row>
    <row r="313" spans="1:21" ht="57" customHeight="1" x14ac:dyDescent="0.25">
      <c r="A313" s="58"/>
      <c r="B313" s="55"/>
      <c r="C313" s="56"/>
      <c r="D313" s="60" t="s">
        <v>8</v>
      </c>
      <c r="E313" s="127">
        <f t="shared" si="61"/>
        <v>1969081.4462799998</v>
      </c>
      <c r="F313" s="131">
        <f>401696.50444+353.209-20.33-219.09005-102.04219-344.20865-10.59627</f>
        <v>401353.44627999997</v>
      </c>
      <c r="G313" s="132"/>
      <c r="H313" s="132"/>
      <c r="I313" s="132"/>
      <c r="J313" s="133"/>
      <c r="K313" s="131">
        <f>401696.50444+353.209-10067.71344-200</f>
        <v>391781.99999999994</v>
      </c>
      <c r="L313" s="132"/>
      <c r="M313" s="132"/>
      <c r="N313" s="132"/>
      <c r="O313" s="133"/>
      <c r="P313" s="134">
        <f>401696.50444+353.209-10067.71344</f>
        <v>391981.99999999994</v>
      </c>
      <c r="Q313" s="134">
        <f t="shared" ref="Q313:R313" si="63">401696.50444+353.209-10067.71344</f>
        <v>391981.99999999994</v>
      </c>
      <c r="R313" s="134">
        <f t="shared" si="63"/>
        <v>391981.99999999994</v>
      </c>
      <c r="S313" s="51"/>
      <c r="T313" s="6"/>
      <c r="U313" s="6"/>
    </row>
    <row r="314" spans="1:21" ht="26.25" customHeight="1" x14ac:dyDescent="0.25">
      <c r="A314" s="58"/>
      <c r="B314" s="55"/>
      <c r="C314" s="56"/>
      <c r="D314" s="95" t="s">
        <v>20</v>
      </c>
      <c r="E314" s="127">
        <f t="shared" si="61"/>
        <v>356035.44576999999</v>
      </c>
      <c r="F314" s="131">
        <f>68221.51821+4449.4665+10478.38822</f>
        <v>83149.372929999983</v>
      </c>
      <c r="G314" s="132"/>
      <c r="H314" s="132"/>
      <c r="I314" s="132"/>
      <c r="J314" s="133"/>
      <c r="K314" s="131">
        <v>68221.518209999995</v>
      </c>
      <c r="L314" s="132"/>
      <c r="M314" s="132"/>
      <c r="N314" s="132"/>
      <c r="O314" s="133"/>
      <c r="P314" s="134">
        <v>68221.518209999995</v>
      </c>
      <c r="Q314" s="134">
        <v>68221.518209999995</v>
      </c>
      <c r="R314" s="134">
        <v>68221.518209999995</v>
      </c>
      <c r="S314" s="51"/>
      <c r="T314" s="6"/>
      <c r="U314" s="6"/>
    </row>
    <row r="315" spans="1:21" ht="18" customHeight="1" x14ac:dyDescent="0.25">
      <c r="A315" s="58"/>
      <c r="B315" s="67" t="s">
        <v>89</v>
      </c>
      <c r="C315" s="67" t="s">
        <v>44</v>
      </c>
      <c r="D315" s="67" t="s">
        <v>75</v>
      </c>
      <c r="E315" s="68" t="s">
        <v>76</v>
      </c>
      <c r="F315" s="68" t="s">
        <v>77</v>
      </c>
      <c r="G315" s="69" t="s">
        <v>78</v>
      </c>
      <c r="H315" s="70"/>
      <c r="I315" s="70"/>
      <c r="J315" s="71"/>
      <c r="K315" s="68" t="s">
        <v>194</v>
      </c>
      <c r="L315" s="69" t="s">
        <v>78</v>
      </c>
      <c r="M315" s="70"/>
      <c r="N315" s="70"/>
      <c r="O315" s="71"/>
      <c r="P315" s="31" t="s">
        <v>41</v>
      </c>
      <c r="Q315" s="31" t="s">
        <v>42</v>
      </c>
      <c r="R315" s="31" t="s">
        <v>43</v>
      </c>
      <c r="S315" s="144"/>
      <c r="T315" s="6"/>
      <c r="U315" s="6"/>
    </row>
    <row r="316" spans="1:21" ht="19.5" customHeight="1" x14ac:dyDescent="0.25">
      <c r="A316" s="58"/>
      <c r="B316" s="72"/>
      <c r="C316" s="72"/>
      <c r="D316" s="72"/>
      <c r="E316" s="73"/>
      <c r="F316" s="73"/>
      <c r="G316" s="74" t="s">
        <v>79</v>
      </c>
      <c r="H316" s="74" t="s">
        <v>80</v>
      </c>
      <c r="I316" s="74" t="s">
        <v>81</v>
      </c>
      <c r="J316" s="74" t="s">
        <v>82</v>
      </c>
      <c r="K316" s="73"/>
      <c r="L316" s="74" t="s">
        <v>79</v>
      </c>
      <c r="M316" s="74" t="s">
        <v>80</v>
      </c>
      <c r="N316" s="74" t="s">
        <v>81</v>
      </c>
      <c r="O316" s="74" t="s">
        <v>82</v>
      </c>
      <c r="P316" s="31"/>
      <c r="Q316" s="31"/>
      <c r="R316" s="31"/>
      <c r="S316" s="144"/>
      <c r="T316" s="6"/>
      <c r="U316" s="6"/>
    </row>
    <row r="317" spans="1:21" ht="73.5" customHeight="1" x14ac:dyDescent="0.25">
      <c r="A317" s="75"/>
      <c r="B317" s="76"/>
      <c r="C317" s="76"/>
      <c r="D317" s="76"/>
      <c r="E317" s="96">
        <v>100</v>
      </c>
      <c r="F317" s="96">
        <v>100</v>
      </c>
      <c r="G317" s="96">
        <v>25</v>
      </c>
      <c r="H317" s="96">
        <v>50</v>
      </c>
      <c r="I317" s="96">
        <v>75</v>
      </c>
      <c r="J317" s="96">
        <v>100</v>
      </c>
      <c r="K317" s="96">
        <v>100</v>
      </c>
      <c r="L317" s="96">
        <v>25</v>
      </c>
      <c r="M317" s="96">
        <v>50</v>
      </c>
      <c r="N317" s="96">
        <v>75</v>
      </c>
      <c r="O317" s="96">
        <v>100</v>
      </c>
      <c r="P317" s="96">
        <v>100</v>
      </c>
      <c r="Q317" s="96">
        <v>100</v>
      </c>
      <c r="R317" s="96">
        <v>100</v>
      </c>
      <c r="S317" s="144"/>
      <c r="T317" s="6"/>
      <c r="U317" s="6"/>
    </row>
    <row r="318" spans="1:21" ht="26.25" customHeight="1" x14ac:dyDescent="0.25">
      <c r="A318" s="91" t="s">
        <v>11</v>
      </c>
      <c r="B318" s="103" t="s">
        <v>84</v>
      </c>
      <c r="C318" s="91" t="s">
        <v>44</v>
      </c>
      <c r="D318" s="45" t="s">
        <v>6</v>
      </c>
      <c r="E318" s="127">
        <f t="shared" ref="E318:E324" si="64">SUM(F318:R318)</f>
        <v>56829.757500000007</v>
      </c>
      <c r="F318" s="128">
        <f>F319+F320+F321</f>
        <v>12164.30114</v>
      </c>
      <c r="G318" s="129"/>
      <c r="H318" s="129"/>
      <c r="I318" s="129"/>
      <c r="J318" s="130"/>
      <c r="K318" s="128">
        <f>K319+K320+K321</f>
        <v>15141.45499</v>
      </c>
      <c r="L318" s="129"/>
      <c r="M318" s="129"/>
      <c r="N318" s="129"/>
      <c r="O318" s="130"/>
      <c r="P318" s="127">
        <f>SUM(P319:P321)</f>
        <v>9841.3337900000006</v>
      </c>
      <c r="Q318" s="127">
        <f t="shared" ref="Q318:R318" si="65">SUM(Q319:Q321)</f>
        <v>9841.3337900000006</v>
      </c>
      <c r="R318" s="127">
        <f t="shared" si="65"/>
        <v>9841.3337900000006</v>
      </c>
      <c r="S318" s="51" t="s">
        <v>36</v>
      </c>
      <c r="T318" s="6"/>
      <c r="U318" s="6"/>
    </row>
    <row r="319" spans="1:21" ht="37.5" hidden="1" customHeight="1" outlineLevel="1" x14ac:dyDescent="0.25">
      <c r="A319" s="92"/>
      <c r="B319" s="104"/>
      <c r="C319" s="92"/>
      <c r="D319" s="45" t="s">
        <v>19</v>
      </c>
      <c r="E319" s="127">
        <f t="shared" si="64"/>
        <v>0</v>
      </c>
      <c r="F319" s="128">
        <f>F329</f>
        <v>0</v>
      </c>
      <c r="G319" s="129"/>
      <c r="H319" s="129"/>
      <c r="I319" s="129"/>
      <c r="J319" s="130"/>
      <c r="K319" s="142"/>
      <c r="L319" s="142"/>
      <c r="M319" s="142"/>
      <c r="N319" s="142"/>
      <c r="O319" s="127">
        <f>O329</f>
        <v>0</v>
      </c>
      <c r="P319" s="127">
        <f t="shared" ref="P319:R319" si="66">P329</f>
        <v>0</v>
      </c>
      <c r="Q319" s="127">
        <f t="shared" si="66"/>
        <v>0</v>
      </c>
      <c r="R319" s="127">
        <f t="shared" si="66"/>
        <v>0</v>
      </c>
      <c r="S319" s="51"/>
      <c r="T319" s="6"/>
      <c r="U319" s="6"/>
    </row>
    <row r="320" spans="1:21" ht="48.75" customHeight="1" collapsed="1" x14ac:dyDescent="0.25">
      <c r="A320" s="92"/>
      <c r="B320" s="104"/>
      <c r="C320" s="92"/>
      <c r="D320" s="45" t="s">
        <v>8</v>
      </c>
      <c r="E320" s="127">
        <f t="shared" si="64"/>
        <v>7850.4350499999991</v>
      </c>
      <c r="F320" s="128">
        <f>F323+F330</f>
        <v>2550.3138499999995</v>
      </c>
      <c r="G320" s="129"/>
      <c r="H320" s="129"/>
      <c r="I320" s="129"/>
      <c r="J320" s="130"/>
      <c r="K320" s="128">
        <f>K323+K330</f>
        <v>5300.1211999999996</v>
      </c>
      <c r="L320" s="129"/>
      <c r="M320" s="129"/>
      <c r="N320" s="129"/>
      <c r="O320" s="130"/>
      <c r="P320" s="127">
        <f t="shared" ref="P320:R321" si="67">P323+P330</f>
        <v>0</v>
      </c>
      <c r="Q320" s="127">
        <f t="shared" si="67"/>
        <v>0</v>
      </c>
      <c r="R320" s="127">
        <f t="shared" si="67"/>
        <v>0</v>
      </c>
      <c r="S320" s="51"/>
      <c r="T320" s="6"/>
      <c r="U320" s="6"/>
    </row>
    <row r="321" spans="1:21" ht="22.5" customHeight="1" x14ac:dyDescent="0.25">
      <c r="A321" s="93"/>
      <c r="B321" s="105"/>
      <c r="C321" s="93"/>
      <c r="D321" s="94" t="s">
        <v>20</v>
      </c>
      <c r="E321" s="127">
        <f t="shared" si="64"/>
        <v>48979.322450000007</v>
      </c>
      <c r="F321" s="128">
        <f>F324+F331</f>
        <v>9613.9872900000009</v>
      </c>
      <c r="G321" s="129"/>
      <c r="H321" s="129"/>
      <c r="I321" s="129"/>
      <c r="J321" s="130"/>
      <c r="K321" s="128">
        <f>K324+K331</f>
        <v>9841.3337900000006</v>
      </c>
      <c r="L321" s="129"/>
      <c r="M321" s="129"/>
      <c r="N321" s="129"/>
      <c r="O321" s="130"/>
      <c r="P321" s="127">
        <f>P324+P331</f>
        <v>9841.3337900000006</v>
      </c>
      <c r="Q321" s="127">
        <f t="shared" si="67"/>
        <v>9841.3337900000006</v>
      </c>
      <c r="R321" s="127">
        <f t="shared" si="67"/>
        <v>9841.3337900000006</v>
      </c>
      <c r="S321" s="145"/>
      <c r="T321" s="6"/>
      <c r="U321" s="6"/>
    </row>
    <row r="322" spans="1:21" ht="28.9" customHeight="1" x14ac:dyDescent="0.25">
      <c r="A322" s="54" t="s">
        <v>60</v>
      </c>
      <c r="B322" s="55" t="s">
        <v>85</v>
      </c>
      <c r="C322" s="56" t="s">
        <v>44</v>
      </c>
      <c r="D322" s="45" t="s">
        <v>6</v>
      </c>
      <c r="E322" s="127">
        <f t="shared" si="64"/>
        <v>26312.118949999996</v>
      </c>
      <c r="F322" s="128">
        <f>F323+F324</f>
        <v>4876.81059</v>
      </c>
      <c r="G322" s="129"/>
      <c r="H322" s="129"/>
      <c r="I322" s="129"/>
      <c r="J322" s="130"/>
      <c r="K322" s="128">
        <f>SUM(K323:O324)</f>
        <v>5508.8270899999998</v>
      </c>
      <c r="L322" s="129"/>
      <c r="M322" s="129"/>
      <c r="N322" s="129"/>
      <c r="O322" s="130"/>
      <c r="P322" s="127">
        <f>SUM(P323:P324)</f>
        <v>5308.8270899999998</v>
      </c>
      <c r="Q322" s="127">
        <f>SUM(Q323:Q324)</f>
        <v>5308.8270899999998</v>
      </c>
      <c r="R322" s="127">
        <f>SUM(R323:R324)</f>
        <v>5308.8270899999998</v>
      </c>
      <c r="S322" s="57" t="s">
        <v>36</v>
      </c>
      <c r="T322" s="6"/>
      <c r="U322" s="6"/>
    </row>
    <row r="323" spans="1:21" ht="48" customHeight="1" x14ac:dyDescent="0.25">
      <c r="A323" s="58"/>
      <c r="B323" s="55"/>
      <c r="C323" s="56"/>
      <c r="D323" s="60" t="s">
        <v>8</v>
      </c>
      <c r="E323" s="127">
        <f t="shared" si="64"/>
        <v>420.33</v>
      </c>
      <c r="F323" s="131">
        <f>200+20.33</f>
        <v>220.32999999999998</v>
      </c>
      <c r="G323" s="132"/>
      <c r="H323" s="132"/>
      <c r="I323" s="132"/>
      <c r="J323" s="133"/>
      <c r="K323" s="131">
        <f>200</f>
        <v>200</v>
      </c>
      <c r="L323" s="132"/>
      <c r="M323" s="132"/>
      <c r="N323" s="132"/>
      <c r="O323" s="133"/>
      <c r="P323" s="134">
        <f>200-200</f>
        <v>0</v>
      </c>
      <c r="Q323" s="134">
        <f t="shared" ref="Q323:R323" si="68">200-200</f>
        <v>0</v>
      </c>
      <c r="R323" s="134">
        <f t="shared" si="68"/>
        <v>0</v>
      </c>
      <c r="S323" s="66"/>
      <c r="T323" s="6"/>
      <c r="U323" s="6"/>
    </row>
    <row r="324" spans="1:21" ht="27.75" customHeight="1" x14ac:dyDescent="0.3">
      <c r="A324" s="58"/>
      <c r="B324" s="55"/>
      <c r="C324" s="56"/>
      <c r="D324" s="95" t="s">
        <v>20</v>
      </c>
      <c r="E324" s="127">
        <f t="shared" si="64"/>
        <v>25891.788949999998</v>
      </c>
      <c r="F324" s="131">
        <f>5308.82709-652.3465</f>
        <v>4656.4805900000001</v>
      </c>
      <c r="G324" s="132"/>
      <c r="H324" s="132"/>
      <c r="I324" s="132"/>
      <c r="J324" s="133"/>
      <c r="K324" s="131">
        <v>5308.8270899999998</v>
      </c>
      <c r="L324" s="132"/>
      <c r="M324" s="132"/>
      <c r="N324" s="132"/>
      <c r="O324" s="133"/>
      <c r="P324" s="134">
        <v>5308.8270899999998</v>
      </c>
      <c r="Q324" s="134">
        <v>5308.8270899999998</v>
      </c>
      <c r="R324" s="134">
        <v>5308.8270899999998</v>
      </c>
      <c r="S324" s="66"/>
      <c r="T324" s="5"/>
      <c r="U324" s="6"/>
    </row>
    <row r="325" spans="1:21" ht="16.5" customHeight="1" x14ac:dyDescent="0.3">
      <c r="A325" s="58"/>
      <c r="B325" s="67" t="s">
        <v>176</v>
      </c>
      <c r="C325" s="67" t="s">
        <v>44</v>
      </c>
      <c r="D325" s="67" t="s">
        <v>75</v>
      </c>
      <c r="E325" s="68" t="s">
        <v>76</v>
      </c>
      <c r="F325" s="68" t="s">
        <v>77</v>
      </c>
      <c r="G325" s="69" t="s">
        <v>78</v>
      </c>
      <c r="H325" s="70"/>
      <c r="I325" s="70"/>
      <c r="J325" s="71"/>
      <c r="K325" s="68" t="s">
        <v>194</v>
      </c>
      <c r="L325" s="69" t="s">
        <v>78</v>
      </c>
      <c r="M325" s="70"/>
      <c r="N325" s="70"/>
      <c r="O325" s="71"/>
      <c r="P325" s="31" t="s">
        <v>41</v>
      </c>
      <c r="Q325" s="31" t="s">
        <v>42</v>
      </c>
      <c r="R325" s="31" t="s">
        <v>43</v>
      </c>
      <c r="S325" s="66"/>
      <c r="T325" s="5"/>
      <c r="U325" s="6"/>
    </row>
    <row r="326" spans="1:21" ht="17.25" customHeight="1" x14ac:dyDescent="0.3">
      <c r="A326" s="58"/>
      <c r="B326" s="72"/>
      <c r="C326" s="72"/>
      <c r="D326" s="72"/>
      <c r="E326" s="73"/>
      <c r="F326" s="73"/>
      <c r="G326" s="74" t="s">
        <v>79</v>
      </c>
      <c r="H326" s="74" t="s">
        <v>80</v>
      </c>
      <c r="I326" s="74" t="s">
        <v>81</v>
      </c>
      <c r="J326" s="74" t="s">
        <v>82</v>
      </c>
      <c r="K326" s="73"/>
      <c r="L326" s="74" t="s">
        <v>79</v>
      </c>
      <c r="M326" s="74" t="s">
        <v>80</v>
      </c>
      <c r="N326" s="74" t="s">
        <v>81</v>
      </c>
      <c r="O326" s="74" t="s">
        <v>82</v>
      </c>
      <c r="P326" s="31"/>
      <c r="Q326" s="31"/>
      <c r="R326" s="31"/>
      <c r="S326" s="66"/>
      <c r="T326" s="5"/>
      <c r="U326" s="6"/>
    </row>
    <row r="327" spans="1:21" ht="58.5" customHeight="1" x14ac:dyDescent="0.3">
      <c r="A327" s="75"/>
      <c r="B327" s="76"/>
      <c r="C327" s="76"/>
      <c r="D327" s="76"/>
      <c r="E327" s="96">
        <v>8</v>
      </c>
      <c r="F327" s="96">
        <v>8</v>
      </c>
      <c r="G327" s="96" t="s">
        <v>75</v>
      </c>
      <c r="H327" s="96" t="s">
        <v>75</v>
      </c>
      <c r="I327" s="96" t="s">
        <v>75</v>
      </c>
      <c r="J327" s="96">
        <v>8</v>
      </c>
      <c r="K327" s="96">
        <v>8</v>
      </c>
      <c r="L327" s="96" t="s">
        <v>75</v>
      </c>
      <c r="M327" s="96" t="s">
        <v>75</v>
      </c>
      <c r="N327" s="96" t="s">
        <v>75</v>
      </c>
      <c r="O327" s="96">
        <v>8</v>
      </c>
      <c r="P327" s="96">
        <v>8</v>
      </c>
      <c r="Q327" s="96">
        <v>8</v>
      </c>
      <c r="R327" s="96">
        <v>8</v>
      </c>
      <c r="S327" s="78"/>
      <c r="T327" s="5"/>
      <c r="U327" s="6"/>
    </row>
    <row r="328" spans="1:21" ht="24" customHeight="1" x14ac:dyDescent="0.3">
      <c r="A328" s="54" t="s">
        <v>61</v>
      </c>
      <c r="B328" s="107" t="s">
        <v>86</v>
      </c>
      <c r="C328" s="85" t="s">
        <v>44</v>
      </c>
      <c r="D328" s="45" t="s">
        <v>6</v>
      </c>
      <c r="E328" s="127">
        <f>SUM(F328:R328)</f>
        <v>30517.638549999996</v>
      </c>
      <c r="F328" s="128">
        <f>F329+F330+F331</f>
        <v>7287.4905499999995</v>
      </c>
      <c r="G328" s="129"/>
      <c r="H328" s="129"/>
      <c r="I328" s="129"/>
      <c r="J328" s="130"/>
      <c r="K328" s="128">
        <f>K329+K330+K331</f>
        <v>9632.6278999999995</v>
      </c>
      <c r="L328" s="129"/>
      <c r="M328" s="129"/>
      <c r="N328" s="129"/>
      <c r="O328" s="130"/>
      <c r="P328" s="127">
        <f t="shared" ref="P328:R328" si="69">SUM(P329:P331)</f>
        <v>4532.5066999999999</v>
      </c>
      <c r="Q328" s="127">
        <f t="shared" si="69"/>
        <v>4532.5066999999999</v>
      </c>
      <c r="R328" s="127">
        <f t="shared" si="69"/>
        <v>4532.5066999999999</v>
      </c>
      <c r="S328" s="57" t="s">
        <v>36</v>
      </c>
      <c r="T328" s="5"/>
      <c r="U328" s="6"/>
    </row>
    <row r="329" spans="1:21" ht="46.5" hidden="1" customHeight="1" outlineLevel="1" x14ac:dyDescent="0.25">
      <c r="A329" s="58"/>
      <c r="B329" s="108"/>
      <c r="C329" s="86"/>
      <c r="D329" s="60" t="s">
        <v>19</v>
      </c>
      <c r="E329" s="127">
        <f>SUM(F329:R329)</f>
        <v>0</v>
      </c>
      <c r="F329" s="131">
        <v>0</v>
      </c>
      <c r="G329" s="132"/>
      <c r="H329" s="132"/>
      <c r="I329" s="132"/>
      <c r="J329" s="133"/>
      <c r="K329" s="143"/>
      <c r="L329" s="143"/>
      <c r="M329" s="143"/>
      <c r="N329" s="143"/>
      <c r="O329" s="134">
        <v>0</v>
      </c>
      <c r="P329" s="134">
        <v>0</v>
      </c>
      <c r="Q329" s="134">
        <v>0</v>
      </c>
      <c r="R329" s="134">
        <v>0</v>
      </c>
      <c r="S329" s="66"/>
      <c r="T329" s="19"/>
      <c r="U329" s="6"/>
    </row>
    <row r="330" spans="1:21" ht="52.9" customHeight="1" collapsed="1" x14ac:dyDescent="0.3">
      <c r="A330" s="58"/>
      <c r="B330" s="108"/>
      <c r="C330" s="86"/>
      <c r="D330" s="60" t="s">
        <v>8</v>
      </c>
      <c r="E330" s="127">
        <f>SUM(F330:R330)</f>
        <v>7430.1050499999992</v>
      </c>
      <c r="F330" s="131">
        <f>2110.8938+219.09005</f>
        <v>2329.9838499999996</v>
      </c>
      <c r="G330" s="132"/>
      <c r="H330" s="132"/>
      <c r="I330" s="132"/>
      <c r="J330" s="133"/>
      <c r="K330" s="131">
        <v>5100.1211999999996</v>
      </c>
      <c r="L330" s="132"/>
      <c r="M330" s="132"/>
      <c r="N330" s="132"/>
      <c r="O330" s="133"/>
      <c r="P330" s="134">
        <v>0</v>
      </c>
      <c r="Q330" s="134">
        <v>0</v>
      </c>
      <c r="R330" s="134">
        <v>0</v>
      </c>
      <c r="S330" s="66"/>
      <c r="T330" s="5"/>
      <c r="U330" s="6"/>
    </row>
    <row r="331" spans="1:21" ht="33" customHeight="1" x14ac:dyDescent="0.3">
      <c r="A331" s="58"/>
      <c r="B331" s="109"/>
      <c r="C331" s="87"/>
      <c r="D331" s="95" t="s">
        <v>20</v>
      </c>
      <c r="E331" s="127">
        <f>SUM(F331:R331)</f>
        <v>23087.533499999998</v>
      </c>
      <c r="F331" s="131">
        <f>4532.5067+425</f>
        <v>4957.5066999999999</v>
      </c>
      <c r="G331" s="132"/>
      <c r="H331" s="132"/>
      <c r="I331" s="132"/>
      <c r="J331" s="133"/>
      <c r="K331" s="131">
        <v>4532.5066999999999</v>
      </c>
      <c r="L331" s="132"/>
      <c r="M331" s="132"/>
      <c r="N331" s="132"/>
      <c r="O331" s="133"/>
      <c r="P331" s="134">
        <v>4532.5066999999999</v>
      </c>
      <c r="Q331" s="134">
        <v>4532.5066999999999</v>
      </c>
      <c r="R331" s="134">
        <v>4532.5066999999999</v>
      </c>
      <c r="S331" s="66"/>
      <c r="T331" s="5"/>
      <c r="U331" s="6"/>
    </row>
    <row r="332" spans="1:21" ht="18" customHeight="1" x14ac:dyDescent="0.3">
      <c r="A332" s="58"/>
      <c r="B332" s="67" t="s">
        <v>201</v>
      </c>
      <c r="C332" s="67" t="s">
        <v>44</v>
      </c>
      <c r="D332" s="67" t="s">
        <v>75</v>
      </c>
      <c r="E332" s="68" t="s">
        <v>76</v>
      </c>
      <c r="F332" s="68" t="s">
        <v>77</v>
      </c>
      <c r="G332" s="69" t="s">
        <v>78</v>
      </c>
      <c r="H332" s="70"/>
      <c r="I332" s="70"/>
      <c r="J332" s="71"/>
      <c r="K332" s="68" t="s">
        <v>194</v>
      </c>
      <c r="L332" s="69" t="s">
        <v>78</v>
      </c>
      <c r="M332" s="70"/>
      <c r="N332" s="70"/>
      <c r="O332" s="71"/>
      <c r="P332" s="31" t="s">
        <v>41</v>
      </c>
      <c r="Q332" s="31" t="s">
        <v>42</v>
      </c>
      <c r="R332" s="31" t="s">
        <v>43</v>
      </c>
      <c r="S332" s="66"/>
      <c r="T332" s="5"/>
      <c r="U332" s="6"/>
    </row>
    <row r="333" spans="1:21" ht="22.5" customHeight="1" x14ac:dyDescent="0.3">
      <c r="A333" s="58"/>
      <c r="B333" s="72"/>
      <c r="C333" s="72"/>
      <c r="D333" s="72"/>
      <c r="E333" s="73"/>
      <c r="F333" s="73"/>
      <c r="G333" s="74" t="s">
        <v>79</v>
      </c>
      <c r="H333" s="74" t="s">
        <v>80</v>
      </c>
      <c r="I333" s="74" t="s">
        <v>81</v>
      </c>
      <c r="J333" s="74" t="s">
        <v>82</v>
      </c>
      <c r="K333" s="73"/>
      <c r="L333" s="74" t="s">
        <v>79</v>
      </c>
      <c r="M333" s="74" t="s">
        <v>80</v>
      </c>
      <c r="N333" s="74" t="s">
        <v>81</v>
      </c>
      <c r="O333" s="74" t="s">
        <v>82</v>
      </c>
      <c r="P333" s="31"/>
      <c r="Q333" s="31"/>
      <c r="R333" s="31"/>
      <c r="S333" s="66"/>
      <c r="T333" s="5"/>
      <c r="U333" s="6"/>
    </row>
    <row r="334" spans="1:21" ht="19.5" customHeight="1" x14ac:dyDescent="0.3">
      <c r="A334" s="75"/>
      <c r="B334" s="76"/>
      <c r="C334" s="76"/>
      <c r="D334" s="76"/>
      <c r="E334" s="96">
        <v>1</v>
      </c>
      <c r="F334" s="96">
        <v>1</v>
      </c>
      <c r="G334" s="96" t="s">
        <v>75</v>
      </c>
      <c r="H334" s="96" t="s">
        <v>75</v>
      </c>
      <c r="I334" s="96">
        <v>1</v>
      </c>
      <c r="J334" s="96" t="s">
        <v>75</v>
      </c>
      <c r="K334" s="96">
        <v>1</v>
      </c>
      <c r="L334" s="96" t="s">
        <v>75</v>
      </c>
      <c r="M334" s="96" t="s">
        <v>75</v>
      </c>
      <c r="N334" s="96">
        <v>1</v>
      </c>
      <c r="O334" s="96" t="s">
        <v>75</v>
      </c>
      <c r="P334" s="96">
        <v>1</v>
      </c>
      <c r="Q334" s="96">
        <v>1</v>
      </c>
      <c r="R334" s="96">
        <v>1</v>
      </c>
      <c r="S334" s="78"/>
      <c r="T334" s="5"/>
      <c r="U334" s="6"/>
    </row>
    <row r="335" spans="1:21" ht="19.5" customHeight="1" x14ac:dyDescent="0.3">
      <c r="A335" s="43">
        <v>3</v>
      </c>
      <c r="B335" s="44" t="s">
        <v>160</v>
      </c>
      <c r="C335" s="43" t="s">
        <v>44</v>
      </c>
      <c r="D335" s="45" t="s">
        <v>6</v>
      </c>
      <c r="E335" s="127">
        <f t="shared" ref="E335:E342" si="70">SUM(F335:R335)</f>
        <v>111809.83</v>
      </c>
      <c r="F335" s="128">
        <f>F336+F337+F338</f>
        <v>7058.83</v>
      </c>
      <c r="G335" s="129"/>
      <c r="H335" s="129"/>
      <c r="I335" s="129"/>
      <c r="J335" s="130"/>
      <c r="K335" s="128">
        <f>K336+K337+K338</f>
        <v>0</v>
      </c>
      <c r="L335" s="129"/>
      <c r="M335" s="129"/>
      <c r="N335" s="129"/>
      <c r="O335" s="130"/>
      <c r="P335" s="127">
        <f>SUM(P336:P338)</f>
        <v>56181</v>
      </c>
      <c r="Q335" s="127">
        <f>SUM(Q336:Q338)</f>
        <v>48570</v>
      </c>
      <c r="R335" s="127">
        <f>SUM(R336:R338)</f>
        <v>0</v>
      </c>
      <c r="S335" s="51" t="s">
        <v>22</v>
      </c>
      <c r="T335" s="5"/>
      <c r="U335" s="6"/>
    </row>
    <row r="336" spans="1:21" ht="33.75" customHeight="1" x14ac:dyDescent="0.3">
      <c r="A336" s="43"/>
      <c r="B336" s="44"/>
      <c r="C336" s="43"/>
      <c r="D336" s="45" t="s">
        <v>23</v>
      </c>
      <c r="E336" s="127">
        <f t="shared" si="70"/>
        <v>3240</v>
      </c>
      <c r="F336" s="128">
        <f>F340+F347+F354</f>
        <v>3240</v>
      </c>
      <c r="G336" s="129"/>
      <c r="H336" s="129"/>
      <c r="I336" s="129"/>
      <c r="J336" s="130"/>
      <c r="K336" s="128">
        <f>K340+O347+O354</f>
        <v>0</v>
      </c>
      <c r="L336" s="129"/>
      <c r="M336" s="129"/>
      <c r="N336" s="129"/>
      <c r="O336" s="130"/>
      <c r="P336" s="127">
        <f t="shared" ref="P336:R338" si="71">P340+P347+P354</f>
        <v>0</v>
      </c>
      <c r="Q336" s="127">
        <f t="shared" si="71"/>
        <v>0</v>
      </c>
      <c r="R336" s="127">
        <f t="shared" si="71"/>
        <v>0</v>
      </c>
      <c r="S336" s="51"/>
      <c r="T336" s="5"/>
      <c r="U336" s="6"/>
    </row>
    <row r="337" spans="1:21" ht="33.75" customHeight="1" x14ac:dyDescent="0.3">
      <c r="A337" s="43"/>
      <c r="B337" s="44"/>
      <c r="C337" s="43"/>
      <c r="D337" s="45" t="s">
        <v>19</v>
      </c>
      <c r="E337" s="127">
        <f t="shared" si="70"/>
        <v>53455.5</v>
      </c>
      <c r="F337" s="128">
        <f>F341+F348+F355</f>
        <v>1080</v>
      </c>
      <c r="G337" s="129"/>
      <c r="H337" s="129"/>
      <c r="I337" s="129"/>
      <c r="J337" s="130"/>
      <c r="K337" s="128">
        <f>K341+K348+O355</f>
        <v>0</v>
      </c>
      <c r="L337" s="129"/>
      <c r="M337" s="129"/>
      <c r="N337" s="129"/>
      <c r="O337" s="130"/>
      <c r="P337" s="127">
        <f t="shared" si="71"/>
        <v>28090.5</v>
      </c>
      <c r="Q337" s="127">
        <f t="shared" si="71"/>
        <v>24285</v>
      </c>
      <c r="R337" s="127">
        <f t="shared" si="71"/>
        <v>0</v>
      </c>
      <c r="S337" s="51"/>
      <c r="T337" s="5"/>
      <c r="U337" s="6"/>
    </row>
    <row r="338" spans="1:21" ht="52.5" customHeight="1" x14ac:dyDescent="0.3">
      <c r="A338" s="43"/>
      <c r="B338" s="44"/>
      <c r="C338" s="43"/>
      <c r="D338" s="45" t="s">
        <v>8</v>
      </c>
      <c r="E338" s="127">
        <f t="shared" si="70"/>
        <v>55114.33</v>
      </c>
      <c r="F338" s="128">
        <f>F342+F349+F356</f>
        <v>2738.83</v>
      </c>
      <c r="G338" s="129"/>
      <c r="H338" s="129"/>
      <c r="I338" s="129"/>
      <c r="J338" s="130"/>
      <c r="K338" s="128">
        <f>K342+K349+K356</f>
        <v>0</v>
      </c>
      <c r="L338" s="129"/>
      <c r="M338" s="129"/>
      <c r="N338" s="129"/>
      <c r="O338" s="130"/>
      <c r="P338" s="127">
        <f t="shared" si="71"/>
        <v>28090.5</v>
      </c>
      <c r="Q338" s="127">
        <f t="shared" si="71"/>
        <v>24285</v>
      </c>
      <c r="R338" s="127">
        <f t="shared" si="71"/>
        <v>0</v>
      </c>
      <c r="S338" s="51"/>
      <c r="T338" s="5"/>
      <c r="U338" s="6"/>
    </row>
    <row r="339" spans="1:21" ht="19.5" customHeight="1" x14ac:dyDescent="0.3">
      <c r="A339" s="99" t="s">
        <v>26</v>
      </c>
      <c r="B339" s="55" t="s">
        <v>161</v>
      </c>
      <c r="C339" s="56" t="s">
        <v>44</v>
      </c>
      <c r="D339" s="45" t="s">
        <v>6</v>
      </c>
      <c r="E339" s="127">
        <f t="shared" si="70"/>
        <v>7058.83</v>
      </c>
      <c r="F339" s="128">
        <f>F340+F341+F342</f>
        <v>7058.83</v>
      </c>
      <c r="G339" s="129"/>
      <c r="H339" s="129"/>
      <c r="I339" s="129"/>
      <c r="J339" s="130"/>
      <c r="K339" s="128">
        <f>SUM(O340:O342)</f>
        <v>0</v>
      </c>
      <c r="L339" s="129"/>
      <c r="M339" s="129"/>
      <c r="N339" s="129"/>
      <c r="O339" s="130"/>
      <c r="P339" s="127">
        <f>SUM(P340:P342)</f>
        <v>0</v>
      </c>
      <c r="Q339" s="127">
        <f>SUM(Q340:Q342)</f>
        <v>0</v>
      </c>
      <c r="R339" s="127">
        <f>SUM(R340:R342)</f>
        <v>0</v>
      </c>
      <c r="S339" s="57" t="s">
        <v>34</v>
      </c>
      <c r="T339" s="5"/>
      <c r="U339" s="6"/>
    </row>
    <row r="340" spans="1:21" ht="34.5" customHeight="1" x14ac:dyDescent="0.3">
      <c r="A340" s="100"/>
      <c r="B340" s="55"/>
      <c r="C340" s="56"/>
      <c r="D340" s="60" t="s">
        <v>23</v>
      </c>
      <c r="E340" s="127">
        <f t="shared" si="70"/>
        <v>3240</v>
      </c>
      <c r="F340" s="131">
        <v>3240</v>
      </c>
      <c r="G340" s="132"/>
      <c r="H340" s="132"/>
      <c r="I340" s="132"/>
      <c r="J340" s="133"/>
      <c r="K340" s="131">
        <v>0</v>
      </c>
      <c r="L340" s="132"/>
      <c r="M340" s="132"/>
      <c r="N340" s="132"/>
      <c r="O340" s="133"/>
      <c r="P340" s="134">
        <v>0</v>
      </c>
      <c r="Q340" s="134">
        <v>0</v>
      </c>
      <c r="R340" s="134">
        <v>0</v>
      </c>
      <c r="S340" s="66"/>
      <c r="T340" s="5"/>
      <c r="U340" s="6"/>
    </row>
    <row r="341" spans="1:21" ht="33" customHeight="1" x14ac:dyDescent="0.3">
      <c r="A341" s="100"/>
      <c r="B341" s="55"/>
      <c r="C341" s="56"/>
      <c r="D341" s="60" t="s">
        <v>19</v>
      </c>
      <c r="E341" s="127">
        <f t="shared" si="70"/>
        <v>1080</v>
      </c>
      <c r="F341" s="131">
        <v>1080</v>
      </c>
      <c r="G341" s="132"/>
      <c r="H341" s="132"/>
      <c r="I341" s="132"/>
      <c r="J341" s="133"/>
      <c r="K341" s="131">
        <v>0</v>
      </c>
      <c r="L341" s="132"/>
      <c r="M341" s="132"/>
      <c r="N341" s="132"/>
      <c r="O341" s="133"/>
      <c r="P341" s="134">
        <v>0</v>
      </c>
      <c r="Q341" s="134">
        <v>0</v>
      </c>
      <c r="R341" s="134">
        <v>0</v>
      </c>
      <c r="S341" s="66"/>
      <c r="T341" s="5"/>
      <c r="U341" s="6"/>
    </row>
    <row r="342" spans="1:21" ht="48.75" customHeight="1" x14ac:dyDescent="0.3">
      <c r="A342" s="100"/>
      <c r="B342" s="55"/>
      <c r="C342" s="56"/>
      <c r="D342" s="60" t="s">
        <v>8</v>
      </c>
      <c r="E342" s="127">
        <f t="shared" si="70"/>
        <v>2738.83</v>
      </c>
      <c r="F342" s="131">
        <f>2738.83</f>
        <v>2738.83</v>
      </c>
      <c r="G342" s="132"/>
      <c r="H342" s="132"/>
      <c r="I342" s="132"/>
      <c r="J342" s="133"/>
      <c r="K342" s="131">
        <v>0</v>
      </c>
      <c r="L342" s="132"/>
      <c r="M342" s="132"/>
      <c r="N342" s="132"/>
      <c r="O342" s="133"/>
      <c r="P342" s="134">
        <v>0</v>
      </c>
      <c r="Q342" s="134">
        <v>0</v>
      </c>
      <c r="R342" s="134">
        <v>0</v>
      </c>
      <c r="S342" s="66"/>
      <c r="T342" s="5"/>
      <c r="U342" s="6"/>
    </row>
    <row r="343" spans="1:21" ht="19.5" customHeight="1" x14ac:dyDescent="0.3">
      <c r="A343" s="100"/>
      <c r="B343" s="67" t="s">
        <v>100</v>
      </c>
      <c r="C343" s="67" t="s">
        <v>44</v>
      </c>
      <c r="D343" s="67" t="s">
        <v>75</v>
      </c>
      <c r="E343" s="68" t="s">
        <v>76</v>
      </c>
      <c r="F343" s="68" t="s">
        <v>77</v>
      </c>
      <c r="G343" s="69" t="s">
        <v>78</v>
      </c>
      <c r="H343" s="70"/>
      <c r="I343" s="70"/>
      <c r="J343" s="71"/>
      <c r="K343" s="68" t="s">
        <v>194</v>
      </c>
      <c r="L343" s="69" t="s">
        <v>78</v>
      </c>
      <c r="M343" s="70"/>
      <c r="N343" s="70"/>
      <c r="O343" s="71"/>
      <c r="P343" s="31" t="s">
        <v>41</v>
      </c>
      <c r="Q343" s="31" t="s">
        <v>42</v>
      </c>
      <c r="R343" s="31" t="s">
        <v>43</v>
      </c>
      <c r="S343" s="66"/>
      <c r="T343" s="5"/>
      <c r="U343" s="6"/>
    </row>
    <row r="344" spans="1:21" ht="19.5" customHeight="1" x14ac:dyDescent="0.3">
      <c r="A344" s="100"/>
      <c r="B344" s="72"/>
      <c r="C344" s="72"/>
      <c r="D344" s="72"/>
      <c r="E344" s="73"/>
      <c r="F344" s="73"/>
      <c r="G344" s="74" t="s">
        <v>79</v>
      </c>
      <c r="H344" s="74" t="s">
        <v>80</v>
      </c>
      <c r="I344" s="74" t="s">
        <v>81</v>
      </c>
      <c r="J344" s="74" t="s">
        <v>82</v>
      </c>
      <c r="K344" s="73"/>
      <c r="L344" s="74" t="s">
        <v>79</v>
      </c>
      <c r="M344" s="74" t="s">
        <v>80</v>
      </c>
      <c r="N344" s="74" t="s">
        <v>81</v>
      </c>
      <c r="O344" s="74" t="s">
        <v>82</v>
      </c>
      <c r="P344" s="31"/>
      <c r="Q344" s="31"/>
      <c r="R344" s="31"/>
      <c r="S344" s="66"/>
      <c r="T344" s="5"/>
      <c r="U344" s="6"/>
    </row>
    <row r="345" spans="1:21" ht="44.25" customHeight="1" x14ac:dyDescent="0.3">
      <c r="A345" s="101"/>
      <c r="B345" s="76"/>
      <c r="C345" s="76"/>
      <c r="D345" s="76"/>
      <c r="E345" s="96">
        <v>1</v>
      </c>
      <c r="F345" s="96">
        <v>1</v>
      </c>
      <c r="G345" s="96" t="s">
        <v>75</v>
      </c>
      <c r="H345" s="96" t="s">
        <v>75</v>
      </c>
      <c r="I345" s="96" t="s">
        <v>75</v>
      </c>
      <c r="J345" s="96">
        <v>1</v>
      </c>
      <c r="K345" s="96" t="s">
        <v>75</v>
      </c>
      <c r="L345" s="96" t="s">
        <v>75</v>
      </c>
      <c r="M345" s="96" t="s">
        <v>75</v>
      </c>
      <c r="N345" s="96" t="s">
        <v>75</v>
      </c>
      <c r="O345" s="96" t="s">
        <v>75</v>
      </c>
      <c r="P345" s="96" t="s">
        <v>75</v>
      </c>
      <c r="Q345" s="96" t="s">
        <v>75</v>
      </c>
      <c r="R345" s="96" t="s">
        <v>75</v>
      </c>
      <c r="S345" s="78"/>
      <c r="T345" s="5"/>
      <c r="U345" s="6"/>
    </row>
    <row r="346" spans="1:21" ht="19.5" customHeight="1" x14ac:dyDescent="0.3">
      <c r="A346" s="99" t="s">
        <v>51</v>
      </c>
      <c r="B346" s="55" t="s">
        <v>66</v>
      </c>
      <c r="C346" s="56" t="s">
        <v>44</v>
      </c>
      <c r="D346" s="45" t="s">
        <v>6</v>
      </c>
      <c r="E346" s="127">
        <f>SUM(F346:R346)</f>
        <v>104751</v>
      </c>
      <c r="F346" s="128">
        <f>SUM(F347:F349)</f>
        <v>0</v>
      </c>
      <c r="G346" s="129"/>
      <c r="H346" s="129"/>
      <c r="I346" s="129"/>
      <c r="J346" s="130"/>
      <c r="K346" s="128">
        <f>SUM(K347:K349)</f>
        <v>0</v>
      </c>
      <c r="L346" s="129"/>
      <c r="M346" s="129"/>
      <c r="N346" s="129"/>
      <c r="O346" s="130"/>
      <c r="P346" s="127">
        <f>SUM(P347:P349)</f>
        <v>56181</v>
      </c>
      <c r="Q346" s="127">
        <f>SUM(Q347:Q349)</f>
        <v>48570</v>
      </c>
      <c r="R346" s="127">
        <f>SUM(R347:R349)</f>
        <v>0</v>
      </c>
      <c r="S346" s="57" t="s">
        <v>34</v>
      </c>
      <c r="T346" s="5"/>
      <c r="U346" s="6"/>
    </row>
    <row r="347" spans="1:21" ht="33" hidden="1" customHeight="1" outlineLevel="1" x14ac:dyDescent="0.3">
      <c r="A347" s="100"/>
      <c r="B347" s="55"/>
      <c r="C347" s="56"/>
      <c r="D347" s="60" t="s">
        <v>23</v>
      </c>
      <c r="E347" s="127">
        <f>SUM(F347:R347)</f>
        <v>0</v>
      </c>
      <c r="F347" s="131">
        <v>0</v>
      </c>
      <c r="G347" s="132"/>
      <c r="H347" s="132"/>
      <c r="I347" s="132"/>
      <c r="J347" s="133"/>
      <c r="K347" s="143"/>
      <c r="L347" s="143"/>
      <c r="M347" s="143"/>
      <c r="N347" s="143"/>
      <c r="O347" s="134">
        <v>0</v>
      </c>
      <c r="P347" s="134">
        <v>0</v>
      </c>
      <c r="Q347" s="134">
        <v>0</v>
      </c>
      <c r="R347" s="134">
        <v>0</v>
      </c>
      <c r="S347" s="66"/>
      <c r="T347" s="5"/>
      <c r="U347" s="6"/>
    </row>
    <row r="348" spans="1:21" ht="30.75" customHeight="1" collapsed="1" x14ac:dyDescent="0.3">
      <c r="A348" s="100"/>
      <c r="B348" s="55"/>
      <c r="C348" s="56"/>
      <c r="D348" s="60" t="s">
        <v>19</v>
      </c>
      <c r="E348" s="127">
        <f>SUM(F348:R348)</f>
        <v>52375.5</v>
      </c>
      <c r="F348" s="131">
        <v>0</v>
      </c>
      <c r="G348" s="132"/>
      <c r="H348" s="132"/>
      <c r="I348" s="132"/>
      <c r="J348" s="133"/>
      <c r="K348" s="131">
        <v>0</v>
      </c>
      <c r="L348" s="132"/>
      <c r="M348" s="132"/>
      <c r="N348" s="132"/>
      <c r="O348" s="133"/>
      <c r="P348" s="134">
        <f>11858+16232.5</f>
        <v>28090.5</v>
      </c>
      <c r="Q348" s="134">
        <v>24285</v>
      </c>
      <c r="R348" s="134">
        <v>0</v>
      </c>
      <c r="S348" s="66"/>
      <c r="T348" s="5"/>
      <c r="U348" s="6"/>
    </row>
    <row r="349" spans="1:21" ht="51" customHeight="1" x14ac:dyDescent="0.3">
      <c r="A349" s="100"/>
      <c r="B349" s="55"/>
      <c r="C349" s="56"/>
      <c r="D349" s="60" t="s">
        <v>8</v>
      </c>
      <c r="E349" s="127">
        <f>SUM(F349:R349)</f>
        <v>52375.5</v>
      </c>
      <c r="F349" s="131">
        <v>0</v>
      </c>
      <c r="G349" s="132"/>
      <c r="H349" s="132"/>
      <c r="I349" s="132"/>
      <c r="J349" s="133"/>
      <c r="K349" s="131">
        <v>0</v>
      </c>
      <c r="L349" s="132"/>
      <c r="M349" s="132"/>
      <c r="N349" s="132"/>
      <c r="O349" s="133"/>
      <c r="P349" s="134">
        <f>11858+16232.5</f>
        <v>28090.5</v>
      </c>
      <c r="Q349" s="134">
        <v>24285</v>
      </c>
      <c r="R349" s="134">
        <f>24285-24285</f>
        <v>0</v>
      </c>
      <c r="S349" s="66"/>
      <c r="T349" s="5"/>
      <c r="U349" s="6"/>
    </row>
    <row r="350" spans="1:21" ht="19.5" customHeight="1" x14ac:dyDescent="0.3">
      <c r="A350" s="100"/>
      <c r="B350" s="67" t="s">
        <v>101</v>
      </c>
      <c r="C350" s="67" t="s">
        <v>44</v>
      </c>
      <c r="D350" s="67" t="s">
        <v>75</v>
      </c>
      <c r="E350" s="68" t="s">
        <v>76</v>
      </c>
      <c r="F350" s="68" t="s">
        <v>77</v>
      </c>
      <c r="G350" s="69" t="s">
        <v>78</v>
      </c>
      <c r="H350" s="70"/>
      <c r="I350" s="70"/>
      <c r="J350" s="71"/>
      <c r="K350" s="68" t="s">
        <v>194</v>
      </c>
      <c r="L350" s="69" t="s">
        <v>78</v>
      </c>
      <c r="M350" s="70"/>
      <c r="N350" s="70"/>
      <c r="O350" s="71"/>
      <c r="P350" s="31" t="s">
        <v>41</v>
      </c>
      <c r="Q350" s="31" t="s">
        <v>42</v>
      </c>
      <c r="R350" s="31" t="s">
        <v>43</v>
      </c>
      <c r="S350" s="66"/>
      <c r="T350" s="5"/>
      <c r="U350" s="6"/>
    </row>
    <row r="351" spans="1:21" ht="19.5" customHeight="1" x14ac:dyDescent="0.3">
      <c r="A351" s="100"/>
      <c r="B351" s="72"/>
      <c r="C351" s="72"/>
      <c r="D351" s="72"/>
      <c r="E351" s="73"/>
      <c r="F351" s="73"/>
      <c r="G351" s="74" t="s">
        <v>79</v>
      </c>
      <c r="H351" s="74" t="s">
        <v>80</v>
      </c>
      <c r="I351" s="74" t="s">
        <v>81</v>
      </c>
      <c r="J351" s="74" t="s">
        <v>82</v>
      </c>
      <c r="K351" s="73"/>
      <c r="L351" s="74" t="s">
        <v>79</v>
      </c>
      <c r="M351" s="74" t="s">
        <v>80</v>
      </c>
      <c r="N351" s="74" t="s">
        <v>81</v>
      </c>
      <c r="O351" s="74" t="s">
        <v>82</v>
      </c>
      <c r="P351" s="31"/>
      <c r="Q351" s="31"/>
      <c r="R351" s="31"/>
      <c r="S351" s="66"/>
      <c r="T351" s="5"/>
      <c r="U351" s="6"/>
    </row>
    <row r="352" spans="1:21" ht="33" customHeight="1" x14ac:dyDescent="0.25">
      <c r="A352" s="101"/>
      <c r="B352" s="76"/>
      <c r="C352" s="76"/>
      <c r="D352" s="76"/>
      <c r="E352" s="96">
        <f>P352+Q352+R352</f>
        <v>10</v>
      </c>
      <c r="F352" s="77" t="s">
        <v>75</v>
      </c>
      <c r="G352" s="77" t="s">
        <v>75</v>
      </c>
      <c r="H352" s="77" t="s">
        <v>75</v>
      </c>
      <c r="I352" s="77" t="s">
        <v>75</v>
      </c>
      <c r="J352" s="77" t="s">
        <v>75</v>
      </c>
      <c r="K352" s="77" t="s">
        <v>75</v>
      </c>
      <c r="L352" s="77" t="s">
        <v>75</v>
      </c>
      <c r="M352" s="77" t="s">
        <v>75</v>
      </c>
      <c r="N352" s="77" t="s">
        <v>75</v>
      </c>
      <c r="O352" s="77" t="s">
        <v>75</v>
      </c>
      <c r="P352" s="96">
        <v>3</v>
      </c>
      <c r="Q352" s="96">
        <v>4</v>
      </c>
      <c r="R352" s="96">
        <v>3</v>
      </c>
      <c r="S352" s="78"/>
      <c r="T352" s="161"/>
      <c r="U352" s="6"/>
    </row>
    <row r="353" spans="1:21" ht="19.5" customHeight="1" x14ac:dyDescent="0.3">
      <c r="A353" s="99" t="s">
        <v>71</v>
      </c>
      <c r="B353" s="55" t="s">
        <v>65</v>
      </c>
      <c r="C353" s="56" t="s">
        <v>44</v>
      </c>
      <c r="D353" s="45" t="s">
        <v>6</v>
      </c>
      <c r="E353" s="127">
        <f>SUM(F353:R353)</f>
        <v>0</v>
      </c>
      <c r="F353" s="128">
        <f>F354+F355+F356</f>
        <v>0</v>
      </c>
      <c r="G353" s="129"/>
      <c r="H353" s="129"/>
      <c r="I353" s="129"/>
      <c r="J353" s="130"/>
      <c r="K353" s="128">
        <f>K354+K355+K356</f>
        <v>0</v>
      </c>
      <c r="L353" s="129"/>
      <c r="M353" s="129"/>
      <c r="N353" s="129"/>
      <c r="O353" s="130"/>
      <c r="P353" s="127">
        <f>SUM(P354:P356)</f>
        <v>0</v>
      </c>
      <c r="Q353" s="127">
        <f>SUM(Q354:Q356)</f>
        <v>0</v>
      </c>
      <c r="R353" s="127">
        <f>SUM(R354:R356)</f>
        <v>0</v>
      </c>
      <c r="S353" s="57" t="s">
        <v>34</v>
      </c>
      <c r="T353" s="5"/>
      <c r="U353" s="6"/>
    </row>
    <row r="354" spans="1:21" ht="31.5" hidden="1" customHeight="1" outlineLevel="1" x14ac:dyDescent="0.3">
      <c r="A354" s="100"/>
      <c r="B354" s="55"/>
      <c r="C354" s="56"/>
      <c r="D354" s="60" t="s">
        <v>23</v>
      </c>
      <c r="E354" s="127">
        <f>SUM(F354:R354)</f>
        <v>0</v>
      </c>
      <c r="F354" s="131">
        <v>0</v>
      </c>
      <c r="G354" s="132"/>
      <c r="H354" s="132"/>
      <c r="I354" s="132"/>
      <c r="J354" s="133"/>
      <c r="K354" s="143"/>
      <c r="L354" s="143"/>
      <c r="M354" s="143"/>
      <c r="N354" s="143"/>
      <c r="O354" s="134">
        <v>0</v>
      </c>
      <c r="P354" s="134">
        <v>0</v>
      </c>
      <c r="Q354" s="134">
        <v>0</v>
      </c>
      <c r="R354" s="134">
        <v>0</v>
      </c>
      <c r="S354" s="66"/>
      <c r="T354" s="5"/>
      <c r="U354" s="6"/>
    </row>
    <row r="355" spans="1:21" ht="35.25" hidden="1" customHeight="1" outlineLevel="1" x14ac:dyDescent="0.3">
      <c r="A355" s="100"/>
      <c r="B355" s="55"/>
      <c r="C355" s="56"/>
      <c r="D355" s="60" t="s">
        <v>19</v>
      </c>
      <c r="E355" s="127">
        <f>SUM(F355:R355)</f>
        <v>0</v>
      </c>
      <c r="F355" s="131">
        <v>0</v>
      </c>
      <c r="G355" s="132"/>
      <c r="H355" s="132"/>
      <c r="I355" s="132"/>
      <c r="J355" s="133"/>
      <c r="K355" s="143"/>
      <c r="L355" s="143"/>
      <c r="M355" s="143"/>
      <c r="N355" s="143"/>
      <c r="O355" s="134">
        <v>0</v>
      </c>
      <c r="P355" s="134">
        <v>0</v>
      </c>
      <c r="Q355" s="134">
        <v>0</v>
      </c>
      <c r="R355" s="134">
        <v>0</v>
      </c>
      <c r="S355" s="66"/>
      <c r="T355" s="5"/>
      <c r="U355" s="6"/>
    </row>
    <row r="356" spans="1:21" ht="80.25" customHeight="1" collapsed="1" x14ac:dyDescent="0.3">
      <c r="A356" s="100"/>
      <c r="B356" s="55"/>
      <c r="C356" s="56"/>
      <c r="D356" s="60" t="s">
        <v>8</v>
      </c>
      <c r="E356" s="127">
        <f>SUM(F356:R356)</f>
        <v>0</v>
      </c>
      <c r="F356" s="131">
        <v>0</v>
      </c>
      <c r="G356" s="132"/>
      <c r="H356" s="132"/>
      <c r="I356" s="132"/>
      <c r="J356" s="133"/>
      <c r="K356" s="131">
        <v>0</v>
      </c>
      <c r="L356" s="132"/>
      <c r="M356" s="132"/>
      <c r="N356" s="132"/>
      <c r="O356" s="133"/>
      <c r="P356" s="134">
        <v>0</v>
      </c>
      <c r="Q356" s="134">
        <v>0</v>
      </c>
      <c r="R356" s="134">
        <v>0</v>
      </c>
      <c r="S356" s="66"/>
      <c r="T356" s="5"/>
      <c r="U356" s="6"/>
    </row>
    <row r="357" spans="1:21" ht="19.5" customHeight="1" x14ac:dyDescent="0.3">
      <c r="A357" s="100"/>
      <c r="B357" s="67" t="s">
        <v>102</v>
      </c>
      <c r="C357" s="67" t="s">
        <v>44</v>
      </c>
      <c r="D357" s="67" t="s">
        <v>75</v>
      </c>
      <c r="E357" s="68" t="s">
        <v>76</v>
      </c>
      <c r="F357" s="68" t="s">
        <v>77</v>
      </c>
      <c r="G357" s="69" t="s">
        <v>78</v>
      </c>
      <c r="H357" s="70"/>
      <c r="I357" s="70"/>
      <c r="J357" s="71"/>
      <c r="K357" s="68" t="s">
        <v>194</v>
      </c>
      <c r="L357" s="69" t="s">
        <v>78</v>
      </c>
      <c r="M357" s="70"/>
      <c r="N357" s="70"/>
      <c r="O357" s="71"/>
      <c r="P357" s="31" t="s">
        <v>41</v>
      </c>
      <c r="Q357" s="31" t="s">
        <v>42</v>
      </c>
      <c r="R357" s="31" t="s">
        <v>43</v>
      </c>
      <c r="S357" s="66"/>
      <c r="T357" s="5"/>
      <c r="U357" s="6"/>
    </row>
    <row r="358" spans="1:21" ht="19.5" customHeight="1" x14ac:dyDescent="0.3">
      <c r="A358" s="100"/>
      <c r="B358" s="72"/>
      <c r="C358" s="72"/>
      <c r="D358" s="72"/>
      <c r="E358" s="73"/>
      <c r="F358" s="73"/>
      <c r="G358" s="74" t="s">
        <v>79</v>
      </c>
      <c r="H358" s="74" t="s">
        <v>80</v>
      </c>
      <c r="I358" s="74" t="s">
        <v>81</v>
      </c>
      <c r="J358" s="74" t="s">
        <v>82</v>
      </c>
      <c r="K358" s="73"/>
      <c r="L358" s="74" t="s">
        <v>79</v>
      </c>
      <c r="M358" s="74" t="s">
        <v>80</v>
      </c>
      <c r="N358" s="74" t="s">
        <v>81</v>
      </c>
      <c r="O358" s="74" t="s">
        <v>82</v>
      </c>
      <c r="P358" s="31"/>
      <c r="Q358" s="31"/>
      <c r="R358" s="31"/>
      <c r="S358" s="66"/>
      <c r="T358" s="5"/>
      <c r="U358" s="6"/>
    </row>
    <row r="359" spans="1:21" ht="33" customHeight="1" x14ac:dyDescent="0.3">
      <c r="A359" s="101"/>
      <c r="B359" s="76"/>
      <c r="C359" s="76"/>
      <c r="D359" s="76"/>
      <c r="E359" s="77" t="s">
        <v>75</v>
      </c>
      <c r="F359" s="77" t="s">
        <v>75</v>
      </c>
      <c r="G359" s="77" t="s">
        <v>75</v>
      </c>
      <c r="H359" s="77" t="s">
        <v>75</v>
      </c>
      <c r="I359" s="77" t="s">
        <v>75</v>
      </c>
      <c r="J359" s="77" t="s">
        <v>75</v>
      </c>
      <c r="K359" s="77" t="s">
        <v>75</v>
      </c>
      <c r="L359" s="77" t="s">
        <v>75</v>
      </c>
      <c r="M359" s="77" t="s">
        <v>75</v>
      </c>
      <c r="N359" s="77" t="s">
        <v>75</v>
      </c>
      <c r="O359" s="77" t="s">
        <v>75</v>
      </c>
      <c r="P359" s="77" t="s">
        <v>75</v>
      </c>
      <c r="Q359" s="77" t="s">
        <v>75</v>
      </c>
      <c r="R359" s="77" t="s">
        <v>75</v>
      </c>
      <c r="S359" s="78"/>
      <c r="T359" s="5"/>
      <c r="U359" s="6"/>
    </row>
    <row r="360" spans="1:21" ht="19.5" customHeight="1" x14ac:dyDescent="0.3">
      <c r="A360" s="43" t="s">
        <v>27</v>
      </c>
      <c r="B360" s="44" t="s">
        <v>62</v>
      </c>
      <c r="C360" s="43" t="s">
        <v>44</v>
      </c>
      <c r="D360" s="45" t="s">
        <v>6</v>
      </c>
      <c r="E360" s="127">
        <f t="shared" ref="E360:E365" si="72">SUM(F360:R360)</f>
        <v>0</v>
      </c>
      <c r="F360" s="128">
        <f>F361+F362</f>
        <v>0</v>
      </c>
      <c r="G360" s="129"/>
      <c r="H360" s="129"/>
      <c r="I360" s="129"/>
      <c r="J360" s="130"/>
      <c r="K360" s="128">
        <f>K361+K362</f>
        <v>0</v>
      </c>
      <c r="L360" s="129"/>
      <c r="M360" s="129"/>
      <c r="N360" s="129"/>
      <c r="O360" s="130"/>
      <c r="P360" s="127">
        <f>SUM(P361:P362)</f>
        <v>0</v>
      </c>
      <c r="Q360" s="127">
        <f>SUM(Q361:Q362)</f>
        <v>0</v>
      </c>
      <c r="R360" s="127">
        <f>SUM(R361:R362)</f>
        <v>0</v>
      </c>
      <c r="S360" s="51" t="s">
        <v>36</v>
      </c>
      <c r="T360" s="5"/>
      <c r="U360" s="6"/>
    </row>
    <row r="361" spans="1:21" ht="30" hidden="1" customHeight="1" outlineLevel="1" x14ac:dyDescent="0.3">
      <c r="A361" s="43"/>
      <c r="B361" s="44"/>
      <c r="C361" s="43"/>
      <c r="D361" s="45" t="s">
        <v>19</v>
      </c>
      <c r="E361" s="127">
        <f t="shared" si="72"/>
        <v>0</v>
      </c>
      <c r="F361" s="128">
        <f>F364+F370</f>
        <v>0</v>
      </c>
      <c r="G361" s="129"/>
      <c r="H361" s="129"/>
      <c r="I361" s="129"/>
      <c r="J361" s="130"/>
      <c r="K361" s="142"/>
      <c r="L361" s="142"/>
      <c r="M361" s="142"/>
      <c r="N361" s="142"/>
      <c r="O361" s="127">
        <f>O364+O370</f>
        <v>0</v>
      </c>
      <c r="P361" s="127">
        <f t="shared" ref="P361:R362" si="73">P364+P370</f>
        <v>0</v>
      </c>
      <c r="Q361" s="127">
        <f t="shared" si="73"/>
        <v>0</v>
      </c>
      <c r="R361" s="127">
        <f t="shared" si="73"/>
        <v>0</v>
      </c>
      <c r="S361" s="51"/>
      <c r="T361" s="5"/>
      <c r="U361" s="6"/>
    </row>
    <row r="362" spans="1:21" ht="54.75" customHeight="1" collapsed="1" x14ac:dyDescent="0.3">
      <c r="A362" s="43"/>
      <c r="B362" s="44"/>
      <c r="C362" s="43"/>
      <c r="D362" s="45" t="s">
        <v>8</v>
      </c>
      <c r="E362" s="127">
        <f t="shared" si="72"/>
        <v>0</v>
      </c>
      <c r="F362" s="128">
        <f>F365+F371</f>
        <v>0</v>
      </c>
      <c r="G362" s="129"/>
      <c r="H362" s="129"/>
      <c r="I362" s="129"/>
      <c r="J362" s="130"/>
      <c r="K362" s="128">
        <f>K365+K371</f>
        <v>0</v>
      </c>
      <c r="L362" s="129"/>
      <c r="M362" s="129"/>
      <c r="N362" s="129"/>
      <c r="O362" s="130"/>
      <c r="P362" s="127">
        <f t="shared" si="73"/>
        <v>0</v>
      </c>
      <c r="Q362" s="127">
        <f t="shared" si="73"/>
        <v>0</v>
      </c>
      <c r="R362" s="127">
        <f t="shared" si="73"/>
        <v>0</v>
      </c>
      <c r="S362" s="51"/>
      <c r="T362" s="5"/>
      <c r="U362" s="6"/>
    </row>
    <row r="363" spans="1:21" ht="19.5" customHeight="1" x14ac:dyDescent="0.3">
      <c r="A363" s="54" t="s">
        <v>72</v>
      </c>
      <c r="B363" s="55" t="s">
        <v>63</v>
      </c>
      <c r="C363" s="56" t="s">
        <v>44</v>
      </c>
      <c r="D363" s="45" t="s">
        <v>6</v>
      </c>
      <c r="E363" s="127">
        <f t="shared" si="72"/>
        <v>0</v>
      </c>
      <c r="F363" s="128">
        <f>F364+F365</f>
        <v>0</v>
      </c>
      <c r="G363" s="129"/>
      <c r="H363" s="129"/>
      <c r="I363" s="129"/>
      <c r="J363" s="130"/>
      <c r="K363" s="128">
        <f>K364+K365</f>
        <v>0</v>
      </c>
      <c r="L363" s="129"/>
      <c r="M363" s="129"/>
      <c r="N363" s="129"/>
      <c r="O363" s="130"/>
      <c r="P363" s="127">
        <f>SUM(P364:P365)</f>
        <v>0</v>
      </c>
      <c r="Q363" s="127">
        <f>SUM(Q364:Q365)</f>
        <v>0</v>
      </c>
      <c r="R363" s="127">
        <f>SUM(R364:R365)</f>
        <v>0</v>
      </c>
      <c r="S363" s="57" t="s">
        <v>36</v>
      </c>
      <c r="T363" s="5"/>
      <c r="U363" s="6"/>
    </row>
    <row r="364" spans="1:21" ht="33.75" hidden="1" customHeight="1" outlineLevel="1" x14ac:dyDescent="0.3">
      <c r="A364" s="58"/>
      <c r="B364" s="55"/>
      <c r="C364" s="56"/>
      <c r="D364" s="60" t="s">
        <v>19</v>
      </c>
      <c r="E364" s="127">
        <f t="shared" si="72"/>
        <v>0</v>
      </c>
      <c r="F364" s="131">
        <v>0</v>
      </c>
      <c r="G364" s="132"/>
      <c r="H364" s="132"/>
      <c r="I364" s="132"/>
      <c r="J364" s="133"/>
      <c r="K364" s="143"/>
      <c r="L364" s="143"/>
      <c r="M364" s="143"/>
      <c r="N364" s="143"/>
      <c r="O364" s="134">
        <v>0</v>
      </c>
      <c r="P364" s="134">
        <v>0</v>
      </c>
      <c r="Q364" s="134">
        <v>0</v>
      </c>
      <c r="R364" s="134">
        <v>0</v>
      </c>
      <c r="S364" s="66"/>
      <c r="T364" s="5"/>
      <c r="U364" s="6"/>
    </row>
    <row r="365" spans="1:21" ht="66.75" customHeight="1" collapsed="1" x14ac:dyDescent="0.3">
      <c r="A365" s="58"/>
      <c r="B365" s="55"/>
      <c r="C365" s="56"/>
      <c r="D365" s="60" t="s">
        <v>8</v>
      </c>
      <c r="E365" s="127">
        <f t="shared" si="72"/>
        <v>0</v>
      </c>
      <c r="F365" s="131">
        <v>0</v>
      </c>
      <c r="G365" s="132"/>
      <c r="H365" s="132"/>
      <c r="I365" s="132"/>
      <c r="J365" s="133"/>
      <c r="K365" s="131">
        <v>0</v>
      </c>
      <c r="L365" s="132"/>
      <c r="M365" s="132"/>
      <c r="N365" s="132"/>
      <c r="O365" s="133"/>
      <c r="P365" s="134">
        <v>0</v>
      </c>
      <c r="Q365" s="134">
        <v>0</v>
      </c>
      <c r="R365" s="134">
        <v>0</v>
      </c>
      <c r="S365" s="66"/>
      <c r="T365" s="5"/>
      <c r="U365" s="6"/>
    </row>
    <row r="366" spans="1:21" ht="19.5" customHeight="1" x14ac:dyDescent="0.3">
      <c r="A366" s="58"/>
      <c r="B366" s="67" t="s">
        <v>202</v>
      </c>
      <c r="C366" s="67" t="s">
        <v>44</v>
      </c>
      <c r="D366" s="67" t="s">
        <v>75</v>
      </c>
      <c r="E366" s="68" t="s">
        <v>76</v>
      </c>
      <c r="F366" s="68" t="s">
        <v>77</v>
      </c>
      <c r="G366" s="69" t="s">
        <v>78</v>
      </c>
      <c r="H366" s="70"/>
      <c r="I366" s="70"/>
      <c r="J366" s="71"/>
      <c r="K366" s="68" t="s">
        <v>194</v>
      </c>
      <c r="L366" s="69" t="s">
        <v>78</v>
      </c>
      <c r="M366" s="70"/>
      <c r="N366" s="70"/>
      <c r="O366" s="71"/>
      <c r="P366" s="31" t="s">
        <v>41</v>
      </c>
      <c r="Q366" s="31" t="s">
        <v>42</v>
      </c>
      <c r="R366" s="31" t="s">
        <v>43</v>
      </c>
      <c r="S366" s="66"/>
      <c r="T366" s="5"/>
      <c r="U366" s="6"/>
    </row>
    <row r="367" spans="1:21" ht="19.5" customHeight="1" x14ac:dyDescent="0.3">
      <c r="A367" s="58"/>
      <c r="B367" s="72"/>
      <c r="C367" s="72"/>
      <c r="D367" s="72"/>
      <c r="E367" s="73"/>
      <c r="F367" s="73"/>
      <c r="G367" s="74" t="s">
        <v>79</v>
      </c>
      <c r="H367" s="74" t="s">
        <v>80</v>
      </c>
      <c r="I367" s="74" t="s">
        <v>81</v>
      </c>
      <c r="J367" s="74" t="s">
        <v>82</v>
      </c>
      <c r="K367" s="73"/>
      <c r="L367" s="74" t="s">
        <v>79</v>
      </c>
      <c r="M367" s="74" t="s">
        <v>80</v>
      </c>
      <c r="N367" s="74" t="s">
        <v>81</v>
      </c>
      <c r="O367" s="74" t="s">
        <v>82</v>
      </c>
      <c r="P367" s="31"/>
      <c r="Q367" s="31"/>
      <c r="R367" s="31"/>
      <c r="S367" s="66"/>
      <c r="T367" s="5"/>
      <c r="U367" s="6"/>
    </row>
    <row r="368" spans="1:21" ht="34.5" customHeight="1" x14ac:dyDescent="0.3">
      <c r="A368" s="75"/>
      <c r="B368" s="76"/>
      <c r="C368" s="76"/>
      <c r="D368" s="76"/>
      <c r="E368" s="77" t="s">
        <v>75</v>
      </c>
      <c r="F368" s="77" t="s">
        <v>75</v>
      </c>
      <c r="G368" s="77" t="s">
        <v>75</v>
      </c>
      <c r="H368" s="77" t="s">
        <v>75</v>
      </c>
      <c r="I368" s="77" t="s">
        <v>75</v>
      </c>
      <c r="J368" s="77" t="s">
        <v>75</v>
      </c>
      <c r="K368" s="77" t="s">
        <v>75</v>
      </c>
      <c r="L368" s="77" t="s">
        <v>75</v>
      </c>
      <c r="M368" s="77" t="s">
        <v>75</v>
      </c>
      <c r="N368" s="77" t="s">
        <v>75</v>
      </c>
      <c r="O368" s="77" t="s">
        <v>75</v>
      </c>
      <c r="P368" s="77" t="s">
        <v>75</v>
      </c>
      <c r="Q368" s="77" t="s">
        <v>75</v>
      </c>
      <c r="R368" s="77" t="s">
        <v>75</v>
      </c>
      <c r="S368" s="78"/>
      <c r="T368" s="5"/>
      <c r="U368" s="6"/>
    </row>
    <row r="369" spans="1:21" ht="19.5" customHeight="1" x14ac:dyDescent="0.3">
      <c r="A369" s="54" t="s">
        <v>73</v>
      </c>
      <c r="B369" s="55" t="s">
        <v>64</v>
      </c>
      <c r="C369" s="56" t="s">
        <v>44</v>
      </c>
      <c r="D369" s="45" t="s">
        <v>6</v>
      </c>
      <c r="E369" s="127">
        <f>SUM(F369:R369)</f>
        <v>0</v>
      </c>
      <c r="F369" s="128">
        <f>F370+F371</f>
        <v>0</v>
      </c>
      <c r="G369" s="129"/>
      <c r="H369" s="129"/>
      <c r="I369" s="129"/>
      <c r="J369" s="130"/>
      <c r="K369" s="128">
        <f>K370+K371</f>
        <v>0</v>
      </c>
      <c r="L369" s="129"/>
      <c r="M369" s="129"/>
      <c r="N369" s="129"/>
      <c r="O369" s="130"/>
      <c r="P369" s="127">
        <f>SUM(P370:P371)</f>
        <v>0</v>
      </c>
      <c r="Q369" s="127">
        <f>SUM(Q370:Q371)</f>
        <v>0</v>
      </c>
      <c r="R369" s="127">
        <f>SUM(R370:R371)</f>
        <v>0</v>
      </c>
      <c r="S369" s="57" t="s">
        <v>36</v>
      </c>
      <c r="T369" s="5"/>
      <c r="U369" s="6"/>
    </row>
    <row r="370" spans="1:21" ht="36" hidden="1" customHeight="1" outlineLevel="1" x14ac:dyDescent="0.3">
      <c r="A370" s="58"/>
      <c r="B370" s="55"/>
      <c r="C370" s="56"/>
      <c r="D370" s="60" t="s">
        <v>19</v>
      </c>
      <c r="E370" s="127">
        <f>SUM(F370:R370)</f>
        <v>0</v>
      </c>
      <c r="F370" s="131">
        <v>0</v>
      </c>
      <c r="G370" s="132"/>
      <c r="H370" s="132"/>
      <c r="I370" s="132"/>
      <c r="J370" s="133"/>
      <c r="K370" s="143"/>
      <c r="L370" s="143"/>
      <c r="M370" s="143"/>
      <c r="N370" s="143"/>
      <c r="O370" s="134">
        <v>0</v>
      </c>
      <c r="P370" s="134">
        <v>0</v>
      </c>
      <c r="Q370" s="134">
        <v>0</v>
      </c>
      <c r="R370" s="134">
        <v>0</v>
      </c>
      <c r="S370" s="66"/>
      <c r="T370" s="5"/>
      <c r="U370" s="6"/>
    </row>
    <row r="371" spans="1:21" ht="51.75" customHeight="1" collapsed="1" x14ac:dyDescent="0.3">
      <c r="A371" s="58"/>
      <c r="B371" s="55"/>
      <c r="C371" s="56"/>
      <c r="D371" s="60" t="s">
        <v>8</v>
      </c>
      <c r="E371" s="127">
        <f>SUM(F371:R371)</f>
        <v>0</v>
      </c>
      <c r="F371" s="131">
        <v>0</v>
      </c>
      <c r="G371" s="132"/>
      <c r="H371" s="132"/>
      <c r="I371" s="132"/>
      <c r="J371" s="133"/>
      <c r="K371" s="131">
        <v>0</v>
      </c>
      <c r="L371" s="132"/>
      <c r="M371" s="132"/>
      <c r="N371" s="132"/>
      <c r="O371" s="133"/>
      <c r="P371" s="134">
        <v>0</v>
      </c>
      <c r="Q371" s="134">
        <v>0</v>
      </c>
      <c r="R371" s="134">
        <v>0</v>
      </c>
      <c r="S371" s="66"/>
      <c r="T371" s="5"/>
      <c r="U371" s="6"/>
    </row>
    <row r="372" spans="1:21" ht="19.5" customHeight="1" x14ac:dyDescent="0.3">
      <c r="A372" s="58"/>
      <c r="B372" s="67" t="s">
        <v>103</v>
      </c>
      <c r="C372" s="67" t="s">
        <v>44</v>
      </c>
      <c r="D372" s="67" t="s">
        <v>75</v>
      </c>
      <c r="E372" s="68" t="s">
        <v>76</v>
      </c>
      <c r="F372" s="68" t="s">
        <v>77</v>
      </c>
      <c r="G372" s="69" t="s">
        <v>78</v>
      </c>
      <c r="H372" s="70"/>
      <c r="I372" s="70"/>
      <c r="J372" s="71"/>
      <c r="K372" s="68" t="s">
        <v>194</v>
      </c>
      <c r="L372" s="69" t="s">
        <v>78</v>
      </c>
      <c r="M372" s="70"/>
      <c r="N372" s="70"/>
      <c r="O372" s="71"/>
      <c r="P372" s="31" t="s">
        <v>41</v>
      </c>
      <c r="Q372" s="31" t="s">
        <v>42</v>
      </c>
      <c r="R372" s="31" t="s">
        <v>43</v>
      </c>
      <c r="S372" s="66"/>
      <c r="T372" s="5"/>
      <c r="U372" s="6"/>
    </row>
    <row r="373" spans="1:21" ht="19.5" customHeight="1" x14ac:dyDescent="0.3">
      <c r="A373" s="58"/>
      <c r="B373" s="72"/>
      <c r="C373" s="72"/>
      <c r="D373" s="72"/>
      <c r="E373" s="73"/>
      <c r="F373" s="73"/>
      <c r="G373" s="74" t="s">
        <v>79</v>
      </c>
      <c r="H373" s="74" t="s">
        <v>80</v>
      </c>
      <c r="I373" s="74" t="s">
        <v>81</v>
      </c>
      <c r="J373" s="74" t="s">
        <v>82</v>
      </c>
      <c r="K373" s="73"/>
      <c r="L373" s="74" t="s">
        <v>79</v>
      </c>
      <c r="M373" s="74" t="s">
        <v>80</v>
      </c>
      <c r="N373" s="74" t="s">
        <v>81</v>
      </c>
      <c r="O373" s="74" t="s">
        <v>82</v>
      </c>
      <c r="P373" s="31"/>
      <c r="Q373" s="31"/>
      <c r="R373" s="31"/>
      <c r="S373" s="66"/>
      <c r="T373" s="5"/>
      <c r="U373" s="6"/>
    </row>
    <row r="374" spans="1:21" ht="48.75" customHeight="1" x14ac:dyDescent="0.3">
      <c r="A374" s="75"/>
      <c r="B374" s="76"/>
      <c r="C374" s="76"/>
      <c r="D374" s="76"/>
      <c r="E374" s="77" t="s">
        <v>75</v>
      </c>
      <c r="F374" s="77" t="s">
        <v>75</v>
      </c>
      <c r="G374" s="77" t="s">
        <v>75</v>
      </c>
      <c r="H374" s="77" t="s">
        <v>75</v>
      </c>
      <c r="I374" s="77" t="s">
        <v>75</v>
      </c>
      <c r="J374" s="77" t="s">
        <v>75</v>
      </c>
      <c r="K374" s="77" t="s">
        <v>75</v>
      </c>
      <c r="L374" s="77" t="s">
        <v>75</v>
      </c>
      <c r="M374" s="77" t="s">
        <v>75</v>
      </c>
      <c r="N374" s="77" t="s">
        <v>75</v>
      </c>
      <c r="O374" s="77" t="s">
        <v>75</v>
      </c>
      <c r="P374" s="77" t="s">
        <v>75</v>
      </c>
      <c r="Q374" s="77" t="s">
        <v>75</v>
      </c>
      <c r="R374" s="77" t="s">
        <v>75</v>
      </c>
      <c r="S374" s="78"/>
      <c r="T374" s="5"/>
      <c r="U374" s="6"/>
    </row>
    <row r="375" spans="1:21" ht="15.75" x14ac:dyDescent="0.25">
      <c r="A375" s="89" t="s">
        <v>17</v>
      </c>
      <c r="B375" s="89"/>
      <c r="C375" s="89"/>
      <c r="D375" s="45" t="s">
        <v>6</v>
      </c>
      <c r="E375" s="127">
        <f>SUM(F375:R375)</f>
        <v>2493756.4795499998</v>
      </c>
      <c r="F375" s="128">
        <f>F376+F377+F378+F379</f>
        <v>503725.95034999994</v>
      </c>
      <c r="G375" s="129"/>
      <c r="H375" s="129"/>
      <c r="I375" s="129"/>
      <c r="J375" s="130"/>
      <c r="K375" s="128">
        <f>K376+K377+K378+K379</f>
        <v>475144.97319999995</v>
      </c>
      <c r="L375" s="129"/>
      <c r="M375" s="129"/>
      <c r="N375" s="129"/>
      <c r="O375" s="130"/>
      <c r="P375" s="127">
        <f t="shared" ref="P375:R375" si="74">SUM(P376:P379)</f>
        <v>526225.85199999996</v>
      </c>
      <c r="Q375" s="127">
        <f t="shared" si="74"/>
        <v>518614.85199999996</v>
      </c>
      <c r="R375" s="127">
        <f t="shared" si="74"/>
        <v>470044.85199999996</v>
      </c>
      <c r="S375" s="51"/>
      <c r="T375" s="6"/>
      <c r="U375" s="6"/>
    </row>
    <row r="376" spans="1:21" ht="31.5" x14ac:dyDescent="0.25">
      <c r="A376" s="89"/>
      <c r="B376" s="89"/>
      <c r="C376" s="89"/>
      <c r="D376" s="45" t="s">
        <v>23</v>
      </c>
      <c r="E376" s="127">
        <f>SUM(F376:R376)</f>
        <v>3240</v>
      </c>
      <c r="F376" s="128">
        <f>F336</f>
        <v>3240</v>
      </c>
      <c r="G376" s="129"/>
      <c r="H376" s="129"/>
      <c r="I376" s="129"/>
      <c r="J376" s="130"/>
      <c r="K376" s="128">
        <f>K336</f>
        <v>0</v>
      </c>
      <c r="L376" s="129"/>
      <c r="M376" s="129"/>
      <c r="N376" s="129"/>
      <c r="O376" s="130"/>
      <c r="P376" s="127">
        <f t="shared" ref="P376:R376" si="75">P336</f>
        <v>0</v>
      </c>
      <c r="Q376" s="127">
        <f t="shared" si="75"/>
        <v>0</v>
      </c>
      <c r="R376" s="127">
        <f t="shared" si="75"/>
        <v>0</v>
      </c>
      <c r="S376" s="51"/>
      <c r="T376" s="6"/>
      <c r="U376" s="6"/>
    </row>
    <row r="377" spans="1:21" ht="31.5" x14ac:dyDescent="0.25">
      <c r="A377" s="89"/>
      <c r="B377" s="89"/>
      <c r="C377" s="89"/>
      <c r="D377" s="45" t="s">
        <v>19</v>
      </c>
      <c r="E377" s="127">
        <f>SUM(F377:R377)</f>
        <v>53455.5</v>
      </c>
      <c r="F377" s="128">
        <f>F319+F337+F361</f>
        <v>1080</v>
      </c>
      <c r="G377" s="129"/>
      <c r="H377" s="129"/>
      <c r="I377" s="129"/>
      <c r="J377" s="130"/>
      <c r="K377" s="128">
        <f>O319+K337+O361</f>
        <v>0</v>
      </c>
      <c r="L377" s="129"/>
      <c r="M377" s="129"/>
      <c r="N377" s="129"/>
      <c r="O377" s="130"/>
      <c r="P377" s="127">
        <f t="shared" ref="P377:R377" si="76">P319+P337+P361</f>
        <v>28090.5</v>
      </c>
      <c r="Q377" s="127">
        <f t="shared" si="76"/>
        <v>24285</v>
      </c>
      <c r="R377" s="127">
        <f t="shared" si="76"/>
        <v>0</v>
      </c>
      <c r="S377" s="51"/>
      <c r="T377" s="6"/>
      <c r="U377" s="6"/>
    </row>
    <row r="378" spans="1:21" ht="47.25" x14ac:dyDescent="0.25">
      <c r="A378" s="89"/>
      <c r="B378" s="89"/>
      <c r="C378" s="89"/>
      <c r="D378" s="45" t="s">
        <v>8</v>
      </c>
      <c r="E378" s="127">
        <f>SUM(F378:R378)</f>
        <v>2032046.2113299998</v>
      </c>
      <c r="F378" s="128">
        <f>F310+F320+F338+F362</f>
        <v>406642.59012999997</v>
      </c>
      <c r="G378" s="129"/>
      <c r="H378" s="129"/>
      <c r="I378" s="129"/>
      <c r="J378" s="130"/>
      <c r="K378" s="128">
        <f>K310+K320+K338+K362</f>
        <v>397082.12119999994</v>
      </c>
      <c r="L378" s="129"/>
      <c r="M378" s="129"/>
      <c r="N378" s="129"/>
      <c r="O378" s="130"/>
      <c r="P378" s="127">
        <f t="shared" ref="P378:R378" si="77">P310+P320+P338+P362</f>
        <v>420072.49999999994</v>
      </c>
      <c r="Q378" s="127">
        <f>Q310+Q320+Q338+Q362</f>
        <v>416266.99999999994</v>
      </c>
      <c r="R378" s="127">
        <f t="shared" si="77"/>
        <v>391981.99999999994</v>
      </c>
      <c r="S378" s="51"/>
      <c r="T378" s="6"/>
      <c r="U378" s="6"/>
    </row>
    <row r="379" spans="1:21" ht="15.75" x14ac:dyDescent="0.25">
      <c r="A379" s="89"/>
      <c r="B379" s="89"/>
      <c r="C379" s="89"/>
      <c r="D379" s="94" t="s">
        <v>20</v>
      </c>
      <c r="E379" s="127">
        <f>SUM(F379:R379)</f>
        <v>405014.76822000003</v>
      </c>
      <c r="F379" s="128">
        <f>F311+F321</f>
        <v>92763.360219999988</v>
      </c>
      <c r="G379" s="129"/>
      <c r="H379" s="129"/>
      <c r="I379" s="129"/>
      <c r="J379" s="130"/>
      <c r="K379" s="128">
        <f>K311++K321</f>
        <v>78062.851999999999</v>
      </c>
      <c r="L379" s="129"/>
      <c r="M379" s="129"/>
      <c r="N379" s="129"/>
      <c r="O379" s="130"/>
      <c r="P379" s="127">
        <f t="shared" ref="P379:R379" si="78">P311++P321</f>
        <v>78062.851999999999</v>
      </c>
      <c r="Q379" s="127">
        <f t="shared" si="78"/>
        <v>78062.851999999999</v>
      </c>
      <c r="R379" s="127">
        <f t="shared" si="78"/>
        <v>78062.851999999999</v>
      </c>
      <c r="S379" s="51"/>
      <c r="T379" s="6"/>
      <c r="U379" s="6"/>
    </row>
    <row r="380" spans="1:21" ht="30" customHeight="1" x14ac:dyDescent="0.25">
      <c r="A380" s="38" t="s">
        <v>191</v>
      </c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6"/>
      <c r="U380" s="6"/>
    </row>
    <row r="381" spans="1:21" ht="15.75" x14ac:dyDescent="0.25">
      <c r="A381" s="43" t="s">
        <v>35</v>
      </c>
      <c r="B381" s="44" t="s">
        <v>162</v>
      </c>
      <c r="C381" s="43" t="s">
        <v>44</v>
      </c>
      <c r="D381" s="45" t="s">
        <v>6</v>
      </c>
      <c r="E381" s="127">
        <f>SUM(F381:R381)</f>
        <v>9000</v>
      </c>
      <c r="F381" s="128">
        <f>F382</f>
        <v>3000</v>
      </c>
      <c r="G381" s="129"/>
      <c r="H381" s="129"/>
      <c r="I381" s="129"/>
      <c r="J381" s="130"/>
      <c r="K381" s="128">
        <f>SUM(K382:K382)</f>
        <v>1500</v>
      </c>
      <c r="L381" s="129"/>
      <c r="M381" s="129"/>
      <c r="N381" s="129"/>
      <c r="O381" s="130"/>
      <c r="P381" s="127">
        <f>SUM(P382:P382)</f>
        <v>1500</v>
      </c>
      <c r="Q381" s="127">
        <f>SUM(Q382:Q382)</f>
        <v>1500</v>
      </c>
      <c r="R381" s="127">
        <f>SUM(R382:R382)</f>
        <v>1500</v>
      </c>
      <c r="S381" s="51" t="s">
        <v>67</v>
      </c>
      <c r="T381" s="6"/>
      <c r="U381" s="6"/>
    </row>
    <row r="382" spans="1:21" ht="52.5" customHeight="1" x14ac:dyDescent="0.25">
      <c r="A382" s="43"/>
      <c r="B382" s="44"/>
      <c r="C382" s="43"/>
      <c r="D382" s="45" t="s">
        <v>8</v>
      </c>
      <c r="E382" s="127">
        <f>SUM(F382:R382)</f>
        <v>9000</v>
      </c>
      <c r="F382" s="128">
        <f>F384</f>
        <v>3000</v>
      </c>
      <c r="G382" s="129"/>
      <c r="H382" s="129"/>
      <c r="I382" s="129"/>
      <c r="J382" s="130"/>
      <c r="K382" s="128">
        <f>K384</f>
        <v>1500</v>
      </c>
      <c r="L382" s="129"/>
      <c r="M382" s="129"/>
      <c r="N382" s="129"/>
      <c r="O382" s="130"/>
      <c r="P382" s="127">
        <f t="shared" ref="P382:R382" si="79">P384</f>
        <v>1500</v>
      </c>
      <c r="Q382" s="127">
        <f t="shared" si="79"/>
        <v>1500</v>
      </c>
      <c r="R382" s="127">
        <f t="shared" si="79"/>
        <v>1500</v>
      </c>
      <c r="S382" s="51"/>
      <c r="T382" s="6"/>
      <c r="U382" s="6"/>
    </row>
    <row r="383" spans="1:21" ht="25.5" customHeight="1" x14ac:dyDescent="0.25">
      <c r="A383" s="54" t="s">
        <v>9</v>
      </c>
      <c r="B383" s="146" t="s">
        <v>68</v>
      </c>
      <c r="C383" s="56" t="s">
        <v>44</v>
      </c>
      <c r="D383" s="45" t="s">
        <v>6</v>
      </c>
      <c r="E383" s="127">
        <f>SUM(F383:R383)</f>
        <v>9000</v>
      </c>
      <c r="F383" s="128">
        <f>F384</f>
        <v>3000</v>
      </c>
      <c r="G383" s="129"/>
      <c r="H383" s="129"/>
      <c r="I383" s="129"/>
      <c r="J383" s="130"/>
      <c r="K383" s="128">
        <f>SUM(K384:K384)</f>
        <v>1500</v>
      </c>
      <c r="L383" s="129"/>
      <c r="M383" s="129"/>
      <c r="N383" s="129"/>
      <c r="O383" s="130"/>
      <c r="P383" s="127">
        <f>SUM(P384:P384)</f>
        <v>1500</v>
      </c>
      <c r="Q383" s="127">
        <f>SUM(Q384:Q384)</f>
        <v>1500</v>
      </c>
      <c r="R383" s="127">
        <f>SUM(R384:R384)</f>
        <v>1500</v>
      </c>
      <c r="S383" s="57" t="s">
        <v>67</v>
      </c>
      <c r="T383" s="6"/>
      <c r="U383" s="6"/>
    </row>
    <row r="384" spans="1:21" ht="54" customHeight="1" x14ac:dyDescent="0.25">
      <c r="A384" s="58"/>
      <c r="B384" s="147"/>
      <c r="C384" s="56"/>
      <c r="D384" s="60" t="s">
        <v>8</v>
      </c>
      <c r="E384" s="127">
        <f>SUM(F384:R384)</f>
        <v>9000</v>
      </c>
      <c r="F384" s="131">
        <f>2500+500</f>
        <v>3000</v>
      </c>
      <c r="G384" s="132"/>
      <c r="H384" s="132"/>
      <c r="I384" s="132"/>
      <c r="J384" s="133"/>
      <c r="K384" s="131">
        <f>2500+500-1500</f>
        <v>1500</v>
      </c>
      <c r="L384" s="132"/>
      <c r="M384" s="132"/>
      <c r="N384" s="132"/>
      <c r="O384" s="133"/>
      <c r="P384" s="134">
        <f>2500+500-1500</f>
        <v>1500</v>
      </c>
      <c r="Q384" s="134">
        <f t="shared" ref="Q384:R384" si="80">2500+500-1500</f>
        <v>1500</v>
      </c>
      <c r="R384" s="134">
        <f t="shared" si="80"/>
        <v>1500</v>
      </c>
      <c r="S384" s="66"/>
      <c r="T384" s="6"/>
      <c r="U384" s="6"/>
    </row>
    <row r="385" spans="1:21" ht="15.75" customHeight="1" x14ac:dyDescent="0.25">
      <c r="A385" s="58"/>
      <c r="B385" s="67" t="s">
        <v>163</v>
      </c>
      <c r="C385" s="67" t="s">
        <v>44</v>
      </c>
      <c r="D385" s="67" t="s">
        <v>75</v>
      </c>
      <c r="E385" s="68" t="s">
        <v>76</v>
      </c>
      <c r="F385" s="68" t="s">
        <v>77</v>
      </c>
      <c r="G385" s="69" t="s">
        <v>78</v>
      </c>
      <c r="H385" s="70"/>
      <c r="I385" s="70"/>
      <c r="J385" s="71"/>
      <c r="K385" s="68" t="s">
        <v>194</v>
      </c>
      <c r="L385" s="69" t="s">
        <v>78</v>
      </c>
      <c r="M385" s="70"/>
      <c r="N385" s="70"/>
      <c r="O385" s="71"/>
      <c r="P385" s="31" t="s">
        <v>41</v>
      </c>
      <c r="Q385" s="31" t="s">
        <v>42</v>
      </c>
      <c r="R385" s="31" t="s">
        <v>43</v>
      </c>
      <c r="S385" s="66"/>
      <c r="T385" s="162"/>
      <c r="U385" s="6"/>
    </row>
    <row r="386" spans="1:21" ht="15.75" x14ac:dyDescent="0.25">
      <c r="A386" s="58"/>
      <c r="B386" s="72"/>
      <c r="C386" s="72"/>
      <c r="D386" s="72"/>
      <c r="E386" s="73"/>
      <c r="F386" s="73"/>
      <c r="G386" s="74" t="s">
        <v>79</v>
      </c>
      <c r="H386" s="74" t="s">
        <v>80</v>
      </c>
      <c r="I386" s="74" t="s">
        <v>81</v>
      </c>
      <c r="J386" s="74" t="s">
        <v>82</v>
      </c>
      <c r="K386" s="73"/>
      <c r="L386" s="74" t="s">
        <v>79</v>
      </c>
      <c r="M386" s="74" t="s">
        <v>80</v>
      </c>
      <c r="N386" s="74" t="s">
        <v>81</v>
      </c>
      <c r="O386" s="74" t="s">
        <v>82</v>
      </c>
      <c r="P386" s="31"/>
      <c r="Q386" s="31"/>
      <c r="R386" s="31"/>
      <c r="S386" s="66"/>
      <c r="T386" s="162"/>
      <c r="U386" s="6"/>
    </row>
    <row r="387" spans="1:21" ht="25.5" customHeight="1" x14ac:dyDescent="0.25">
      <c r="A387" s="75"/>
      <c r="B387" s="76"/>
      <c r="C387" s="76"/>
      <c r="D387" s="76"/>
      <c r="E387" s="96">
        <v>28</v>
      </c>
      <c r="F387" s="96">
        <v>12</v>
      </c>
      <c r="G387" s="96">
        <v>1</v>
      </c>
      <c r="H387" s="96">
        <v>3</v>
      </c>
      <c r="I387" s="96">
        <v>4</v>
      </c>
      <c r="J387" s="96">
        <v>4</v>
      </c>
      <c r="K387" s="96">
        <v>4</v>
      </c>
      <c r="L387" s="96">
        <v>2</v>
      </c>
      <c r="M387" s="96">
        <v>1</v>
      </c>
      <c r="N387" s="96">
        <v>1</v>
      </c>
      <c r="O387" s="77" t="s">
        <v>75</v>
      </c>
      <c r="P387" s="96">
        <v>4</v>
      </c>
      <c r="Q387" s="96">
        <v>4</v>
      </c>
      <c r="R387" s="96">
        <v>4</v>
      </c>
      <c r="S387" s="78"/>
      <c r="T387" s="162"/>
      <c r="U387" s="6"/>
    </row>
    <row r="388" spans="1:21" ht="15.75" x14ac:dyDescent="0.25">
      <c r="A388" s="89" t="s">
        <v>17</v>
      </c>
      <c r="B388" s="89"/>
      <c r="C388" s="89"/>
      <c r="D388" s="45" t="s">
        <v>6</v>
      </c>
      <c r="E388" s="127">
        <f>SUM(F388:R388)</f>
        <v>9000</v>
      </c>
      <c r="F388" s="128">
        <f>F389</f>
        <v>3000</v>
      </c>
      <c r="G388" s="129"/>
      <c r="H388" s="129"/>
      <c r="I388" s="129"/>
      <c r="J388" s="130"/>
      <c r="K388" s="128">
        <f>SUM(K389:K389)</f>
        <v>1500</v>
      </c>
      <c r="L388" s="129"/>
      <c r="M388" s="129"/>
      <c r="N388" s="129"/>
      <c r="O388" s="130"/>
      <c r="P388" s="127">
        <f>SUM(P389:P389)</f>
        <v>1500</v>
      </c>
      <c r="Q388" s="127">
        <f>SUM(Q389:Q389)</f>
        <v>1500</v>
      </c>
      <c r="R388" s="127">
        <f>SUM(R389:R389)</f>
        <v>1500</v>
      </c>
      <c r="S388" s="51"/>
      <c r="T388" s="6"/>
      <c r="U388" s="6"/>
    </row>
    <row r="389" spans="1:21" ht="47.25" x14ac:dyDescent="0.25">
      <c r="A389" s="89"/>
      <c r="B389" s="89"/>
      <c r="C389" s="89"/>
      <c r="D389" s="45" t="s">
        <v>8</v>
      </c>
      <c r="E389" s="127">
        <f>SUM(F389:R389)</f>
        <v>9000</v>
      </c>
      <c r="F389" s="128">
        <f>F382</f>
        <v>3000</v>
      </c>
      <c r="G389" s="129"/>
      <c r="H389" s="129"/>
      <c r="I389" s="129"/>
      <c r="J389" s="130"/>
      <c r="K389" s="128">
        <f>K382</f>
        <v>1500</v>
      </c>
      <c r="L389" s="129"/>
      <c r="M389" s="129"/>
      <c r="N389" s="129"/>
      <c r="O389" s="130"/>
      <c r="P389" s="127">
        <f t="shared" ref="P389:R389" si="81">P382</f>
        <v>1500</v>
      </c>
      <c r="Q389" s="127">
        <f t="shared" si="81"/>
        <v>1500</v>
      </c>
      <c r="R389" s="127">
        <f t="shared" si="81"/>
        <v>1500</v>
      </c>
      <c r="S389" s="51"/>
      <c r="T389" s="6"/>
      <c r="U389" s="6"/>
    </row>
    <row r="390" spans="1:21" ht="28.5" customHeight="1" x14ac:dyDescent="0.25">
      <c r="A390" s="148" t="s">
        <v>192</v>
      </c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6"/>
      <c r="U390" s="6"/>
    </row>
    <row r="391" spans="1:21" ht="15.75" x14ac:dyDescent="0.25">
      <c r="A391" s="43">
        <v>1</v>
      </c>
      <c r="B391" s="44" t="s">
        <v>164</v>
      </c>
      <c r="C391" s="43" t="s">
        <v>44</v>
      </c>
      <c r="D391" s="45" t="s">
        <v>6</v>
      </c>
      <c r="E391" s="127">
        <f>SUM(F391:R391)</f>
        <v>258580.38832999999</v>
      </c>
      <c r="F391" s="128">
        <f>F392</f>
        <v>50288.388330000002</v>
      </c>
      <c r="G391" s="129"/>
      <c r="H391" s="129"/>
      <c r="I391" s="129"/>
      <c r="J391" s="130"/>
      <c r="K391" s="128">
        <f>SUM(K392:K392)</f>
        <v>52073</v>
      </c>
      <c r="L391" s="129"/>
      <c r="M391" s="129"/>
      <c r="N391" s="129"/>
      <c r="O391" s="130"/>
      <c r="P391" s="127">
        <f>SUM(P392:P392)</f>
        <v>52073</v>
      </c>
      <c r="Q391" s="127">
        <f>SUM(Q392:Q392)</f>
        <v>52073</v>
      </c>
      <c r="R391" s="127">
        <f>SUM(R392:R392)</f>
        <v>52073</v>
      </c>
      <c r="S391" s="51" t="s">
        <v>7</v>
      </c>
      <c r="T391" s="6"/>
      <c r="U391" s="6"/>
    </row>
    <row r="392" spans="1:21" ht="47.25" x14ac:dyDescent="0.25">
      <c r="A392" s="43"/>
      <c r="B392" s="44"/>
      <c r="C392" s="43"/>
      <c r="D392" s="45" t="s">
        <v>8</v>
      </c>
      <c r="E392" s="127">
        <f>SUM(F392:R392)</f>
        <v>258580.38832999999</v>
      </c>
      <c r="F392" s="128">
        <f>F394+F399</f>
        <v>50288.388330000002</v>
      </c>
      <c r="G392" s="129"/>
      <c r="H392" s="129"/>
      <c r="I392" s="129"/>
      <c r="J392" s="130"/>
      <c r="K392" s="128">
        <f>K394+K399</f>
        <v>52073</v>
      </c>
      <c r="L392" s="129"/>
      <c r="M392" s="129"/>
      <c r="N392" s="129"/>
      <c r="O392" s="130"/>
      <c r="P392" s="127">
        <f t="shared" ref="P392:R392" si="82">P394+P399</f>
        <v>52073</v>
      </c>
      <c r="Q392" s="127">
        <f t="shared" si="82"/>
        <v>52073</v>
      </c>
      <c r="R392" s="127">
        <f t="shared" si="82"/>
        <v>52073</v>
      </c>
      <c r="S392" s="51"/>
      <c r="T392" s="6"/>
      <c r="U392" s="6"/>
    </row>
    <row r="393" spans="1:21" ht="15.75" customHeight="1" x14ac:dyDescent="0.25">
      <c r="A393" s="54" t="s">
        <v>9</v>
      </c>
      <c r="B393" s="55" t="s">
        <v>165</v>
      </c>
      <c r="C393" s="56" t="s">
        <v>44</v>
      </c>
      <c r="D393" s="45" t="s">
        <v>6</v>
      </c>
      <c r="E393" s="127">
        <f>SUM(F393:R393)</f>
        <v>163480.0466</v>
      </c>
      <c r="F393" s="128">
        <f>F394</f>
        <v>31268.046600000001</v>
      </c>
      <c r="G393" s="129"/>
      <c r="H393" s="129"/>
      <c r="I393" s="129"/>
      <c r="J393" s="130"/>
      <c r="K393" s="128">
        <f>SUM(K394:K394)</f>
        <v>33053</v>
      </c>
      <c r="L393" s="129"/>
      <c r="M393" s="129"/>
      <c r="N393" s="129"/>
      <c r="O393" s="130"/>
      <c r="P393" s="127">
        <f>SUM(P394:P394)</f>
        <v>33053</v>
      </c>
      <c r="Q393" s="127">
        <f>SUM(Q394:Q394)</f>
        <v>33053</v>
      </c>
      <c r="R393" s="127">
        <f>SUM(R394:R394)</f>
        <v>33053</v>
      </c>
      <c r="S393" s="57" t="s">
        <v>7</v>
      </c>
      <c r="T393" s="6"/>
      <c r="U393" s="6"/>
    </row>
    <row r="394" spans="1:21" ht="59.25" customHeight="1" x14ac:dyDescent="0.25">
      <c r="A394" s="58"/>
      <c r="B394" s="55"/>
      <c r="C394" s="56"/>
      <c r="D394" s="60" t="s">
        <v>8</v>
      </c>
      <c r="E394" s="127">
        <f>SUM(F394:R394)</f>
        <v>163480.0466</v>
      </c>
      <c r="F394" s="131">
        <f>29558.0466+1313+397</f>
        <v>31268.046600000001</v>
      </c>
      <c r="G394" s="132"/>
      <c r="H394" s="132"/>
      <c r="I394" s="132"/>
      <c r="J394" s="133"/>
      <c r="K394" s="131">
        <f>29558.0466+1313+397+1784.9534</f>
        <v>33053</v>
      </c>
      <c r="L394" s="132"/>
      <c r="M394" s="132"/>
      <c r="N394" s="132"/>
      <c r="O394" s="133"/>
      <c r="P394" s="134">
        <f>29558.0466+1313+397+1784.9534</f>
        <v>33053</v>
      </c>
      <c r="Q394" s="134">
        <f t="shared" ref="Q394:R394" si="83">29558.0466+1313+397+1784.9534</f>
        <v>33053</v>
      </c>
      <c r="R394" s="134">
        <f t="shared" si="83"/>
        <v>33053</v>
      </c>
      <c r="S394" s="66"/>
      <c r="T394" s="6"/>
      <c r="U394" s="6"/>
    </row>
    <row r="395" spans="1:21" ht="15.75" customHeight="1" x14ac:dyDescent="0.25">
      <c r="A395" s="58"/>
      <c r="B395" s="67" t="s">
        <v>166</v>
      </c>
      <c r="C395" s="67" t="s">
        <v>44</v>
      </c>
      <c r="D395" s="67" t="s">
        <v>75</v>
      </c>
      <c r="E395" s="68" t="s">
        <v>76</v>
      </c>
      <c r="F395" s="68" t="s">
        <v>77</v>
      </c>
      <c r="G395" s="69" t="s">
        <v>78</v>
      </c>
      <c r="H395" s="70"/>
      <c r="I395" s="70"/>
      <c r="J395" s="71"/>
      <c r="K395" s="68" t="s">
        <v>194</v>
      </c>
      <c r="L395" s="69" t="s">
        <v>78</v>
      </c>
      <c r="M395" s="70"/>
      <c r="N395" s="70"/>
      <c r="O395" s="71"/>
      <c r="P395" s="31" t="s">
        <v>41</v>
      </c>
      <c r="Q395" s="31" t="s">
        <v>42</v>
      </c>
      <c r="R395" s="31" t="s">
        <v>43</v>
      </c>
      <c r="S395" s="66"/>
      <c r="T395" s="6"/>
      <c r="U395" s="6"/>
    </row>
    <row r="396" spans="1:21" ht="15.75" x14ac:dyDescent="0.25">
      <c r="A396" s="58"/>
      <c r="B396" s="72"/>
      <c r="C396" s="72"/>
      <c r="D396" s="72"/>
      <c r="E396" s="73"/>
      <c r="F396" s="73"/>
      <c r="G396" s="74" t="s">
        <v>79</v>
      </c>
      <c r="H396" s="74" t="s">
        <v>80</v>
      </c>
      <c r="I396" s="74" t="s">
        <v>81</v>
      </c>
      <c r="J396" s="74" t="s">
        <v>82</v>
      </c>
      <c r="K396" s="73"/>
      <c r="L396" s="74" t="s">
        <v>79</v>
      </c>
      <c r="M396" s="74" t="s">
        <v>80</v>
      </c>
      <c r="N396" s="74" t="s">
        <v>81</v>
      </c>
      <c r="O396" s="74" t="s">
        <v>82</v>
      </c>
      <c r="P396" s="31"/>
      <c r="Q396" s="31"/>
      <c r="R396" s="31"/>
      <c r="S396" s="66"/>
      <c r="T396" s="6"/>
      <c r="U396" s="6"/>
    </row>
    <row r="397" spans="1:21" ht="15.75" x14ac:dyDescent="0.25">
      <c r="A397" s="75"/>
      <c r="B397" s="76"/>
      <c r="C397" s="76"/>
      <c r="D397" s="76"/>
      <c r="E397" s="96">
        <v>1</v>
      </c>
      <c r="F397" s="96">
        <v>1</v>
      </c>
      <c r="G397" s="96">
        <v>1</v>
      </c>
      <c r="H397" s="96">
        <v>1</v>
      </c>
      <c r="I397" s="96">
        <v>1</v>
      </c>
      <c r="J397" s="96">
        <v>1</v>
      </c>
      <c r="K397" s="96">
        <v>1</v>
      </c>
      <c r="L397" s="96">
        <v>1</v>
      </c>
      <c r="M397" s="96">
        <v>1</v>
      </c>
      <c r="N397" s="96">
        <v>1</v>
      </c>
      <c r="O397" s="96">
        <v>1</v>
      </c>
      <c r="P397" s="96">
        <v>1</v>
      </c>
      <c r="Q397" s="96">
        <v>1</v>
      </c>
      <c r="R397" s="96">
        <v>1</v>
      </c>
      <c r="S397" s="78"/>
      <c r="T397" s="6"/>
      <c r="U397" s="6"/>
    </row>
    <row r="398" spans="1:21" ht="15.75" customHeight="1" x14ac:dyDescent="0.25">
      <c r="A398" s="85" t="s">
        <v>10</v>
      </c>
      <c r="B398" s="55" t="s">
        <v>167</v>
      </c>
      <c r="C398" s="56" t="s">
        <v>44</v>
      </c>
      <c r="D398" s="45" t="s">
        <v>6</v>
      </c>
      <c r="E398" s="127">
        <f>SUM(F398:R398)</f>
        <v>95100.34173</v>
      </c>
      <c r="F398" s="128">
        <f>F399</f>
        <v>19020.34173</v>
      </c>
      <c r="G398" s="129"/>
      <c r="H398" s="129"/>
      <c r="I398" s="129"/>
      <c r="J398" s="130"/>
      <c r="K398" s="128">
        <f>SUM(K399:K399)</f>
        <v>19020</v>
      </c>
      <c r="L398" s="129"/>
      <c r="M398" s="129"/>
      <c r="N398" s="129"/>
      <c r="O398" s="130"/>
      <c r="P398" s="127">
        <f>SUM(P399:P399)</f>
        <v>19020</v>
      </c>
      <c r="Q398" s="127">
        <f>SUM(Q399:Q399)</f>
        <v>19020</v>
      </c>
      <c r="R398" s="127">
        <f>SUM(R399:R399)</f>
        <v>19020</v>
      </c>
      <c r="S398" s="57" t="s">
        <v>7</v>
      </c>
      <c r="T398" s="6"/>
      <c r="U398" s="6"/>
    </row>
    <row r="399" spans="1:21" ht="47.25" x14ac:dyDescent="0.25">
      <c r="A399" s="86"/>
      <c r="B399" s="55"/>
      <c r="C399" s="56"/>
      <c r="D399" s="60" t="s">
        <v>8</v>
      </c>
      <c r="E399" s="127">
        <f>SUM(F399:R399)</f>
        <v>95100.34173</v>
      </c>
      <c r="F399" s="131">
        <f>20627-1606.65827</f>
        <v>19020.34173</v>
      </c>
      <c r="G399" s="132"/>
      <c r="H399" s="132"/>
      <c r="I399" s="132"/>
      <c r="J399" s="133"/>
      <c r="K399" s="131">
        <f>20627-1607</f>
        <v>19020</v>
      </c>
      <c r="L399" s="132"/>
      <c r="M399" s="132"/>
      <c r="N399" s="132"/>
      <c r="O399" s="133"/>
      <c r="P399" s="134">
        <f>20627-1607</f>
        <v>19020</v>
      </c>
      <c r="Q399" s="134">
        <f t="shared" ref="Q399:R399" si="84">20627-1607</f>
        <v>19020</v>
      </c>
      <c r="R399" s="134">
        <f t="shared" si="84"/>
        <v>19020</v>
      </c>
      <c r="S399" s="66"/>
      <c r="T399" s="6"/>
      <c r="U399" s="6"/>
    </row>
    <row r="400" spans="1:21" ht="15.75" customHeight="1" x14ac:dyDescent="0.25">
      <c r="A400" s="86"/>
      <c r="B400" s="67" t="s">
        <v>168</v>
      </c>
      <c r="C400" s="67" t="s">
        <v>44</v>
      </c>
      <c r="D400" s="67" t="s">
        <v>75</v>
      </c>
      <c r="E400" s="68" t="s">
        <v>76</v>
      </c>
      <c r="F400" s="68" t="s">
        <v>77</v>
      </c>
      <c r="G400" s="69" t="s">
        <v>78</v>
      </c>
      <c r="H400" s="70"/>
      <c r="I400" s="70"/>
      <c r="J400" s="71"/>
      <c r="K400" s="68" t="s">
        <v>194</v>
      </c>
      <c r="L400" s="69" t="s">
        <v>78</v>
      </c>
      <c r="M400" s="70"/>
      <c r="N400" s="70"/>
      <c r="O400" s="71"/>
      <c r="P400" s="31" t="s">
        <v>41</v>
      </c>
      <c r="Q400" s="31" t="s">
        <v>42</v>
      </c>
      <c r="R400" s="31" t="s">
        <v>43</v>
      </c>
      <c r="S400" s="66"/>
      <c r="T400" s="6"/>
      <c r="U400" s="6"/>
    </row>
    <row r="401" spans="1:21" ht="15.75" x14ac:dyDescent="0.25">
      <c r="A401" s="86"/>
      <c r="B401" s="72"/>
      <c r="C401" s="72"/>
      <c r="D401" s="72"/>
      <c r="E401" s="73"/>
      <c r="F401" s="73"/>
      <c r="G401" s="74" t="s">
        <v>79</v>
      </c>
      <c r="H401" s="74" t="s">
        <v>80</v>
      </c>
      <c r="I401" s="74" t="s">
        <v>81</v>
      </c>
      <c r="J401" s="74" t="s">
        <v>82</v>
      </c>
      <c r="K401" s="73"/>
      <c r="L401" s="74" t="s">
        <v>79</v>
      </c>
      <c r="M401" s="74" t="s">
        <v>80</v>
      </c>
      <c r="N401" s="74" t="s">
        <v>81</v>
      </c>
      <c r="O401" s="74" t="s">
        <v>82</v>
      </c>
      <c r="P401" s="31"/>
      <c r="Q401" s="31"/>
      <c r="R401" s="31"/>
      <c r="S401" s="66"/>
      <c r="T401" s="6"/>
      <c r="U401" s="6"/>
    </row>
    <row r="402" spans="1:21" ht="15.75" x14ac:dyDescent="0.25">
      <c r="A402" s="87"/>
      <c r="B402" s="76"/>
      <c r="C402" s="76"/>
      <c r="D402" s="76"/>
      <c r="E402" s="96">
        <v>55</v>
      </c>
      <c r="F402" s="96">
        <v>11</v>
      </c>
      <c r="G402" s="96">
        <v>2</v>
      </c>
      <c r="H402" s="96">
        <v>7</v>
      </c>
      <c r="I402" s="96">
        <v>1</v>
      </c>
      <c r="J402" s="96">
        <v>1</v>
      </c>
      <c r="K402" s="96">
        <v>11</v>
      </c>
      <c r="L402" s="96">
        <v>2</v>
      </c>
      <c r="M402" s="96">
        <v>7</v>
      </c>
      <c r="N402" s="96">
        <v>1</v>
      </c>
      <c r="O402" s="96">
        <v>1</v>
      </c>
      <c r="P402" s="96">
        <v>11</v>
      </c>
      <c r="Q402" s="96">
        <v>11</v>
      </c>
      <c r="R402" s="96">
        <v>11</v>
      </c>
      <c r="S402" s="78"/>
      <c r="T402" s="6"/>
      <c r="U402" s="6"/>
    </row>
    <row r="403" spans="1:21" ht="15.75" x14ac:dyDescent="0.25">
      <c r="A403" s="89" t="s">
        <v>17</v>
      </c>
      <c r="B403" s="89"/>
      <c r="C403" s="89"/>
      <c r="D403" s="45" t="s">
        <v>6</v>
      </c>
      <c r="E403" s="127">
        <f>SUM(F403:R403)</f>
        <v>258580.38832999999</v>
      </c>
      <c r="F403" s="128">
        <f>F404</f>
        <v>50288.388330000002</v>
      </c>
      <c r="G403" s="129"/>
      <c r="H403" s="129"/>
      <c r="I403" s="129"/>
      <c r="J403" s="130"/>
      <c r="K403" s="128">
        <f>SUM(K404:K404)</f>
        <v>52073</v>
      </c>
      <c r="L403" s="129"/>
      <c r="M403" s="129"/>
      <c r="N403" s="129"/>
      <c r="O403" s="130"/>
      <c r="P403" s="127">
        <f>SUM(P404:P404)</f>
        <v>52073</v>
      </c>
      <c r="Q403" s="127">
        <f>SUM(Q404:Q404)</f>
        <v>52073</v>
      </c>
      <c r="R403" s="127">
        <f>SUM(R404:R404)</f>
        <v>52073</v>
      </c>
      <c r="S403" s="51"/>
      <c r="T403" s="6"/>
      <c r="U403" s="6"/>
    </row>
    <row r="404" spans="1:21" ht="47.25" x14ac:dyDescent="0.25">
      <c r="A404" s="89"/>
      <c r="B404" s="89"/>
      <c r="C404" s="89"/>
      <c r="D404" s="45" t="s">
        <v>8</v>
      </c>
      <c r="E404" s="127">
        <f>SUM(F404:R404)</f>
        <v>258580.38832999999</v>
      </c>
      <c r="F404" s="128">
        <f>F392</f>
        <v>50288.388330000002</v>
      </c>
      <c r="G404" s="129"/>
      <c r="H404" s="129"/>
      <c r="I404" s="129"/>
      <c r="J404" s="130"/>
      <c r="K404" s="128">
        <f>K392</f>
        <v>52073</v>
      </c>
      <c r="L404" s="129"/>
      <c r="M404" s="129"/>
      <c r="N404" s="129"/>
      <c r="O404" s="130"/>
      <c r="P404" s="127">
        <f t="shared" ref="P404:R404" si="85">P392</f>
        <v>52073</v>
      </c>
      <c r="Q404" s="127">
        <f t="shared" si="85"/>
        <v>52073</v>
      </c>
      <c r="R404" s="127">
        <f t="shared" si="85"/>
        <v>52073</v>
      </c>
      <c r="S404" s="51"/>
      <c r="T404" s="6"/>
      <c r="U404" s="6"/>
    </row>
    <row r="405" spans="1:21" ht="24" customHeight="1" x14ac:dyDescent="0.25">
      <c r="A405" s="89" t="s">
        <v>38</v>
      </c>
      <c r="B405" s="89"/>
      <c r="C405" s="89"/>
      <c r="D405" s="45" t="s">
        <v>6</v>
      </c>
      <c r="E405" s="127">
        <f t="shared" ref="E405:E407" si="86">SUM(F405:R405)</f>
        <v>9036977.7220299989</v>
      </c>
      <c r="F405" s="128">
        <f>F406+F407+F408+F409</f>
        <v>1887982.0549899996</v>
      </c>
      <c r="G405" s="129"/>
      <c r="H405" s="129"/>
      <c r="I405" s="129"/>
      <c r="J405" s="130"/>
      <c r="K405" s="128">
        <f>K406+K407+K408+K409</f>
        <v>1766759.4176599998</v>
      </c>
      <c r="L405" s="129"/>
      <c r="M405" s="129"/>
      <c r="N405" s="129"/>
      <c r="O405" s="130"/>
      <c r="P405" s="127">
        <f>SUM(P406:P409)</f>
        <v>1820084.5964599997</v>
      </c>
      <c r="Q405" s="127">
        <f>SUM(Q406:Q409)</f>
        <v>1808315.9964599998</v>
      </c>
      <c r="R405" s="127">
        <f>SUM(R406:R409)</f>
        <v>1753835.65646</v>
      </c>
      <c r="S405" s="51"/>
      <c r="T405" s="6"/>
      <c r="U405" s="6"/>
    </row>
    <row r="406" spans="1:21" ht="33.75" customHeight="1" x14ac:dyDescent="0.25">
      <c r="A406" s="89"/>
      <c r="B406" s="89"/>
      <c r="C406" s="89"/>
      <c r="D406" s="45" t="s">
        <v>23</v>
      </c>
      <c r="E406" s="127">
        <f>SUM(F406:R406)</f>
        <v>6584.2290000000003</v>
      </c>
      <c r="F406" s="128">
        <f>F149+F279+F305+F376</f>
        <v>3944.029</v>
      </c>
      <c r="G406" s="129"/>
      <c r="H406" s="129"/>
      <c r="I406" s="129"/>
      <c r="J406" s="130"/>
      <c r="K406" s="128">
        <f>K149+O279+O305+K376</f>
        <v>916.80000000000007</v>
      </c>
      <c r="L406" s="129"/>
      <c r="M406" s="129"/>
      <c r="N406" s="129"/>
      <c r="O406" s="130"/>
      <c r="P406" s="127">
        <f t="shared" ref="P406:R407" si="87">P149+P279+P305+P376</f>
        <v>894.85</v>
      </c>
      <c r="Q406" s="127">
        <f t="shared" si="87"/>
        <v>828.55</v>
      </c>
      <c r="R406" s="127">
        <f t="shared" si="87"/>
        <v>0</v>
      </c>
      <c r="S406" s="51"/>
      <c r="T406" s="6"/>
      <c r="U406" s="6"/>
    </row>
    <row r="407" spans="1:21" ht="32.25" customHeight="1" x14ac:dyDescent="0.25">
      <c r="A407" s="89"/>
      <c r="B407" s="89"/>
      <c r="C407" s="89"/>
      <c r="D407" s="45" t="s">
        <v>19</v>
      </c>
      <c r="E407" s="127">
        <f t="shared" si="86"/>
        <v>127774.25565000002</v>
      </c>
      <c r="F407" s="128">
        <f>F85+F150+F280+F306+F377</f>
        <v>65620.66565000001</v>
      </c>
      <c r="G407" s="129"/>
      <c r="H407" s="129"/>
      <c r="I407" s="129"/>
      <c r="J407" s="130"/>
      <c r="K407" s="128">
        <f>K85+K150+K280+K306+K377</f>
        <v>720.34999999999991</v>
      </c>
      <c r="L407" s="129"/>
      <c r="M407" s="129"/>
      <c r="N407" s="129"/>
      <c r="O407" s="130"/>
      <c r="P407" s="127">
        <f t="shared" si="87"/>
        <v>34041.379999999997</v>
      </c>
      <c r="Q407" s="127">
        <f t="shared" si="87"/>
        <v>27391.86</v>
      </c>
      <c r="R407" s="127">
        <f t="shared" si="87"/>
        <v>0</v>
      </c>
      <c r="S407" s="51"/>
      <c r="T407" s="6"/>
      <c r="U407" s="6"/>
    </row>
    <row r="408" spans="1:21" ht="51.75" customHeight="1" x14ac:dyDescent="0.25">
      <c r="A408" s="89"/>
      <c r="B408" s="89"/>
      <c r="C408" s="89"/>
      <c r="D408" s="45" t="s">
        <v>8</v>
      </c>
      <c r="E408" s="127">
        <f>SUM(F408:R408)</f>
        <v>7801904.4873499991</v>
      </c>
      <c r="F408" s="128">
        <f>F38+F86+F151+F281+F307+F378+F389+F404</f>
        <v>1546805.2361499998</v>
      </c>
      <c r="G408" s="129"/>
      <c r="H408" s="129"/>
      <c r="I408" s="129"/>
      <c r="J408" s="130"/>
      <c r="K408" s="128">
        <f>K38+K86+K151+K281+K307+K378+K389+K404</f>
        <v>1557846.6111999999</v>
      </c>
      <c r="L408" s="129"/>
      <c r="M408" s="129"/>
      <c r="N408" s="129"/>
      <c r="O408" s="130"/>
      <c r="P408" s="127">
        <f>P38+P86+P151+P281+P307+P378+P389+P404</f>
        <v>1577872.7099999997</v>
      </c>
      <c r="Q408" s="127">
        <f>Q38+Q86+Q151+Q281+Q307+Q378+Q389+Q404</f>
        <v>1572819.93</v>
      </c>
      <c r="R408" s="127">
        <f>R38+R86+R151+R281+R307+R378+R389+R404</f>
        <v>1546560</v>
      </c>
      <c r="S408" s="51"/>
      <c r="T408" s="6"/>
      <c r="U408" s="6"/>
    </row>
    <row r="409" spans="1:21" ht="24" customHeight="1" x14ac:dyDescent="0.25">
      <c r="A409" s="89"/>
      <c r="B409" s="89"/>
      <c r="C409" s="89"/>
      <c r="D409" s="94" t="s">
        <v>20</v>
      </c>
      <c r="E409" s="127">
        <f>SUM(F409:R409)</f>
        <v>1100714.75003</v>
      </c>
      <c r="F409" s="128">
        <f>F87+F152+F282+F379</f>
        <v>271612.12419</v>
      </c>
      <c r="G409" s="129"/>
      <c r="H409" s="129"/>
      <c r="I409" s="129"/>
      <c r="J409" s="130"/>
      <c r="K409" s="128">
        <f>K87+K152+K282+K379</f>
        <v>207275.65646000003</v>
      </c>
      <c r="L409" s="129"/>
      <c r="M409" s="129"/>
      <c r="N409" s="129"/>
      <c r="O409" s="130"/>
      <c r="P409" s="127">
        <f>P87+P152+P282+P379</f>
        <v>207275.65646000003</v>
      </c>
      <c r="Q409" s="127">
        <f>Q87+Q152+Q282+Q379</f>
        <v>207275.65646000003</v>
      </c>
      <c r="R409" s="127">
        <f>R87+R152+R282+R379</f>
        <v>207275.65646000003</v>
      </c>
      <c r="S409" s="51"/>
      <c r="T409" s="6"/>
      <c r="U409" s="6"/>
    </row>
    <row r="410" spans="1:21" ht="22.5" customHeight="1" x14ac:dyDescent="0.25">
      <c r="A410" s="150"/>
      <c r="B410" s="150"/>
      <c r="C410" s="151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2" t="s">
        <v>177</v>
      </c>
      <c r="S410" s="150"/>
    </row>
    <row r="411" spans="1:21" ht="39" customHeight="1" x14ac:dyDescent="0.3">
      <c r="A411" s="153"/>
      <c r="B411" s="154" t="s">
        <v>109</v>
      </c>
      <c r="C411" s="155"/>
      <c r="D411" s="154"/>
      <c r="E411" s="154"/>
      <c r="F411" s="156"/>
      <c r="G411" s="156"/>
      <c r="H411" s="156"/>
      <c r="I411" s="156"/>
      <c r="J411" s="156"/>
      <c r="K411" s="157"/>
      <c r="L411" s="157"/>
      <c r="M411" s="157"/>
      <c r="N411" s="157"/>
      <c r="O411" s="154" t="s">
        <v>110</v>
      </c>
      <c r="P411" s="158"/>
      <c r="Q411" s="153"/>
      <c r="R411" s="153"/>
      <c r="S411" s="153"/>
    </row>
    <row r="412" spans="1:21" ht="15.75" x14ac:dyDescent="0.25">
      <c r="F412" s="29"/>
      <c r="G412" s="29"/>
      <c r="H412" s="29"/>
      <c r="I412" s="29"/>
      <c r="J412" s="29"/>
      <c r="K412" s="22"/>
      <c r="L412" s="22"/>
      <c r="M412" s="22"/>
      <c r="N412" s="22"/>
      <c r="O412" s="20"/>
    </row>
    <row r="413" spans="1:21" ht="15.75" x14ac:dyDescent="0.25">
      <c r="F413" s="29"/>
      <c r="G413" s="29"/>
      <c r="H413" s="29"/>
      <c r="I413" s="29"/>
      <c r="J413" s="29"/>
      <c r="K413" s="22"/>
      <c r="L413" s="22"/>
      <c r="M413" s="22"/>
      <c r="N413" s="22"/>
    </row>
    <row r="414" spans="1:21" ht="15.75" x14ac:dyDescent="0.25">
      <c r="F414" s="29"/>
      <c r="G414" s="29"/>
      <c r="H414" s="29"/>
      <c r="I414" s="29"/>
      <c r="J414" s="29"/>
      <c r="K414" s="22"/>
      <c r="L414" s="22"/>
      <c r="M414" s="22"/>
      <c r="N414" s="22"/>
    </row>
    <row r="415" spans="1:21" ht="15.75" hidden="1" outlineLevel="1" x14ac:dyDescent="0.25">
      <c r="F415" s="29">
        <f>F405-F409</f>
        <v>1616369.9307999997</v>
      </c>
      <c r="G415" s="29"/>
      <c r="H415" s="29"/>
      <c r="I415" s="29"/>
      <c r="J415" s="29"/>
      <c r="K415" s="22"/>
      <c r="L415" s="22"/>
      <c r="M415" s="22"/>
      <c r="N415" s="22"/>
      <c r="O415" s="20">
        <f>K405-K409</f>
        <v>1559483.7611999998</v>
      </c>
      <c r="P415" s="20">
        <f>P405-P409</f>
        <v>1612808.9399999997</v>
      </c>
      <c r="Q415" s="20">
        <f>Q405-Q409</f>
        <v>1601040.3399999999</v>
      </c>
      <c r="R415" s="20">
        <f>R405-R409</f>
        <v>1546560</v>
      </c>
    </row>
    <row r="416" spans="1:21" hidden="1" outlineLevel="1" x14ac:dyDescent="0.25">
      <c r="F416" s="30" t="e">
        <f>#REF!</f>
        <v>#REF!</v>
      </c>
      <c r="G416" s="30"/>
      <c r="H416" s="30"/>
      <c r="I416" s="30"/>
      <c r="J416" s="30"/>
      <c r="K416" s="20"/>
      <c r="L416" s="20"/>
      <c r="M416" s="20"/>
      <c r="N416" s="20"/>
      <c r="O416" s="20" t="e">
        <f>#REF!-#REF!</f>
        <v>#REF!</v>
      </c>
      <c r="P416" s="20" t="e">
        <f>#REF!-#REF!</f>
        <v>#REF!</v>
      </c>
      <c r="Q416" s="1" t="e">
        <f>#REF!-#REF!</f>
        <v>#REF!</v>
      </c>
      <c r="R416" s="1" t="e">
        <f>#REF!-#REF!</f>
        <v>#REF!</v>
      </c>
    </row>
    <row r="417" spans="9:18" hidden="1" outlineLevel="1" x14ac:dyDescent="0.25">
      <c r="J417" s="20" t="e">
        <f>F415-F416</f>
        <v>#REF!</v>
      </c>
      <c r="O417" s="20" t="e">
        <f>O415-O416</f>
        <v>#REF!</v>
      </c>
      <c r="P417" s="20" t="e">
        <f t="shared" ref="P417:R417" si="88">P415-P416</f>
        <v>#REF!</v>
      </c>
      <c r="Q417" s="20" t="e">
        <f t="shared" si="88"/>
        <v>#REF!</v>
      </c>
      <c r="R417" s="20" t="e">
        <f t="shared" si="88"/>
        <v>#REF!</v>
      </c>
    </row>
    <row r="418" spans="9:18" hidden="1" outlineLevel="1" x14ac:dyDescent="0.25">
      <c r="J418" s="20"/>
      <c r="O418" s="20" t="e">
        <f>'[1]Пояснит. 31.12.2023 '!I18-'22.01.2024 изм. Пр.1 МП 2'!O417</f>
        <v>#REF!</v>
      </c>
      <c r="P418" s="20" t="e">
        <f>'[1]Пояснит. 31.12.2023 '!J18-'22.01.2024 изм. Пр.1 МП 2'!P417</f>
        <v>#REF!</v>
      </c>
      <c r="Q418" s="20" t="e">
        <f>'[1]Пояснит. 31.12.2023 '!K18-'22.01.2024 изм. Пр.1 МП 2'!Q417</f>
        <v>#REF!</v>
      </c>
      <c r="R418" s="20" t="e">
        <f>'[1]Пояснит. 31.12.2023 '!L18-'22.01.2024 изм. Пр.1 МП 2'!R417</f>
        <v>#REF!</v>
      </c>
    </row>
    <row r="419" spans="9:18" hidden="1" outlineLevel="1" x14ac:dyDescent="0.25">
      <c r="I419" s="30"/>
      <c r="J419" s="30"/>
      <c r="K419" s="20"/>
      <c r="L419" s="20"/>
      <c r="M419" s="20"/>
      <c r="N419" s="20"/>
      <c r="O419" s="20"/>
    </row>
    <row r="420" spans="9:18" hidden="1" outlineLevel="1" x14ac:dyDescent="0.25">
      <c r="R420" s="1" t="e">
        <f>#REF!</f>
        <v>#REF!</v>
      </c>
    </row>
    <row r="421" spans="9:18" hidden="1" outlineLevel="1" x14ac:dyDescent="0.25">
      <c r="R421" s="20" t="e">
        <f>R415-R420</f>
        <v>#REF!</v>
      </c>
    </row>
    <row r="422" spans="9:18" hidden="1" outlineLevel="1" x14ac:dyDescent="0.25"/>
    <row r="423" spans="9:18" hidden="1" outlineLevel="1" x14ac:dyDescent="0.25">
      <c r="J423" s="21"/>
      <c r="K423" s="21"/>
      <c r="L423" s="21"/>
      <c r="M423" s="21"/>
      <c r="N423" s="21"/>
    </row>
    <row r="424" spans="9:18" hidden="1" outlineLevel="1" x14ac:dyDescent="0.25">
      <c r="J424" s="20"/>
      <c r="K424" s="20"/>
      <c r="L424" s="20"/>
      <c r="M424" s="20"/>
      <c r="N424" s="20"/>
    </row>
    <row r="425" spans="9:18" collapsed="1" x14ac:dyDescent="0.25"/>
  </sheetData>
  <mergeCells count="1358">
    <mergeCell ref="F415:J415"/>
    <mergeCell ref="F416:J416"/>
    <mergeCell ref="I419:J419"/>
    <mergeCell ref="F409:J409"/>
    <mergeCell ref="K409:O409"/>
    <mergeCell ref="F411:J411"/>
    <mergeCell ref="F412:J412"/>
    <mergeCell ref="F413:J413"/>
    <mergeCell ref="F414:J414"/>
    <mergeCell ref="A405:C409"/>
    <mergeCell ref="F405:J405"/>
    <mergeCell ref="K405:O405"/>
    <mergeCell ref="S405:S409"/>
    <mergeCell ref="F406:J406"/>
    <mergeCell ref="K406:O406"/>
    <mergeCell ref="F407:J407"/>
    <mergeCell ref="K407:O407"/>
    <mergeCell ref="F408:J408"/>
    <mergeCell ref="K408:O408"/>
    <mergeCell ref="Q400:Q401"/>
    <mergeCell ref="R400:R401"/>
    <mergeCell ref="A403:C404"/>
    <mergeCell ref="F403:J403"/>
    <mergeCell ref="K403:O403"/>
    <mergeCell ref="S403:S404"/>
    <mergeCell ref="F404:J404"/>
    <mergeCell ref="K404:O404"/>
    <mergeCell ref="S398:S402"/>
    <mergeCell ref="F399:J399"/>
    <mergeCell ref="K399:O399"/>
    <mergeCell ref="B400:B402"/>
    <mergeCell ref="C400:C402"/>
    <mergeCell ref="D400:D402"/>
    <mergeCell ref="E400:E401"/>
    <mergeCell ref="F400:F401"/>
    <mergeCell ref="G400:J400"/>
    <mergeCell ref="K400:K401"/>
    <mergeCell ref="A398:A402"/>
    <mergeCell ref="B398:B399"/>
    <mergeCell ref="C398:C399"/>
    <mergeCell ref="F398:J398"/>
    <mergeCell ref="K398:O398"/>
    <mergeCell ref="L400:O400"/>
    <mergeCell ref="P400:P401"/>
    <mergeCell ref="G395:J395"/>
    <mergeCell ref="K395:K396"/>
    <mergeCell ref="L395:O395"/>
    <mergeCell ref="A393:A397"/>
    <mergeCell ref="B393:B394"/>
    <mergeCell ref="C393:C394"/>
    <mergeCell ref="F393:J393"/>
    <mergeCell ref="K393:O393"/>
    <mergeCell ref="S393:S397"/>
    <mergeCell ref="F394:J394"/>
    <mergeCell ref="K394:O394"/>
    <mergeCell ref="B395:B397"/>
    <mergeCell ref="C395:C397"/>
    <mergeCell ref="A390:S390"/>
    <mergeCell ref="A391:A392"/>
    <mergeCell ref="B391:B392"/>
    <mergeCell ref="C391:C392"/>
    <mergeCell ref="F391:J391"/>
    <mergeCell ref="K391:O391"/>
    <mergeCell ref="S391:S392"/>
    <mergeCell ref="F392:J392"/>
    <mergeCell ref="K392:O392"/>
    <mergeCell ref="P385:P386"/>
    <mergeCell ref="Q385:Q386"/>
    <mergeCell ref="R385:R386"/>
    <mergeCell ref="P395:P396"/>
    <mergeCell ref="Q395:Q396"/>
    <mergeCell ref="R395:R396"/>
    <mergeCell ref="T385:T387"/>
    <mergeCell ref="A388:C389"/>
    <mergeCell ref="F388:J388"/>
    <mergeCell ref="K388:O388"/>
    <mergeCell ref="S388:S389"/>
    <mergeCell ref="F389:J389"/>
    <mergeCell ref="K389:O389"/>
    <mergeCell ref="D385:D387"/>
    <mergeCell ref="E385:E386"/>
    <mergeCell ref="F385:F386"/>
    <mergeCell ref="G385:J385"/>
    <mergeCell ref="K385:K386"/>
    <mergeCell ref="L385:O385"/>
    <mergeCell ref="A383:A387"/>
    <mergeCell ref="B383:B384"/>
    <mergeCell ref="C383:C384"/>
    <mergeCell ref="F383:J383"/>
    <mergeCell ref="K383:O383"/>
    <mergeCell ref="S383:S387"/>
    <mergeCell ref="F384:J384"/>
    <mergeCell ref="K384:O384"/>
    <mergeCell ref="B385:B387"/>
    <mergeCell ref="C385:C387"/>
    <mergeCell ref="D395:D397"/>
    <mergeCell ref="E395:E396"/>
    <mergeCell ref="F395:F396"/>
    <mergeCell ref="A375:C379"/>
    <mergeCell ref="F375:J375"/>
    <mergeCell ref="K375:O375"/>
    <mergeCell ref="S369:S374"/>
    <mergeCell ref="F370:J370"/>
    <mergeCell ref="F371:J371"/>
    <mergeCell ref="K371:O371"/>
    <mergeCell ref="B372:B374"/>
    <mergeCell ref="C372:C374"/>
    <mergeCell ref="D372:D374"/>
    <mergeCell ref="E372:E373"/>
    <mergeCell ref="F372:F373"/>
    <mergeCell ref="G372:J372"/>
    <mergeCell ref="A380:S380"/>
    <mergeCell ref="A381:A382"/>
    <mergeCell ref="B381:B382"/>
    <mergeCell ref="C381:C382"/>
    <mergeCell ref="F381:J381"/>
    <mergeCell ref="K381:O381"/>
    <mergeCell ref="S381:S382"/>
    <mergeCell ref="F382:J382"/>
    <mergeCell ref="K382:O382"/>
    <mergeCell ref="S375:S379"/>
    <mergeCell ref="F376:J376"/>
    <mergeCell ref="K376:O376"/>
    <mergeCell ref="F377:J377"/>
    <mergeCell ref="K377:O377"/>
    <mergeCell ref="F378:J378"/>
    <mergeCell ref="K378:O378"/>
    <mergeCell ref="F379:J379"/>
    <mergeCell ref="K379:O379"/>
    <mergeCell ref="L366:O366"/>
    <mergeCell ref="P366:P367"/>
    <mergeCell ref="Q366:Q367"/>
    <mergeCell ref="R366:R367"/>
    <mergeCell ref="A369:A374"/>
    <mergeCell ref="B369:B371"/>
    <mergeCell ref="C369:C371"/>
    <mergeCell ref="F369:J369"/>
    <mergeCell ref="K369:O369"/>
    <mergeCell ref="K372:K373"/>
    <mergeCell ref="F364:J364"/>
    <mergeCell ref="F365:J365"/>
    <mergeCell ref="K365:O365"/>
    <mergeCell ref="B366:B368"/>
    <mergeCell ref="C366:C368"/>
    <mergeCell ref="D366:D368"/>
    <mergeCell ref="E366:E367"/>
    <mergeCell ref="F366:F367"/>
    <mergeCell ref="G366:J366"/>
    <mergeCell ref="K366:K367"/>
    <mergeCell ref="L372:O372"/>
    <mergeCell ref="P372:P373"/>
    <mergeCell ref="Q372:Q373"/>
    <mergeCell ref="R372:R373"/>
    <mergeCell ref="S360:S362"/>
    <mergeCell ref="F361:J361"/>
    <mergeCell ref="F362:J362"/>
    <mergeCell ref="K362:O362"/>
    <mergeCell ref="A363:A368"/>
    <mergeCell ref="B363:B365"/>
    <mergeCell ref="C363:C365"/>
    <mergeCell ref="F363:J363"/>
    <mergeCell ref="K363:O363"/>
    <mergeCell ref="S363:S368"/>
    <mergeCell ref="K357:K358"/>
    <mergeCell ref="L357:O357"/>
    <mergeCell ref="P357:P358"/>
    <mergeCell ref="Q357:Q358"/>
    <mergeCell ref="R357:R358"/>
    <mergeCell ref="A360:A362"/>
    <mergeCell ref="B360:B362"/>
    <mergeCell ref="C360:C362"/>
    <mergeCell ref="F360:J360"/>
    <mergeCell ref="K360:O360"/>
    <mergeCell ref="B357:B359"/>
    <mergeCell ref="C357:C359"/>
    <mergeCell ref="D357:D359"/>
    <mergeCell ref="E357:E358"/>
    <mergeCell ref="F357:F358"/>
    <mergeCell ref="G357:J357"/>
    <mergeCell ref="A353:A359"/>
    <mergeCell ref="B353:B356"/>
    <mergeCell ref="C353:C356"/>
    <mergeCell ref="F353:J353"/>
    <mergeCell ref="K353:O353"/>
    <mergeCell ref="S353:S359"/>
    <mergeCell ref="F354:J354"/>
    <mergeCell ref="F355:J355"/>
    <mergeCell ref="F356:J356"/>
    <mergeCell ref="K356:O356"/>
    <mergeCell ref="D350:D352"/>
    <mergeCell ref="E350:E351"/>
    <mergeCell ref="F350:F351"/>
    <mergeCell ref="G350:J350"/>
    <mergeCell ref="K350:K351"/>
    <mergeCell ref="L350:O350"/>
    <mergeCell ref="S346:S352"/>
    <mergeCell ref="F347:J347"/>
    <mergeCell ref="F348:J348"/>
    <mergeCell ref="K348:O348"/>
    <mergeCell ref="F349:J349"/>
    <mergeCell ref="K349:O349"/>
    <mergeCell ref="P350:P351"/>
    <mergeCell ref="Q350:Q351"/>
    <mergeCell ref="R350:R351"/>
    <mergeCell ref="P343:P344"/>
    <mergeCell ref="Q343:Q344"/>
    <mergeCell ref="R343:R344"/>
    <mergeCell ref="A346:A352"/>
    <mergeCell ref="B346:B349"/>
    <mergeCell ref="C346:C349"/>
    <mergeCell ref="F346:J346"/>
    <mergeCell ref="K346:O346"/>
    <mergeCell ref="B350:B352"/>
    <mergeCell ref="C350:C352"/>
    <mergeCell ref="F342:J342"/>
    <mergeCell ref="K342:O342"/>
    <mergeCell ref="B343:B345"/>
    <mergeCell ref="C343:C345"/>
    <mergeCell ref="D343:D345"/>
    <mergeCell ref="E343:E344"/>
    <mergeCell ref="F343:F344"/>
    <mergeCell ref="G343:J343"/>
    <mergeCell ref="K343:K344"/>
    <mergeCell ref="L343:O343"/>
    <mergeCell ref="A339:A345"/>
    <mergeCell ref="B339:B342"/>
    <mergeCell ref="C339:C342"/>
    <mergeCell ref="F339:J339"/>
    <mergeCell ref="K339:O339"/>
    <mergeCell ref="S339:S345"/>
    <mergeCell ref="F340:J340"/>
    <mergeCell ref="K340:O340"/>
    <mergeCell ref="F341:J341"/>
    <mergeCell ref="K341:O341"/>
    <mergeCell ref="S335:S338"/>
    <mergeCell ref="F336:J336"/>
    <mergeCell ref="K336:O336"/>
    <mergeCell ref="F337:J337"/>
    <mergeCell ref="K337:O337"/>
    <mergeCell ref="F338:J338"/>
    <mergeCell ref="K338:O338"/>
    <mergeCell ref="R332:R333"/>
    <mergeCell ref="A335:A338"/>
    <mergeCell ref="B335:B338"/>
    <mergeCell ref="C335:C338"/>
    <mergeCell ref="F335:J335"/>
    <mergeCell ref="K335:O335"/>
    <mergeCell ref="B332:B334"/>
    <mergeCell ref="C332:C334"/>
    <mergeCell ref="D332:D334"/>
    <mergeCell ref="E332:E333"/>
    <mergeCell ref="F332:F333"/>
    <mergeCell ref="G332:J332"/>
    <mergeCell ref="S328:S334"/>
    <mergeCell ref="F329:J329"/>
    <mergeCell ref="F330:J330"/>
    <mergeCell ref="K330:O330"/>
    <mergeCell ref="F331:J331"/>
    <mergeCell ref="K331:O331"/>
    <mergeCell ref="K332:K333"/>
    <mergeCell ref="L332:O332"/>
    <mergeCell ref="P332:P333"/>
    <mergeCell ref="Q332:Q333"/>
    <mergeCell ref="K325:K326"/>
    <mergeCell ref="L325:O325"/>
    <mergeCell ref="P325:P326"/>
    <mergeCell ref="Q325:Q326"/>
    <mergeCell ref="R325:R326"/>
    <mergeCell ref="A328:A334"/>
    <mergeCell ref="B328:B331"/>
    <mergeCell ref="C328:C331"/>
    <mergeCell ref="F328:J328"/>
    <mergeCell ref="K328:O328"/>
    <mergeCell ref="B325:B327"/>
    <mergeCell ref="C325:C327"/>
    <mergeCell ref="D325:D327"/>
    <mergeCell ref="E325:E326"/>
    <mergeCell ref="F325:F326"/>
    <mergeCell ref="G325:J325"/>
    <mergeCell ref="A322:A327"/>
    <mergeCell ref="B322:B324"/>
    <mergeCell ref="C322:C324"/>
    <mergeCell ref="F322:J322"/>
    <mergeCell ref="K322:O322"/>
    <mergeCell ref="S322:S327"/>
    <mergeCell ref="F323:J323"/>
    <mergeCell ref="K323:O323"/>
    <mergeCell ref="F324:J324"/>
    <mergeCell ref="K324:O324"/>
    <mergeCell ref="S318:S320"/>
    <mergeCell ref="F319:J319"/>
    <mergeCell ref="F320:J320"/>
    <mergeCell ref="K320:O320"/>
    <mergeCell ref="F321:J321"/>
    <mergeCell ref="K321:O321"/>
    <mergeCell ref="P315:P316"/>
    <mergeCell ref="Q315:Q316"/>
    <mergeCell ref="R315:R316"/>
    <mergeCell ref="A318:A321"/>
    <mergeCell ref="B318:B321"/>
    <mergeCell ref="C318:C321"/>
    <mergeCell ref="F318:J318"/>
    <mergeCell ref="K318:O318"/>
    <mergeCell ref="A297:A303"/>
    <mergeCell ref="S312:S314"/>
    <mergeCell ref="F313:J313"/>
    <mergeCell ref="K313:O313"/>
    <mergeCell ref="F314:J314"/>
    <mergeCell ref="K314:O314"/>
    <mergeCell ref="B315:B317"/>
    <mergeCell ref="C315:C317"/>
    <mergeCell ref="D315:D317"/>
    <mergeCell ref="E315:E316"/>
    <mergeCell ref="F315:F316"/>
    <mergeCell ref="K311:O311"/>
    <mergeCell ref="A312:A317"/>
    <mergeCell ref="B312:B314"/>
    <mergeCell ref="C312:C314"/>
    <mergeCell ref="F312:J312"/>
    <mergeCell ref="K312:O312"/>
    <mergeCell ref="G315:J315"/>
    <mergeCell ref="K315:K316"/>
    <mergeCell ref="L315:O315"/>
    <mergeCell ref="A308:S308"/>
    <mergeCell ref="A309:A311"/>
    <mergeCell ref="B309:B311"/>
    <mergeCell ref="C309:C311"/>
    <mergeCell ref="F309:J309"/>
    <mergeCell ref="K309:O309"/>
    <mergeCell ref="S309:S311"/>
    <mergeCell ref="F310:J310"/>
    <mergeCell ref="K310:O310"/>
    <mergeCell ref="F311:J311"/>
    <mergeCell ref="A304:C307"/>
    <mergeCell ref="F304:J304"/>
    <mergeCell ref="K304:O304"/>
    <mergeCell ref="S304:S307"/>
    <mergeCell ref="F305:J305"/>
    <mergeCell ref="F306:J306"/>
    <mergeCell ref="K306:O306"/>
    <mergeCell ref="F307:J307"/>
    <mergeCell ref="K307:O307"/>
    <mergeCell ref="K288:O288"/>
    <mergeCell ref="F289:J289"/>
    <mergeCell ref="K289:O289"/>
    <mergeCell ref="B290:B292"/>
    <mergeCell ref="C290:C292"/>
    <mergeCell ref="D290:D292"/>
    <mergeCell ref="E290:E291"/>
    <mergeCell ref="F290:F291"/>
    <mergeCell ref="F300:J300"/>
    <mergeCell ref="K300:O300"/>
    <mergeCell ref="B301:B303"/>
    <mergeCell ref="C301:C303"/>
    <mergeCell ref="D301:D303"/>
    <mergeCell ref="E301:E302"/>
    <mergeCell ref="F301:F302"/>
    <mergeCell ref="S293:S296"/>
    <mergeCell ref="F294:J294"/>
    <mergeCell ref="F295:J295"/>
    <mergeCell ref="F296:J296"/>
    <mergeCell ref="K296:O296"/>
    <mergeCell ref="G301:J301"/>
    <mergeCell ref="K301:K302"/>
    <mergeCell ref="L301:O301"/>
    <mergeCell ref="P301:P302"/>
    <mergeCell ref="Q301:Q302"/>
    <mergeCell ref="R301:R302"/>
    <mergeCell ref="S297:S303"/>
    <mergeCell ref="F298:J298"/>
    <mergeCell ref="F299:J299"/>
    <mergeCell ref="K286:O286"/>
    <mergeCell ref="A287:A292"/>
    <mergeCell ref="B287:B289"/>
    <mergeCell ref="C287:C289"/>
    <mergeCell ref="F287:J287"/>
    <mergeCell ref="K287:O287"/>
    <mergeCell ref="G290:J290"/>
    <mergeCell ref="K290:K291"/>
    <mergeCell ref="L290:O290"/>
    <mergeCell ref="B297:B300"/>
    <mergeCell ref="C297:C300"/>
    <mergeCell ref="F297:J297"/>
    <mergeCell ref="K297:O297"/>
    <mergeCell ref="P290:P291"/>
    <mergeCell ref="Q290:Q291"/>
    <mergeCell ref="R290:R291"/>
    <mergeCell ref="A293:A296"/>
    <mergeCell ref="B293:B296"/>
    <mergeCell ref="C293:C296"/>
    <mergeCell ref="F293:J293"/>
    <mergeCell ref="K293:O293"/>
    <mergeCell ref="S287:S292"/>
    <mergeCell ref="F288:J288"/>
    <mergeCell ref="A283:S283"/>
    <mergeCell ref="A284:A286"/>
    <mergeCell ref="B284:B286"/>
    <mergeCell ref="C284:C286"/>
    <mergeCell ref="F284:J284"/>
    <mergeCell ref="K284:O284"/>
    <mergeCell ref="S284:S286"/>
    <mergeCell ref="F285:J285"/>
    <mergeCell ref="K285:O285"/>
    <mergeCell ref="F286:J286"/>
    <mergeCell ref="S278:S282"/>
    <mergeCell ref="F279:J279"/>
    <mergeCell ref="F280:J280"/>
    <mergeCell ref="K280:O280"/>
    <mergeCell ref="F281:J281"/>
    <mergeCell ref="K281:O281"/>
    <mergeCell ref="F282:J282"/>
    <mergeCell ref="K282:O282"/>
    <mergeCell ref="P275:P276"/>
    <mergeCell ref="Q275:Q276"/>
    <mergeCell ref="R275:R276"/>
    <mergeCell ref="A278:C282"/>
    <mergeCell ref="F278:J278"/>
    <mergeCell ref="K278:O278"/>
    <mergeCell ref="S272:S277"/>
    <mergeCell ref="U272:U274"/>
    <mergeCell ref="F273:J273"/>
    <mergeCell ref="F274:J274"/>
    <mergeCell ref="K274:O274"/>
    <mergeCell ref="B275:B277"/>
    <mergeCell ref="C275:C277"/>
    <mergeCell ref="D275:D277"/>
    <mergeCell ref="E275:E276"/>
    <mergeCell ref="F275:F276"/>
    <mergeCell ref="Q269:Q270"/>
    <mergeCell ref="R269:R270"/>
    <mergeCell ref="A272:A277"/>
    <mergeCell ref="B272:B274"/>
    <mergeCell ref="C272:C274"/>
    <mergeCell ref="F272:J272"/>
    <mergeCell ref="K272:O272"/>
    <mergeCell ref="G275:J275"/>
    <mergeCell ref="K275:K276"/>
    <mergeCell ref="L275:O275"/>
    <mergeCell ref="U266:U268"/>
    <mergeCell ref="F267:J267"/>
    <mergeCell ref="F268:J268"/>
    <mergeCell ref="K268:O268"/>
    <mergeCell ref="B269:B271"/>
    <mergeCell ref="C269:C271"/>
    <mergeCell ref="D269:D271"/>
    <mergeCell ref="E269:E270"/>
    <mergeCell ref="F269:F270"/>
    <mergeCell ref="G269:J269"/>
    <mergeCell ref="A265:A271"/>
    <mergeCell ref="B265:B268"/>
    <mergeCell ref="C265:C268"/>
    <mergeCell ref="F265:J265"/>
    <mergeCell ref="K265:O265"/>
    <mergeCell ref="S265:S271"/>
    <mergeCell ref="F266:J266"/>
    <mergeCell ref="K269:K270"/>
    <mergeCell ref="L269:O269"/>
    <mergeCell ref="P269:P270"/>
    <mergeCell ref="A261:A264"/>
    <mergeCell ref="B261:B264"/>
    <mergeCell ref="C261:C264"/>
    <mergeCell ref="F261:J261"/>
    <mergeCell ref="K261:O261"/>
    <mergeCell ref="S261:S264"/>
    <mergeCell ref="F262:J262"/>
    <mergeCell ref="F263:J263"/>
    <mergeCell ref="F264:J264"/>
    <mergeCell ref="K264:O264"/>
    <mergeCell ref="G258:J258"/>
    <mergeCell ref="K258:K259"/>
    <mergeCell ref="L258:O258"/>
    <mergeCell ref="P258:P259"/>
    <mergeCell ref="Q258:Q259"/>
    <mergeCell ref="R258:R259"/>
    <mergeCell ref="S254:S260"/>
    <mergeCell ref="F255:J255"/>
    <mergeCell ref="F256:J256"/>
    <mergeCell ref="F257:J257"/>
    <mergeCell ref="K257:O257"/>
    <mergeCell ref="B258:B260"/>
    <mergeCell ref="C258:C260"/>
    <mergeCell ref="D258:D260"/>
    <mergeCell ref="E258:E259"/>
    <mergeCell ref="F258:F259"/>
    <mergeCell ref="S250:S253"/>
    <mergeCell ref="F251:J251"/>
    <mergeCell ref="F252:J252"/>
    <mergeCell ref="F253:J253"/>
    <mergeCell ref="K253:O253"/>
    <mergeCell ref="A254:A260"/>
    <mergeCell ref="B254:B257"/>
    <mergeCell ref="C254:C257"/>
    <mergeCell ref="F254:J254"/>
    <mergeCell ref="K254:O254"/>
    <mergeCell ref="P247:P248"/>
    <mergeCell ref="Q247:Q248"/>
    <mergeCell ref="R247:R248"/>
    <mergeCell ref="A250:A253"/>
    <mergeCell ref="B250:B253"/>
    <mergeCell ref="C250:C253"/>
    <mergeCell ref="F250:J250"/>
    <mergeCell ref="K250:O250"/>
    <mergeCell ref="K246:O246"/>
    <mergeCell ref="B247:B249"/>
    <mergeCell ref="C247:C249"/>
    <mergeCell ref="D247:D249"/>
    <mergeCell ref="E247:E248"/>
    <mergeCell ref="F247:F248"/>
    <mergeCell ref="G247:J247"/>
    <mergeCell ref="K247:K248"/>
    <mergeCell ref="L247:O247"/>
    <mergeCell ref="S243:S244"/>
    <mergeCell ref="F244:J244"/>
    <mergeCell ref="K244:O244"/>
    <mergeCell ref="A245:A249"/>
    <mergeCell ref="B245:B246"/>
    <mergeCell ref="C245:C246"/>
    <mergeCell ref="F245:J245"/>
    <mergeCell ref="K245:O245"/>
    <mergeCell ref="S245:S249"/>
    <mergeCell ref="F246:J246"/>
    <mergeCell ref="S232:S237"/>
    <mergeCell ref="F233:J233"/>
    <mergeCell ref="K233:O233"/>
    <mergeCell ref="F234:J234"/>
    <mergeCell ref="K234:O234"/>
    <mergeCell ref="K235:K236"/>
    <mergeCell ref="L235:O235"/>
    <mergeCell ref="P235:P236"/>
    <mergeCell ref="Q235:Q236"/>
    <mergeCell ref="R235:R236"/>
    <mergeCell ref="P240:P241"/>
    <mergeCell ref="Q240:Q241"/>
    <mergeCell ref="R240:R241"/>
    <mergeCell ref="A243:A244"/>
    <mergeCell ref="B243:B244"/>
    <mergeCell ref="C243:C244"/>
    <mergeCell ref="F243:J243"/>
    <mergeCell ref="K243:O243"/>
    <mergeCell ref="S238:S242"/>
    <mergeCell ref="F239:J239"/>
    <mergeCell ref="K239:O239"/>
    <mergeCell ref="B240:B242"/>
    <mergeCell ref="C240:C242"/>
    <mergeCell ref="D240:D242"/>
    <mergeCell ref="E240:E241"/>
    <mergeCell ref="F240:F241"/>
    <mergeCell ref="G240:J240"/>
    <mergeCell ref="K240:K241"/>
    <mergeCell ref="A238:A242"/>
    <mergeCell ref="B238:B239"/>
    <mergeCell ref="C238:C239"/>
    <mergeCell ref="F238:J238"/>
    <mergeCell ref="K224:O224"/>
    <mergeCell ref="L226:O226"/>
    <mergeCell ref="P226:P227"/>
    <mergeCell ref="Q226:Q227"/>
    <mergeCell ref="R226:R227"/>
    <mergeCell ref="B235:B237"/>
    <mergeCell ref="C235:C237"/>
    <mergeCell ref="D235:D237"/>
    <mergeCell ref="E235:E236"/>
    <mergeCell ref="F235:F236"/>
    <mergeCell ref="G235:J235"/>
    <mergeCell ref="A232:A237"/>
    <mergeCell ref="B232:B234"/>
    <mergeCell ref="C232:C234"/>
    <mergeCell ref="F232:J232"/>
    <mergeCell ref="K232:O232"/>
    <mergeCell ref="L240:O240"/>
    <mergeCell ref="K238:O238"/>
    <mergeCell ref="A219:A223"/>
    <mergeCell ref="B219:B220"/>
    <mergeCell ref="C219:C220"/>
    <mergeCell ref="F219:J219"/>
    <mergeCell ref="K219:O219"/>
    <mergeCell ref="L221:O221"/>
    <mergeCell ref="P221:P222"/>
    <mergeCell ref="Q221:Q222"/>
    <mergeCell ref="A229:A231"/>
    <mergeCell ref="B229:B231"/>
    <mergeCell ref="C229:C231"/>
    <mergeCell ref="F229:J229"/>
    <mergeCell ref="K229:O229"/>
    <mergeCell ref="S229:S231"/>
    <mergeCell ref="F230:J230"/>
    <mergeCell ref="K230:O230"/>
    <mergeCell ref="F231:J231"/>
    <mergeCell ref="K231:O231"/>
    <mergeCell ref="S224:S228"/>
    <mergeCell ref="F225:J225"/>
    <mergeCell ref="K225:O225"/>
    <mergeCell ref="B226:B228"/>
    <mergeCell ref="C226:C228"/>
    <mergeCell ref="D226:D228"/>
    <mergeCell ref="E226:E227"/>
    <mergeCell ref="F226:F227"/>
    <mergeCell ref="G226:J226"/>
    <mergeCell ref="K226:K227"/>
    <mergeCell ref="A224:A228"/>
    <mergeCell ref="B224:B225"/>
    <mergeCell ref="C224:C225"/>
    <mergeCell ref="F224:J224"/>
    <mergeCell ref="S214:S218"/>
    <mergeCell ref="F215:J215"/>
    <mergeCell ref="K215:O215"/>
    <mergeCell ref="B216:B218"/>
    <mergeCell ref="C216:C218"/>
    <mergeCell ref="D216:D218"/>
    <mergeCell ref="E216:E217"/>
    <mergeCell ref="F216:F217"/>
    <mergeCell ref="G216:J216"/>
    <mergeCell ref="K216:K217"/>
    <mergeCell ref="R221:R222"/>
    <mergeCell ref="C206:C208"/>
    <mergeCell ref="D206:D208"/>
    <mergeCell ref="E206:E207"/>
    <mergeCell ref="F206:F207"/>
    <mergeCell ref="P211:P212"/>
    <mergeCell ref="Q211:Q212"/>
    <mergeCell ref="R211:R212"/>
    <mergeCell ref="Q216:Q217"/>
    <mergeCell ref="R216:R217"/>
    <mergeCell ref="S219:S223"/>
    <mergeCell ref="F220:J220"/>
    <mergeCell ref="K220:O220"/>
    <mergeCell ref="B221:B223"/>
    <mergeCell ref="C221:C223"/>
    <mergeCell ref="D221:D223"/>
    <mergeCell ref="E221:E222"/>
    <mergeCell ref="F221:F222"/>
    <mergeCell ref="G221:J221"/>
    <mergeCell ref="K221:K222"/>
    <mergeCell ref="A214:A218"/>
    <mergeCell ref="B214:B215"/>
    <mergeCell ref="C214:C215"/>
    <mergeCell ref="F214:J214"/>
    <mergeCell ref="K214:O214"/>
    <mergeCell ref="L216:O216"/>
    <mergeCell ref="P216:P217"/>
    <mergeCell ref="D211:D213"/>
    <mergeCell ref="E211:E212"/>
    <mergeCell ref="F211:F212"/>
    <mergeCell ref="G211:J211"/>
    <mergeCell ref="K211:K212"/>
    <mergeCell ref="L211:O211"/>
    <mergeCell ref="A209:A213"/>
    <mergeCell ref="B209:B210"/>
    <mergeCell ref="C209:C210"/>
    <mergeCell ref="F209:J209"/>
    <mergeCell ref="K209:O209"/>
    <mergeCell ref="A203:A208"/>
    <mergeCell ref="B203:B205"/>
    <mergeCell ref="C203:C205"/>
    <mergeCell ref="F203:J203"/>
    <mergeCell ref="K203:O203"/>
    <mergeCell ref="S197:S202"/>
    <mergeCell ref="F198:J198"/>
    <mergeCell ref="K198:O198"/>
    <mergeCell ref="F199:J199"/>
    <mergeCell ref="B200:B202"/>
    <mergeCell ref="C200:C202"/>
    <mergeCell ref="D200:D202"/>
    <mergeCell ref="E200:E201"/>
    <mergeCell ref="F200:F201"/>
    <mergeCell ref="G200:J200"/>
    <mergeCell ref="S209:S213"/>
    <mergeCell ref="F210:J210"/>
    <mergeCell ref="K210:O210"/>
    <mergeCell ref="B211:B213"/>
    <mergeCell ref="C211:C213"/>
    <mergeCell ref="G206:J206"/>
    <mergeCell ref="K206:K207"/>
    <mergeCell ref="L206:O206"/>
    <mergeCell ref="P206:P207"/>
    <mergeCell ref="Q206:Q207"/>
    <mergeCell ref="R206:R207"/>
    <mergeCell ref="S203:S208"/>
    <mergeCell ref="F204:J204"/>
    <mergeCell ref="K204:O204"/>
    <mergeCell ref="F205:J205"/>
    <mergeCell ref="K205:O205"/>
    <mergeCell ref="B206:B208"/>
    <mergeCell ref="S194:S196"/>
    <mergeCell ref="F195:J195"/>
    <mergeCell ref="K195:O195"/>
    <mergeCell ref="F196:J196"/>
    <mergeCell ref="K196:O196"/>
    <mergeCell ref="A197:A202"/>
    <mergeCell ref="B197:B199"/>
    <mergeCell ref="C197:C199"/>
    <mergeCell ref="F197:J197"/>
    <mergeCell ref="K197:O197"/>
    <mergeCell ref="P191:P192"/>
    <mergeCell ref="Q191:Q192"/>
    <mergeCell ref="R191:R192"/>
    <mergeCell ref="A194:A196"/>
    <mergeCell ref="B194:B196"/>
    <mergeCell ref="C194:C196"/>
    <mergeCell ref="F194:J194"/>
    <mergeCell ref="K194:O194"/>
    <mergeCell ref="C191:C193"/>
    <mergeCell ref="D191:D193"/>
    <mergeCell ref="E191:E192"/>
    <mergeCell ref="F191:F192"/>
    <mergeCell ref="G191:J191"/>
    <mergeCell ref="O191:O192"/>
    <mergeCell ref="K200:K201"/>
    <mergeCell ref="L200:O200"/>
    <mergeCell ref="P200:P201"/>
    <mergeCell ref="Q200:Q201"/>
    <mergeCell ref="R200:R201"/>
    <mergeCell ref="T187:T188"/>
    <mergeCell ref="A189:A193"/>
    <mergeCell ref="B189:B190"/>
    <mergeCell ref="C189:C190"/>
    <mergeCell ref="F189:J189"/>
    <mergeCell ref="K189:O189"/>
    <mergeCell ref="S189:S193"/>
    <mergeCell ref="F190:J190"/>
    <mergeCell ref="K190:O190"/>
    <mergeCell ref="B191:B193"/>
    <mergeCell ref="G186:J186"/>
    <mergeCell ref="K186:K187"/>
    <mergeCell ref="L186:O186"/>
    <mergeCell ref="P186:P187"/>
    <mergeCell ref="Q186:Q187"/>
    <mergeCell ref="R186:R187"/>
    <mergeCell ref="S183:S188"/>
    <mergeCell ref="F184:J184"/>
    <mergeCell ref="K184:O184"/>
    <mergeCell ref="F185:J185"/>
    <mergeCell ref="K185:O185"/>
    <mergeCell ref="B186:B188"/>
    <mergeCell ref="C186:C188"/>
    <mergeCell ref="D186:D188"/>
    <mergeCell ref="E186:E187"/>
    <mergeCell ref="F186:F187"/>
    <mergeCell ref="S175:S179"/>
    <mergeCell ref="F176:J176"/>
    <mergeCell ref="S180:S182"/>
    <mergeCell ref="F181:J181"/>
    <mergeCell ref="K181:O181"/>
    <mergeCell ref="F182:J182"/>
    <mergeCell ref="K182:O182"/>
    <mergeCell ref="A183:A188"/>
    <mergeCell ref="B183:B185"/>
    <mergeCell ref="C183:C185"/>
    <mergeCell ref="F183:J183"/>
    <mergeCell ref="K183:O183"/>
    <mergeCell ref="P177:P178"/>
    <mergeCell ref="Q177:Q178"/>
    <mergeCell ref="R177:R178"/>
    <mergeCell ref="A180:A182"/>
    <mergeCell ref="B180:B182"/>
    <mergeCell ref="C180:C182"/>
    <mergeCell ref="F180:J180"/>
    <mergeCell ref="K180:O180"/>
    <mergeCell ref="A173:A174"/>
    <mergeCell ref="B173:B174"/>
    <mergeCell ref="C173:C174"/>
    <mergeCell ref="F173:J173"/>
    <mergeCell ref="K173:O173"/>
    <mergeCell ref="S168:S172"/>
    <mergeCell ref="F169:J169"/>
    <mergeCell ref="K169:O169"/>
    <mergeCell ref="B170:B172"/>
    <mergeCell ref="C170:C172"/>
    <mergeCell ref="D170:D172"/>
    <mergeCell ref="E170:E171"/>
    <mergeCell ref="F170:F171"/>
    <mergeCell ref="G170:J170"/>
    <mergeCell ref="K170:K171"/>
    <mergeCell ref="K176:O176"/>
    <mergeCell ref="B177:B179"/>
    <mergeCell ref="C177:C179"/>
    <mergeCell ref="D177:D179"/>
    <mergeCell ref="E177:E178"/>
    <mergeCell ref="F177:F178"/>
    <mergeCell ref="G177:J177"/>
    <mergeCell ref="K177:K178"/>
    <mergeCell ref="L177:O177"/>
    <mergeCell ref="S173:S174"/>
    <mergeCell ref="F174:J174"/>
    <mergeCell ref="K174:O174"/>
    <mergeCell ref="A175:A179"/>
    <mergeCell ref="B175:B176"/>
    <mergeCell ref="C175:C176"/>
    <mergeCell ref="F175:J175"/>
    <mergeCell ref="K175:O175"/>
    <mergeCell ref="A168:A172"/>
    <mergeCell ref="B168:B169"/>
    <mergeCell ref="C168:C169"/>
    <mergeCell ref="F168:J168"/>
    <mergeCell ref="K168:O168"/>
    <mergeCell ref="L170:O170"/>
    <mergeCell ref="P170:P171"/>
    <mergeCell ref="S163:S167"/>
    <mergeCell ref="F164:J164"/>
    <mergeCell ref="K164:O164"/>
    <mergeCell ref="B165:B167"/>
    <mergeCell ref="C165:C167"/>
    <mergeCell ref="D165:D167"/>
    <mergeCell ref="E165:E166"/>
    <mergeCell ref="F165:F166"/>
    <mergeCell ref="G165:J165"/>
    <mergeCell ref="K165:K166"/>
    <mergeCell ref="Q170:Q171"/>
    <mergeCell ref="R170:R171"/>
    <mergeCell ref="K148:O148"/>
    <mergeCell ref="S148:S152"/>
    <mergeCell ref="F149:J149"/>
    <mergeCell ref="K149:O149"/>
    <mergeCell ref="F150:J150"/>
    <mergeCell ref="K150:O150"/>
    <mergeCell ref="F151:J151"/>
    <mergeCell ref="K151:O151"/>
    <mergeCell ref="L160:O160"/>
    <mergeCell ref="P160:P161"/>
    <mergeCell ref="Q160:Q161"/>
    <mergeCell ref="R160:R161"/>
    <mergeCell ref="A163:A167"/>
    <mergeCell ref="B163:B164"/>
    <mergeCell ref="C163:C164"/>
    <mergeCell ref="F163:J163"/>
    <mergeCell ref="K163:O163"/>
    <mergeCell ref="L165:O165"/>
    <mergeCell ref="S157:S162"/>
    <mergeCell ref="F158:J158"/>
    <mergeCell ref="K158:O158"/>
    <mergeCell ref="F159:J159"/>
    <mergeCell ref="K159:O159"/>
    <mergeCell ref="B160:B162"/>
    <mergeCell ref="C160:C162"/>
    <mergeCell ref="D160:D162"/>
    <mergeCell ref="E160:E161"/>
    <mergeCell ref="F160:F161"/>
    <mergeCell ref="P165:P166"/>
    <mergeCell ref="Q165:Q166"/>
    <mergeCell ref="R165:R166"/>
    <mergeCell ref="B145:B147"/>
    <mergeCell ref="C145:C147"/>
    <mergeCell ref="D145:D147"/>
    <mergeCell ref="E145:E146"/>
    <mergeCell ref="F145:F146"/>
    <mergeCell ref="S137:S140"/>
    <mergeCell ref="F138:J138"/>
    <mergeCell ref="F139:J139"/>
    <mergeCell ref="F140:J140"/>
    <mergeCell ref="K140:O140"/>
    <mergeCell ref="K155:O155"/>
    <mergeCell ref="F156:J156"/>
    <mergeCell ref="K156:O156"/>
    <mergeCell ref="A157:A162"/>
    <mergeCell ref="B157:B159"/>
    <mergeCell ref="C157:C159"/>
    <mergeCell ref="F157:J157"/>
    <mergeCell ref="K157:O157"/>
    <mergeCell ref="G160:J160"/>
    <mergeCell ref="K160:K161"/>
    <mergeCell ref="F152:J152"/>
    <mergeCell ref="K152:O152"/>
    <mergeCell ref="A153:S153"/>
    <mergeCell ref="A154:A156"/>
    <mergeCell ref="B154:B156"/>
    <mergeCell ref="C154:C156"/>
    <mergeCell ref="F154:J154"/>
    <mergeCell ref="K154:O154"/>
    <mergeCell ref="S154:S156"/>
    <mergeCell ref="F155:J155"/>
    <mergeCell ref="A148:C152"/>
    <mergeCell ref="F148:J148"/>
    <mergeCell ref="A141:A147"/>
    <mergeCell ref="B141:B144"/>
    <mergeCell ref="C141:C144"/>
    <mergeCell ref="F141:J141"/>
    <mergeCell ref="K141:O141"/>
    <mergeCell ref="R134:R135"/>
    <mergeCell ref="A137:A140"/>
    <mergeCell ref="B137:B140"/>
    <mergeCell ref="C137:C140"/>
    <mergeCell ref="F137:J137"/>
    <mergeCell ref="K137:O137"/>
    <mergeCell ref="S132:S136"/>
    <mergeCell ref="F133:J133"/>
    <mergeCell ref="K133:O133"/>
    <mergeCell ref="B134:B136"/>
    <mergeCell ref="C134:C136"/>
    <mergeCell ref="D134:D136"/>
    <mergeCell ref="E134:E135"/>
    <mergeCell ref="F134:F135"/>
    <mergeCell ref="G134:J134"/>
    <mergeCell ref="K134:K135"/>
    <mergeCell ref="G145:J145"/>
    <mergeCell ref="K145:K146"/>
    <mergeCell ref="L145:O145"/>
    <mergeCell ref="P145:P146"/>
    <mergeCell ref="Q145:Q146"/>
    <mergeCell ref="R145:R146"/>
    <mergeCell ref="S141:S147"/>
    <mergeCell ref="F142:J142"/>
    <mergeCell ref="F143:J143"/>
    <mergeCell ref="F144:J144"/>
    <mergeCell ref="K144:O144"/>
    <mergeCell ref="A132:A136"/>
    <mergeCell ref="B132:B133"/>
    <mergeCell ref="C132:C133"/>
    <mergeCell ref="F132:J132"/>
    <mergeCell ref="K132:O132"/>
    <mergeCell ref="L134:O134"/>
    <mergeCell ref="P134:P135"/>
    <mergeCell ref="Q134:Q135"/>
    <mergeCell ref="D129:D131"/>
    <mergeCell ref="E129:E130"/>
    <mergeCell ref="F129:F130"/>
    <mergeCell ref="G129:J129"/>
    <mergeCell ref="O129:O130"/>
    <mergeCell ref="P129:P130"/>
    <mergeCell ref="A127:A131"/>
    <mergeCell ref="B127:B128"/>
    <mergeCell ref="C127:C128"/>
    <mergeCell ref="F127:J127"/>
    <mergeCell ref="K127:O127"/>
    <mergeCell ref="S127:S131"/>
    <mergeCell ref="F128:J128"/>
    <mergeCell ref="K128:O128"/>
    <mergeCell ref="B129:B131"/>
    <mergeCell ref="C129:C131"/>
    <mergeCell ref="G124:J124"/>
    <mergeCell ref="K124:K125"/>
    <mergeCell ref="L124:O124"/>
    <mergeCell ref="P124:P125"/>
    <mergeCell ref="Q124:Q125"/>
    <mergeCell ref="R124:R125"/>
    <mergeCell ref="S121:S126"/>
    <mergeCell ref="F122:J122"/>
    <mergeCell ref="K122:O122"/>
    <mergeCell ref="F123:J123"/>
    <mergeCell ref="K123:O123"/>
    <mergeCell ref="B124:B126"/>
    <mergeCell ref="C124:C126"/>
    <mergeCell ref="D124:D126"/>
    <mergeCell ref="E124:E125"/>
    <mergeCell ref="F124:F125"/>
    <mergeCell ref="Q129:Q130"/>
    <mergeCell ref="R129:R130"/>
    <mergeCell ref="S118:S120"/>
    <mergeCell ref="F119:J119"/>
    <mergeCell ref="K119:O119"/>
    <mergeCell ref="F120:J120"/>
    <mergeCell ref="K120:O120"/>
    <mergeCell ref="A121:A126"/>
    <mergeCell ref="B121:B123"/>
    <mergeCell ref="C121:C123"/>
    <mergeCell ref="F121:J121"/>
    <mergeCell ref="K121:O121"/>
    <mergeCell ref="R115:R116"/>
    <mergeCell ref="A118:A120"/>
    <mergeCell ref="B118:B120"/>
    <mergeCell ref="C118:C120"/>
    <mergeCell ref="F118:J118"/>
    <mergeCell ref="K118:O118"/>
    <mergeCell ref="S113:S117"/>
    <mergeCell ref="F114:J114"/>
    <mergeCell ref="K114:O114"/>
    <mergeCell ref="B115:B117"/>
    <mergeCell ref="C115:C117"/>
    <mergeCell ref="D115:D117"/>
    <mergeCell ref="E115:E116"/>
    <mergeCell ref="F115:F116"/>
    <mergeCell ref="G115:J115"/>
    <mergeCell ref="K115:K116"/>
    <mergeCell ref="A113:A117"/>
    <mergeCell ref="B113:B114"/>
    <mergeCell ref="C113:C114"/>
    <mergeCell ref="F113:J113"/>
    <mergeCell ref="K113:O113"/>
    <mergeCell ref="L115:O115"/>
    <mergeCell ref="P115:P116"/>
    <mergeCell ref="Q115:Q116"/>
    <mergeCell ref="B110:B112"/>
    <mergeCell ref="C110:C112"/>
    <mergeCell ref="D110:D112"/>
    <mergeCell ref="E110:E111"/>
    <mergeCell ref="F110:F111"/>
    <mergeCell ref="G110:J110"/>
    <mergeCell ref="S106:S112"/>
    <mergeCell ref="F107:J107"/>
    <mergeCell ref="K107:O107"/>
    <mergeCell ref="F108:J108"/>
    <mergeCell ref="K108:O108"/>
    <mergeCell ref="F109:J109"/>
    <mergeCell ref="K109:O109"/>
    <mergeCell ref="K110:K111"/>
    <mergeCell ref="L110:O110"/>
    <mergeCell ref="P110:P111"/>
    <mergeCell ref="A106:A112"/>
    <mergeCell ref="B106:B109"/>
    <mergeCell ref="C106:C109"/>
    <mergeCell ref="F106:J106"/>
    <mergeCell ref="K106:O106"/>
    <mergeCell ref="S100:S105"/>
    <mergeCell ref="F101:J101"/>
    <mergeCell ref="F102:J102"/>
    <mergeCell ref="K102:O102"/>
    <mergeCell ref="B103:B105"/>
    <mergeCell ref="C103:C105"/>
    <mergeCell ref="D103:D105"/>
    <mergeCell ref="E103:E104"/>
    <mergeCell ref="F103:F104"/>
    <mergeCell ref="G103:J103"/>
    <mergeCell ref="Q110:Q111"/>
    <mergeCell ref="R110:R111"/>
    <mergeCell ref="A100:A105"/>
    <mergeCell ref="B100:B102"/>
    <mergeCell ref="C100:C102"/>
    <mergeCell ref="F100:J100"/>
    <mergeCell ref="K100:O100"/>
    <mergeCell ref="B97:B99"/>
    <mergeCell ref="C97:C99"/>
    <mergeCell ref="D97:D99"/>
    <mergeCell ref="E97:E98"/>
    <mergeCell ref="F97:F98"/>
    <mergeCell ref="G97:J97"/>
    <mergeCell ref="A94:A99"/>
    <mergeCell ref="B94:B96"/>
    <mergeCell ref="C94:C96"/>
    <mergeCell ref="F94:J94"/>
    <mergeCell ref="K94:O94"/>
    <mergeCell ref="K103:K104"/>
    <mergeCell ref="L103:O103"/>
    <mergeCell ref="S94:S99"/>
    <mergeCell ref="F95:J95"/>
    <mergeCell ref="K95:O95"/>
    <mergeCell ref="F96:J96"/>
    <mergeCell ref="K96:O96"/>
    <mergeCell ref="K97:K98"/>
    <mergeCell ref="L97:O97"/>
    <mergeCell ref="P97:P98"/>
    <mergeCell ref="Q97:Q98"/>
    <mergeCell ref="R97:R98"/>
    <mergeCell ref="P103:P104"/>
    <mergeCell ref="Q103:Q104"/>
    <mergeCell ref="R103:R104"/>
    <mergeCell ref="K90:O90"/>
    <mergeCell ref="F91:J91"/>
    <mergeCell ref="K91:O91"/>
    <mergeCell ref="F92:J92"/>
    <mergeCell ref="K92:O92"/>
    <mergeCell ref="F93:J93"/>
    <mergeCell ref="K93:O93"/>
    <mergeCell ref="F87:J87"/>
    <mergeCell ref="K87:O87"/>
    <mergeCell ref="A88:S88"/>
    <mergeCell ref="A89:A93"/>
    <mergeCell ref="B89:B93"/>
    <mergeCell ref="C89:C93"/>
    <mergeCell ref="F89:J89"/>
    <mergeCell ref="K89:O89"/>
    <mergeCell ref="S89:S93"/>
    <mergeCell ref="F90:J90"/>
    <mergeCell ref="Q81:Q82"/>
    <mergeCell ref="R81:R82"/>
    <mergeCell ref="A84:C87"/>
    <mergeCell ref="F84:J84"/>
    <mergeCell ref="K84:O84"/>
    <mergeCell ref="S84:S87"/>
    <mergeCell ref="F85:J85"/>
    <mergeCell ref="K85:O85"/>
    <mergeCell ref="F86:J86"/>
    <mergeCell ref="K86:O86"/>
    <mergeCell ref="S79:S83"/>
    <mergeCell ref="F80:J80"/>
    <mergeCell ref="K80:O80"/>
    <mergeCell ref="B81:B83"/>
    <mergeCell ref="C81:C83"/>
    <mergeCell ref="D81:D83"/>
    <mergeCell ref="E81:E82"/>
    <mergeCell ref="F81:F82"/>
    <mergeCell ref="G81:J81"/>
    <mergeCell ref="K81:K82"/>
    <mergeCell ref="A79:A83"/>
    <mergeCell ref="B79:B80"/>
    <mergeCell ref="C79:C80"/>
    <mergeCell ref="F79:J79"/>
    <mergeCell ref="K79:O79"/>
    <mergeCell ref="L81:O81"/>
    <mergeCell ref="P81:P82"/>
    <mergeCell ref="D76:D78"/>
    <mergeCell ref="E76:E77"/>
    <mergeCell ref="F76:F77"/>
    <mergeCell ref="G76:J76"/>
    <mergeCell ref="K76:K77"/>
    <mergeCell ref="L76:O76"/>
    <mergeCell ref="A74:A78"/>
    <mergeCell ref="B74:B75"/>
    <mergeCell ref="C74:C75"/>
    <mergeCell ref="F74:J74"/>
    <mergeCell ref="K74:O74"/>
    <mergeCell ref="S74:S78"/>
    <mergeCell ref="F75:J75"/>
    <mergeCell ref="K75:O75"/>
    <mergeCell ref="B76:B78"/>
    <mergeCell ref="C76:C78"/>
    <mergeCell ref="G71:J71"/>
    <mergeCell ref="K71:K72"/>
    <mergeCell ref="L71:O71"/>
    <mergeCell ref="P71:P72"/>
    <mergeCell ref="Q71:Q72"/>
    <mergeCell ref="R71:R72"/>
    <mergeCell ref="S68:S73"/>
    <mergeCell ref="F69:J69"/>
    <mergeCell ref="K69:O69"/>
    <mergeCell ref="F70:J70"/>
    <mergeCell ref="K70:O70"/>
    <mergeCell ref="B71:B73"/>
    <mergeCell ref="C71:C73"/>
    <mergeCell ref="D71:D73"/>
    <mergeCell ref="E71:E72"/>
    <mergeCell ref="F71:F72"/>
    <mergeCell ref="P76:P77"/>
    <mergeCell ref="Q76:Q77"/>
    <mergeCell ref="R76:R77"/>
    <mergeCell ref="S65:S67"/>
    <mergeCell ref="F66:J66"/>
    <mergeCell ref="K66:O66"/>
    <mergeCell ref="F67:J67"/>
    <mergeCell ref="K67:O67"/>
    <mergeCell ref="A68:A73"/>
    <mergeCell ref="B68:B70"/>
    <mergeCell ref="C68:C70"/>
    <mergeCell ref="F68:J68"/>
    <mergeCell ref="K68:O68"/>
    <mergeCell ref="R62:R63"/>
    <mergeCell ref="A65:A67"/>
    <mergeCell ref="B65:B67"/>
    <mergeCell ref="C65:C67"/>
    <mergeCell ref="F65:J65"/>
    <mergeCell ref="K65:O65"/>
    <mergeCell ref="S60:S64"/>
    <mergeCell ref="F61:J61"/>
    <mergeCell ref="K61:O61"/>
    <mergeCell ref="B62:B64"/>
    <mergeCell ref="C62:C64"/>
    <mergeCell ref="D62:D64"/>
    <mergeCell ref="E62:E63"/>
    <mergeCell ref="F62:F63"/>
    <mergeCell ref="G62:J62"/>
    <mergeCell ref="K62:K63"/>
    <mergeCell ref="A60:A64"/>
    <mergeCell ref="B60:B61"/>
    <mergeCell ref="C60:C61"/>
    <mergeCell ref="Q57:Q58"/>
    <mergeCell ref="R57:R58"/>
    <mergeCell ref="A50:A54"/>
    <mergeCell ref="B50:B51"/>
    <mergeCell ref="C50:C51"/>
    <mergeCell ref="F50:J50"/>
    <mergeCell ref="K50:O50"/>
    <mergeCell ref="L52:O52"/>
    <mergeCell ref="F60:J60"/>
    <mergeCell ref="K60:O60"/>
    <mergeCell ref="L62:O62"/>
    <mergeCell ref="P62:P63"/>
    <mergeCell ref="Q62:Q63"/>
    <mergeCell ref="S55:S59"/>
    <mergeCell ref="F56:J56"/>
    <mergeCell ref="K56:O56"/>
    <mergeCell ref="B57:B59"/>
    <mergeCell ref="C57:C59"/>
    <mergeCell ref="D57:D59"/>
    <mergeCell ref="E57:E58"/>
    <mergeCell ref="F57:F58"/>
    <mergeCell ref="G57:J57"/>
    <mergeCell ref="K57:K58"/>
    <mergeCell ref="A55:A59"/>
    <mergeCell ref="B55:B56"/>
    <mergeCell ref="C55:C56"/>
    <mergeCell ref="F55:J55"/>
    <mergeCell ref="K55:O55"/>
    <mergeCell ref="L57:O57"/>
    <mergeCell ref="P57:P58"/>
    <mergeCell ref="P52:P53"/>
    <mergeCell ref="Q52:Q53"/>
    <mergeCell ref="R52:R53"/>
    <mergeCell ref="K42:O42"/>
    <mergeCell ref="F43:J43"/>
    <mergeCell ref="K43:O43"/>
    <mergeCell ref="A44:A49"/>
    <mergeCell ref="B44:B46"/>
    <mergeCell ref="C44:C46"/>
    <mergeCell ref="F44:J44"/>
    <mergeCell ref="K44:O44"/>
    <mergeCell ref="G47:J47"/>
    <mergeCell ref="K47:K48"/>
    <mergeCell ref="S50:S54"/>
    <mergeCell ref="F51:J51"/>
    <mergeCell ref="K51:O51"/>
    <mergeCell ref="B52:B54"/>
    <mergeCell ref="C52:C54"/>
    <mergeCell ref="D52:D54"/>
    <mergeCell ref="E52:E53"/>
    <mergeCell ref="F52:F53"/>
    <mergeCell ref="G52:J52"/>
    <mergeCell ref="K52:K53"/>
    <mergeCell ref="L47:O47"/>
    <mergeCell ref="P47:P48"/>
    <mergeCell ref="Q47:Q48"/>
    <mergeCell ref="R47:R48"/>
    <mergeCell ref="A37:C38"/>
    <mergeCell ref="F37:J37"/>
    <mergeCell ref="K37:O37"/>
    <mergeCell ref="S37:S38"/>
    <mergeCell ref="F38:J38"/>
    <mergeCell ref="K38:O38"/>
    <mergeCell ref="S44:S49"/>
    <mergeCell ref="F45:J45"/>
    <mergeCell ref="K45:O45"/>
    <mergeCell ref="F46:J46"/>
    <mergeCell ref="K46:O46"/>
    <mergeCell ref="B47:B49"/>
    <mergeCell ref="C47:C49"/>
    <mergeCell ref="D47:D49"/>
    <mergeCell ref="E47:E48"/>
    <mergeCell ref="F47:F48"/>
    <mergeCell ref="P34:P35"/>
    <mergeCell ref="Q34:Q35"/>
    <mergeCell ref="R34:R35"/>
    <mergeCell ref="S27:S31"/>
    <mergeCell ref="F28:J28"/>
    <mergeCell ref="K28:O28"/>
    <mergeCell ref="B29:B31"/>
    <mergeCell ref="C29:C31"/>
    <mergeCell ref="D29:D31"/>
    <mergeCell ref="E29:E30"/>
    <mergeCell ref="F29:F30"/>
    <mergeCell ref="G29:J29"/>
    <mergeCell ref="K29:K30"/>
    <mergeCell ref="A39:S39"/>
    <mergeCell ref="A40:A43"/>
    <mergeCell ref="B40:B43"/>
    <mergeCell ref="C40:C43"/>
    <mergeCell ref="F40:J40"/>
    <mergeCell ref="K40:O40"/>
    <mergeCell ref="S40:S43"/>
    <mergeCell ref="F41:J41"/>
    <mergeCell ref="K41:O41"/>
    <mergeCell ref="F42:J42"/>
    <mergeCell ref="A27:A31"/>
    <mergeCell ref="B27:B28"/>
    <mergeCell ref="C27:C28"/>
    <mergeCell ref="F27:J27"/>
    <mergeCell ref="K27:O27"/>
    <mergeCell ref="L29:O29"/>
    <mergeCell ref="P29:P30"/>
    <mergeCell ref="K23:O23"/>
    <mergeCell ref="B24:B26"/>
    <mergeCell ref="C24:C26"/>
    <mergeCell ref="D24:D26"/>
    <mergeCell ref="E24:E25"/>
    <mergeCell ref="F24:F25"/>
    <mergeCell ref="G24:J24"/>
    <mergeCell ref="O24:O25"/>
    <mergeCell ref="S32:S36"/>
    <mergeCell ref="F33:J33"/>
    <mergeCell ref="K33:O33"/>
    <mergeCell ref="B34:B36"/>
    <mergeCell ref="C34:C36"/>
    <mergeCell ref="D34:D36"/>
    <mergeCell ref="E34:E35"/>
    <mergeCell ref="F34:F35"/>
    <mergeCell ref="G34:J34"/>
    <mergeCell ref="O34:O35"/>
    <mergeCell ref="Q29:Q30"/>
    <mergeCell ref="R29:R30"/>
    <mergeCell ref="A32:A36"/>
    <mergeCell ref="B32:B33"/>
    <mergeCell ref="C32:C33"/>
    <mergeCell ref="F32:J32"/>
    <mergeCell ref="K32:O32"/>
    <mergeCell ref="S20:S21"/>
    <mergeCell ref="F21:J21"/>
    <mergeCell ref="K21:O21"/>
    <mergeCell ref="A22:A26"/>
    <mergeCell ref="B22:B23"/>
    <mergeCell ref="C22:C23"/>
    <mergeCell ref="F22:J22"/>
    <mergeCell ref="K22:O22"/>
    <mergeCell ref="S22:S26"/>
    <mergeCell ref="F23:J23"/>
    <mergeCell ref="R17:R18"/>
    <mergeCell ref="A20:A21"/>
    <mergeCell ref="B20:B21"/>
    <mergeCell ref="C20:C21"/>
    <mergeCell ref="F20:J20"/>
    <mergeCell ref="K20:O20"/>
    <mergeCell ref="S15:S19"/>
    <mergeCell ref="F16:J16"/>
    <mergeCell ref="K16:O16"/>
    <mergeCell ref="B17:B19"/>
    <mergeCell ref="C17:C19"/>
    <mergeCell ref="D17:D19"/>
    <mergeCell ref="E17:E18"/>
    <mergeCell ref="F17:F18"/>
    <mergeCell ref="G17:J17"/>
    <mergeCell ref="O17:O18"/>
    <mergeCell ref="P24:P25"/>
    <mergeCell ref="Q24:Q25"/>
    <mergeCell ref="R24:R25"/>
    <mergeCell ref="R12:R13"/>
    <mergeCell ref="A15:A19"/>
    <mergeCell ref="B15:B16"/>
    <mergeCell ref="C15:C16"/>
    <mergeCell ref="F15:J15"/>
    <mergeCell ref="K15:O15"/>
    <mergeCell ref="P17:P18"/>
    <mergeCell ref="Q17:Q18"/>
    <mergeCell ref="K11:O11"/>
    <mergeCell ref="B12:B14"/>
    <mergeCell ref="C12:C14"/>
    <mergeCell ref="D12:D14"/>
    <mergeCell ref="E12:E13"/>
    <mergeCell ref="F12:F13"/>
    <mergeCell ref="G12:J12"/>
    <mergeCell ref="K12:K13"/>
    <mergeCell ref="L12:O12"/>
    <mergeCell ref="Q1:S1"/>
    <mergeCell ref="A2:S2"/>
    <mergeCell ref="A3:S3"/>
    <mergeCell ref="A4:A5"/>
    <mergeCell ref="B4:B5"/>
    <mergeCell ref="C4:C5"/>
    <mergeCell ref="D4:D5"/>
    <mergeCell ref="E4:E5"/>
    <mergeCell ref="F4:R4"/>
    <mergeCell ref="S4:S5"/>
    <mergeCell ref="S8:S9"/>
    <mergeCell ref="F9:J9"/>
    <mergeCell ref="K9:O9"/>
    <mergeCell ref="A10:A14"/>
    <mergeCell ref="B10:B11"/>
    <mergeCell ref="C10:C11"/>
    <mergeCell ref="F10:J10"/>
    <mergeCell ref="K10:O10"/>
    <mergeCell ref="S10:S14"/>
    <mergeCell ref="F11:J11"/>
    <mergeCell ref="F5:J5"/>
    <mergeCell ref="K5:O5"/>
    <mergeCell ref="F6:J6"/>
    <mergeCell ref="K6:O6"/>
    <mergeCell ref="A7:S7"/>
    <mergeCell ref="A8:A9"/>
    <mergeCell ref="B8:B9"/>
    <mergeCell ref="C8:C9"/>
    <mergeCell ref="F8:J8"/>
    <mergeCell ref="K8:O8"/>
    <mergeCell ref="P12:P13"/>
    <mergeCell ref="Q12:Q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landscape" r:id="rId1"/>
  <headerFooter>
    <oddHeader>&amp;C&amp;P</oddHeader>
  </headerFooter>
  <rowBreaks count="11" manualBreakCount="11">
    <brk id="36" max="18" man="1"/>
    <brk id="67" max="18" man="1"/>
    <brk id="102" max="18" man="1"/>
    <brk id="140" max="18" man="1"/>
    <brk id="172" max="18" man="1"/>
    <brk id="208" max="18" man="1"/>
    <brk id="242" max="18" man="1"/>
    <brk id="282" max="18" man="1"/>
    <brk id="317" max="18" man="1"/>
    <brk id="356" max="18" man="1"/>
    <brk id="39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22.01.2024 изм. Пр.1 МП 2</vt:lpstr>
      <vt:lpstr>'22.01.2024 изм. Пр.1 МП 2'!Заголовки_для_печати</vt:lpstr>
      <vt:lpstr>'22.01.2024 изм. Пр.1 МП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 Валентина Анатольевна</dc:creator>
  <cp:lastModifiedBy>OGA</cp:lastModifiedBy>
  <cp:lastPrinted>2024-01-26T17:25:51Z</cp:lastPrinted>
  <dcterms:created xsi:type="dcterms:W3CDTF">2021-10-27T11:42:17Z</dcterms:created>
  <dcterms:modified xsi:type="dcterms:W3CDTF">2024-01-30T06:29:31Z</dcterms:modified>
</cp:coreProperties>
</file>