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\общая\БЕЛОГЛАЗОВА-ГУБЕРНСКАЯ\ПРОГРАММА 2017-2021\2018 год\5 вариант от 26.09.2018 №4454\"/>
    </mc:Choice>
  </mc:AlternateContent>
  <bookViews>
    <workbookView xWindow="0" yWindow="0" windowWidth="28800" windowHeight="11835" activeTab="3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1'!$A$18:$W$76</definedName>
    <definedName name="_xlnm._FilterDatabase" localSheetId="1" hidden="1">'Подпрограмма 2'!$A$15:$Y$109</definedName>
    <definedName name="_xlnm._FilterDatabase" localSheetId="2" hidden="1">'Подпрограмма 3'!$A$9:$X$44</definedName>
    <definedName name="_xlnm.Print_Titles" localSheetId="0">'Подпрограмма 1'!$7:$11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1'!$A$1:$M$76</definedName>
    <definedName name="_xlnm.Print_Area" localSheetId="1">'Подпрограмма 2'!$A$1:$M$109</definedName>
    <definedName name="_xlnm.Print_Area" localSheetId="2">'Подпрограмма 3'!$A$1:$M$44</definedName>
    <definedName name="_xlnm.Print_Area" localSheetId="3">'Подпрограмма 4'!$A$1:$M$31</definedName>
    <definedName name="_xlnm.Print_Area" localSheetId="4">'Подпрограмма 5'!$A$4:$M$39</definedName>
  </definedNames>
  <calcPr calcId="152511"/>
</workbook>
</file>

<file path=xl/calcChain.xml><?xml version="1.0" encoding="utf-8"?>
<calcChain xmlns="http://schemas.openxmlformats.org/spreadsheetml/2006/main">
  <c r="I81" i="1" l="1"/>
  <c r="H43" i="3" l="1"/>
  <c r="F29" i="3"/>
  <c r="G105" i="2" l="1"/>
  <c r="G14" i="1"/>
  <c r="H35" i="2"/>
  <c r="H17" i="2"/>
  <c r="H30" i="1"/>
  <c r="H20" i="1"/>
  <c r="E26" i="8"/>
  <c r="K24" i="8"/>
  <c r="J24" i="8"/>
  <c r="I24" i="8"/>
  <c r="H24" i="8"/>
  <c r="G24" i="8"/>
  <c r="F24" i="8"/>
  <c r="E24" i="8"/>
  <c r="K23" i="8"/>
  <c r="J23" i="8"/>
  <c r="I23" i="8"/>
  <c r="H23" i="8"/>
  <c r="G23" i="8"/>
  <c r="F23" i="8"/>
  <c r="E23" i="8"/>
  <c r="K22" i="8"/>
  <c r="J22" i="8"/>
  <c r="I22" i="8"/>
  <c r="H22" i="8"/>
  <c r="G22" i="8"/>
  <c r="F22" i="8"/>
  <c r="E22" i="8"/>
  <c r="K21" i="8"/>
  <c r="J21" i="8"/>
  <c r="I21" i="8"/>
  <c r="H21" i="8"/>
  <c r="G21" i="8"/>
  <c r="F21" i="8"/>
  <c r="E21" i="8"/>
  <c r="F20" i="8"/>
  <c r="F19" i="8"/>
  <c r="F18" i="8"/>
  <c r="F17" i="8"/>
  <c r="N16" i="8"/>
  <c r="K16" i="8"/>
  <c r="J16" i="8"/>
  <c r="I16" i="8"/>
  <c r="H16" i="8"/>
  <c r="G16" i="8"/>
  <c r="F16" i="8"/>
  <c r="N15" i="8"/>
  <c r="K15" i="8"/>
  <c r="J15" i="8"/>
  <c r="I15" i="8"/>
  <c r="H15" i="8"/>
  <c r="G15" i="8"/>
  <c r="F15" i="8"/>
  <c r="F14" i="8"/>
  <c r="N13" i="8"/>
  <c r="G13" i="8"/>
  <c r="F13" i="8"/>
  <c r="E13" i="8"/>
  <c r="F12" i="8"/>
  <c r="K11" i="8"/>
  <c r="J11" i="8"/>
  <c r="I11" i="8"/>
  <c r="H11" i="8"/>
  <c r="G11" i="8"/>
  <c r="F11" i="8"/>
  <c r="E11" i="8"/>
  <c r="K10" i="8"/>
  <c r="J10" i="8"/>
  <c r="I10" i="8"/>
  <c r="H10" i="8"/>
  <c r="G10" i="8"/>
  <c r="F10" i="8"/>
  <c r="E10" i="8"/>
  <c r="K9" i="8"/>
  <c r="J9" i="8"/>
  <c r="I9" i="8"/>
  <c r="H9" i="8"/>
  <c r="G9" i="8"/>
  <c r="F9" i="8"/>
  <c r="E9" i="8"/>
  <c r="K8" i="8"/>
  <c r="J8" i="8"/>
  <c r="I8" i="8"/>
  <c r="H8" i="8"/>
  <c r="G8" i="8"/>
  <c r="F8" i="8"/>
  <c r="E8" i="8"/>
  <c r="K31" i="6"/>
  <c r="J31" i="6"/>
  <c r="I31" i="6"/>
  <c r="H31" i="6"/>
  <c r="G31" i="6"/>
  <c r="F31" i="6"/>
  <c r="E31" i="6"/>
  <c r="H30" i="6"/>
  <c r="F30" i="6"/>
  <c r="K29" i="6"/>
  <c r="J29" i="6"/>
  <c r="I29" i="6"/>
  <c r="H29" i="6"/>
  <c r="G29" i="6"/>
  <c r="F29" i="6"/>
  <c r="E29" i="6"/>
  <c r="K28" i="6"/>
  <c r="J28" i="6"/>
  <c r="I28" i="6"/>
  <c r="H28" i="6"/>
  <c r="G28" i="6"/>
  <c r="F28" i="6"/>
  <c r="E28" i="6"/>
  <c r="P27" i="6"/>
  <c r="F27" i="6"/>
  <c r="P26" i="6"/>
  <c r="O26" i="6"/>
  <c r="N26" i="6"/>
  <c r="H26" i="6"/>
  <c r="F26" i="6"/>
  <c r="O25" i="6"/>
  <c r="N25" i="6"/>
  <c r="P25" i="6" s="1"/>
  <c r="H25" i="6"/>
  <c r="F25" i="6"/>
  <c r="P24" i="6"/>
  <c r="O24" i="6"/>
  <c r="N24" i="6"/>
  <c r="H24" i="6"/>
  <c r="G24" i="6"/>
  <c r="F24" i="6"/>
  <c r="P23" i="6"/>
  <c r="F23" i="6"/>
  <c r="P22" i="6"/>
  <c r="I22" i="6"/>
  <c r="F22" i="6"/>
  <c r="N21" i="6"/>
  <c r="P21" i="6" s="1"/>
  <c r="F21" i="6"/>
  <c r="P20" i="6"/>
  <c r="N20" i="6"/>
  <c r="H20" i="6"/>
  <c r="F20" i="6"/>
  <c r="O19" i="6"/>
  <c r="N19" i="6"/>
  <c r="P19" i="6" s="1"/>
  <c r="H19" i="6"/>
  <c r="F19" i="6"/>
  <c r="K18" i="6"/>
  <c r="J18" i="6"/>
  <c r="I18" i="6"/>
  <c r="H18" i="6"/>
  <c r="G18" i="6"/>
  <c r="F18" i="6"/>
  <c r="E18" i="6"/>
  <c r="K17" i="6"/>
  <c r="J17" i="6"/>
  <c r="I17" i="6"/>
  <c r="H17" i="6"/>
  <c r="G17" i="6"/>
  <c r="F17" i="6"/>
  <c r="E17" i="6"/>
  <c r="K16" i="6"/>
  <c r="J16" i="6"/>
  <c r="I16" i="6"/>
  <c r="H16" i="6"/>
  <c r="G16" i="6"/>
  <c r="F16" i="6"/>
  <c r="E16" i="6"/>
  <c r="P15" i="6"/>
  <c r="F15" i="6"/>
  <c r="P14" i="6"/>
  <c r="N14" i="6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P9" i="6"/>
  <c r="N9" i="6"/>
  <c r="F9" i="6"/>
  <c r="E9" i="6"/>
  <c r="K8" i="6"/>
  <c r="J8" i="6"/>
  <c r="I8" i="6"/>
  <c r="H8" i="6"/>
  <c r="G8" i="6"/>
  <c r="F8" i="6"/>
  <c r="E8" i="6"/>
  <c r="K53" i="3"/>
  <c r="J53" i="3"/>
  <c r="I53" i="3"/>
  <c r="H53" i="3"/>
  <c r="G53" i="3"/>
  <c r="F53" i="3"/>
  <c r="E53" i="3"/>
  <c r="K52" i="3"/>
  <c r="J52" i="3"/>
  <c r="I52" i="3"/>
  <c r="H52" i="3"/>
  <c r="G52" i="3"/>
  <c r="F52" i="3"/>
  <c r="E52" i="3"/>
  <c r="K51" i="3"/>
  <c r="J51" i="3"/>
  <c r="I51" i="3"/>
  <c r="H51" i="3"/>
  <c r="G51" i="3"/>
  <c r="F51" i="3"/>
  <c r="E51" i="3"/>
  <c r="K50" i="3"/>
  <c r="J50" i="3"/>
  <c r="I50" i="3"/>
  <c r="H50" i="3"/>
  <c r="G50" i="3"/>
  <c r="F50" i="3"/>
  <c r="E50" i="3"/>
  <c r="K49" i="3"/>
  <c r="J49" i="3"/>
  <c r="I49" i="3"/>
  <c r="H49" i="3"/>
  <c r="G49" i="3"/>
  <c r="F49" i="3"/>
  <c r="E49" i="3"/>
  <c r="F48" i="3"/>
  <c r="K47" i="3"/>
  <c r="J47" i="3"/>
  <c r="I47" i="3"/>
  <c r="H47" i="3"/>
  <c r="G47" i="3"/>
  <c r="F47" i="3"/>
  <c r="R44" i="3"/>
  <c r="Q44" i="3"/>
  <c r="P44" i="3"/>
  <c r="O44" i="3"/>
  <c r="N44" i="3"/>
  <c r="K44" i="3"/>
  <c r="J44" i="3"/>
  <c r="I44" i="3"/>
  <c r="H44" i="3"/>
  <c r="G44" i="3"/>
  <c r="F44" i="3"/>
  <c r="E44" i="3"/>
  <c r="R43" i="3"/>
  <c r="Q43" i="3"/>
  <c r="P43" i="3"/>
  <c r="O43" i="3"/>
  <c r="N43" i="3"/>
  <c r="F43" i="3"/>
  <c r="R42" i="3"/>
  <c r="Q42" i="3"/>
  <c r="P42" i="3"/>
  <c r="O42" i="3"/>
  <c r="N42" i="3"/>
  <c r="K42" i="3"/>
  <c r="J42" i="3"/>
  <c r="I42" i="3"/>
  <c r="H42" i="3"/>
  <c r="G42" i="3"/>
  <c r="F42" i="3"/>
  <c r="E42" i="3"/>
  <c r="R41" i="3"/>
  <c r="Q41" i="3"/>
  <c r="P41" i="3"/>
  <c r="O41" i="3"/>
  <c r="N41" i="3"/>
  <c r="K41" i="3"/>
  <c r="J41" i="3"/>
  <c r="I41" i="3"/>
  <c r="H41" i="3"/>
  <c r="G41" i="3"/>
  <c r="F41" i="3"/>
  <c r="E41" i="3"/>
  <c r="K40" i="3"/>
  <c r="J40" i="3"/>
  <c r="I40" i="3"/>
  <c r="H40" i="3"/>
  <c r="G40" i="3"/>
  <c r="F40" i="3"/>
  <c r="E40" i="3"/>
  <c r="N39" i="3"/>
  <c r="P39" i="3" s="1"/>
  <c r="F39" i="3"/>
  <c r="N38" i="3"/>
  <c r="P38" i="3" s="1"/>
  <c r="F38" i="3"/>
  <c r="N37" i="3"/>
  <c r="P37" i="3" s="1"/>
  <c r="K37" i="3"/>
  <c r="J37" i="3"/>
  <c r="I37" i="3"/>
  <c r="G37" i="3"/>
  <c r="F37" i="3"/>
  <c r="N36" i="3"/>
  <c r="P36" i="3" s="1"/>
  <c r="H36" i="3"/>
  <c r="G36" i="3"/>
  <c r="F36" i="3"/>
  <c r="K35" i="3"/>
  <c r="J35" i="3"/>
  <c r="I35" i="3"/>
  <c r="H35" i="3"/>
  <c r="G35" i="3"/>
  <c r="F35" i="3"/>
  <c r="E35" i="3"/>
  <c r="K34" i="3"/>
  <c r="J34" i="3"/>
  <c r="I34" i="3"/>
  <c r="H34" i="3"/>
  <c r="G34" i="3"/>
  <c r="F34" i="3"/>
  <c r="E34" i="3"/>
  <c r="K33" i="3"/>
  <c r="J33" i="3"/>
  <c r="I33" i="3"/>
  <c r="H33" i="3"/>
  <c r="G33" i="3"/>
  <c r="F33" i="3"/>
  <c r="E33" i="3"/>
  <c r="N32" i="3"/>
  <c r="P32" i="3" s="1"/>
  <c r="F32" i="3"/>
  <c r="K31" i="3"/>
  <c r="J31" i="3"/>
  <c r="I31" i="3"/>
  <c r="H31" i="3"/>
  <c r="G31" i="3"/>
  <c r="F31" i="3"/>
  <c r="E31" i="3"/>
  <c r="K30" i="3"/>
  <c r="J30" i="3"/>
  <c r="I30" i="3"/>
  <c r="H30" i="3"/>
  <c r="G30" i="3"/>
  <c r="F30" i="3"/>
  <c r="E30" i="3"/>
  <c r="F28" i="3"/>
  <c r="F27" i="3"/>
  <c r="N26" i="3"/>
  <c r="P26" i="3" s="1"/>
  <c r="F26" i="3"/>
  <c r="P25" i="3"/>
  <c r="F25" i="3"/>
  <c r="E25" i="3"/>
  <c r="P24" i="3"/>
  <c r="F24" i="3"/>
  <c r="P23" i="3"/>
  <c r="K23" i="3"/>
  <c r="J23" i="3"/>
  <c r="I23" i="3"/>
  <c r="F23" i="3"/>
  <c r="P22" i="3"/>
  <c r="N22" i="3"/>
  <c r="F22" i="3"/>
  <c r="N21" i="3"/>
  <c r="P21" i="3" s="1"/>
  <c r="F21" i="3"/>
  <c r="P20" i="3"/>
  <c r="F20" i="3"/>
  <c r="P19" i="3"/>
  <c r="H19" i="3"/>
  <c r="F19" i="3"/>
  <c r="P18" i="3"/>
  <c r="F18" i="3"/>
  <c r="P17" i="3"/>
  <c r="N17" i="3"/>
  <c r="F17" i="3"/>
  <c r="P16" i="3"/>
  <c r="H16" i="3"/>
  <c r="F16" i="3"/>
  <c r="P15" i="3"/>
  <c r="F15" i="3"/>
  <c r="N14" i="3"/>
  <c r="P14" i="3" s="1"/>
  <c r="H14" i="3"/>
  <c r="F14" i="3"/>
  <c r="E14" i="3"/>
  <c r="P13" i="3"/>
  <c r="F13" i="3"/>
  <c r="K12" i="3"/>
  <c r="J12" i="3"/>
  <c r="I12" i="3"/>
  <c r="H12" i="3"/>
  <c r="G12" i="3"/>
  <c r="F12" i="3"/>
  <c r="E12" i="3"/>
  <c r="K11" i="3"/>
  <c r="J11" i="3"/>
  <c r="I11" i="3"/>
  <c r="H11" i="3"/>
  <c r="G11" i="3"/>
  <c r="F11" i="3"/>
  <c r="F9" i="3" s="1"/>
  <c r="E11" i="3"/>
  <c r="K10" i="3"/>
  <c r="J10" i="3"/>
  <c r="I10" i="3"/>
  <c r="H10" i="3"/>
  <c r="G10" i="3"/>
  <c r="F10" i="3"/>
  <c r="E10" i="3"/>
  <c r="K9" i="3"/>
  <c r="J9" i="3"/>
  <c r="I9" i="3"/>
  <c r="H9" i="3"/>
  <c r="G9" i="3"/>
  <c r="E9" i="3"/>
  <c r="K111" i="2"/>
  <c r="E111" i="2"/>
  <c r="K109" i="2"/>
  <c r="K33" i="8" s="1"/>
  <c r="J109" i="2"/>
  <c r="J120" i="2" s="1"/>
  <c r="I109" i="2"/>
  <c r="I33" i="8" s="1"/>
  <c r="H109" i="2"/>
  <c r="H120" i="2" s="1"/>
  <c r="V108" i="2"/>
  <c r="U108" i="2"/>
  <c r="T108" i="2"/>
  <c r="S108" i="2"/>
  <c r="R108" i="2"/>
  <c r="V107" i="2"/>
  <c r="U107" i="2"/>
  <c r="T107" i="2"/>
  <c r="S107" i="2"/>
  <c r="R107" i="2"/>
  <c r="V106" i="2"/>
  <c r="U106" i="2"/>
  <c r="T106" i="2"/>
  <c r="S106" i="2"/>
  <c r="R106" i="2"/>
  <c r="K105" i="2"/>
  <c r="J105" i="2"/>
  <c r="I105" i="2"/>
  <c r="F101" i="2"/>
  <c r="F100" i="2"/>
  <c r="F99" i="2"/>
  <c r="F98" i="2"/>
  <c r="F97" i="2"/>
  <c r="N96" i="2"/>
  <c r="P96" i="2" s="1"/>
  <c r="F96" i="2"/>
  <c r="P95" i="2"/>
  <c r="F95" i="2"/>
  <c r="T94" i="2"/>
  <c r="N94" i="2"/>
  <c r="P94" i="2" s="1"/>
  <c r="F94" i="2"/>
  <c r="T93" i="2"/>
  <c r="N93" i="2"/>
  <c r="P93" i="2" s="1"/>
  <c r="F93" i="2"/>
  <c r="O92" i="2"/>
  <c r="N92" i="2"/>
  <c r="H92" i="2"/>
  <c r="G92" i="2"/>
  <c r="F92" i="2"/>
  <c r="H91" i="2"/>
  <c r="F91" i="2"/>
  <c r="I90" i="2"/>
  <c r="H90" i="2"/>
  <c r="G90" i="2"/>
  <c r="F90" i="2"/>
  <c r="E90" i="2"/>
  <c r="G89" i="2"/>
  <c r="F89" i="2"/>
  <c r="F88" i="2"/>
  <c r="F87" i="2"/>
  <c r="E87" i="2"/>
  <c r="P86" i="2"/>
  <c r="F86" i="2"/>
  <c r="P85" i="2"/>
  <c r="F85" i="2"/>
  <c r="G84" i="2"/>
  <c r="G109" i="2" s="1"/>
  <c r="E84" i="2"/>
  <c r="E109" i="2" s="1"/>
  <c r="K83" i="2"/>
  <c r="J83" i="2"/>
  <c r="J113" i="2" s="1"/>
  <c r="I83" i="2"/>
  <c r="I113" i="2" s="1"/>
  <c r="H83" i="2"/>
  <c r="H113" i="2" s="1"/>
  <c r="G83" i="2"/>
  <c r="G113" i="2" s="1"/>
  <c r="E83" i="2"/>
  <c r="E113" i="2" s="1"/>
  <c r="K82" i="2"/>
  <c r="K112" i="2" s="1"/>
  <c r="J82" i="2"/>
  <c r="J112" i="2" s="1"/>
  <c r="I82" i="2"/>
  <c r="I112" i="2" s="1"/>
  <c r="H82" i="2"/>
  <c r="H112" i="2" s="1"/>
  <c r="G82" i="2"/>
  <c r="E82" i="2"/>
  <c r="J81" i="2"/>
  <c r="J111" i="2" s="1"/>
  <c r="I81" i="2"/>
  <c r="I111" i="2" s="1"/>
  <c r="H81" i="2"/>
  <c r="H111" i="2" s="1"/>
  <c r="G81" i="2"/>
  <c r="N79" i="2"/>
  <c r="P79" i="2" s="1"/>
  <c r="G79" i="2"/>
  <c r="F79" i="2"/>
  <c r="N78" i="2"/>
  <c r="P78" i="2" s="1"/>
  <c r="G78" i="2"/>
  <c r="F78" i="2"/>
  <c r="K77" i="2"/>
  <c r="J77" i="2"/>
  <c r="I77" i="2"/>
  <c r="H77" i="2"/>
  <c r="G77" i="2"/>
  <c r="E77" i="2"/>
  <c r="N76" i="2"/>
  <c r="P76" i="2" s="1"/>
  <c r="F76" i="2"/>
  <c r="P75" i="2"/>
  <c r="N75" i="2"/>
  <c r="F75" i="2"/>
  <c r="P74" i="2"/>
  <c r="F74" i="2"/>
  <c r="O73" i="2"/>
  <c r="N73" i="2"/>
  <c r="P73" i="2" s="1"/>
  <c r="I73" i="2"/>
  <c r="H73" i="2"/>
  <c r="G73" i="2"/>
  <c r="F73" i="2"/>
  <c r="P72" i="2"/>
  <c r="N72" i="2"/>
  <c r="F72" i="2"/>
  <c r="P71" i="2"/>
  <c r="F71" i="2"/>
  <c r="N70" i="2"/>
  <c r="P70" i="2" s="1"/>
  <c r="G70" i="2"/>
  <c r="F70" i="2"/>
  <c r="N69" i="2"/>
  <c r="P69" i="2" s="1"/>
  <c r="G69" i="2"/>
  <c r="F69" i="2"/>
  <c r="O68" i="2"/>
  <c r="N68" i="2"/>
  <c r="P68" i="2" s="1"/>
  <c r="H68" i="2"/>
  <c r="F68" i="2"/>
  <c r="P67" i="2"/>
  <c r="N67" i="2"/>
  <c r="F67" i="2"/>
  <c r="P66" i="2"/>
  <c r="F66" i="2"/>
  <c r="P65" i="2"/>
  <c r="F65" i="2"/>
  <c r="N64" i="2"/>
  <c r="P64" i="2" s="1"/>
  <c r="F64" i="2"/>
  <c r="P63" i="2"/>
  <c r="O63" i="2"/>
  <c r="N63" i="2"/>
  <c r="H63" i="2"/>
  <c r="G63" i="2"/>
  <c r="F63" i="2"/>
  <c r="E63" i="2"/>
  <c r="P62" i="2"/>
  <c r="F62" i="2"/>
  <c r="P61" i="2"/>
  <c r="F61" i="2"/>
  <c r="P60" i="2"/>
  <c r="F60" i="2"/>
  <c r="P59" i="2"/>
  <c r="O59" i="2"/>
  <c r="H59" i="2"/>
  <c r="F59" i="2"/>
  <c r="P58" i="2"/>
  <c r="O58" i="2"/>
  <c r="H58" i="2"/>
  <c r="G58" i="2"/>
  <c r="F58" i="2"/>
  <c r="P57" i="2"/>
  <c r="O57" i="2"/>
  <c r="H57" i="2"/>
  <c r="F57" i="2"/>
  <c r="P56" i="2"/>
  <c r="O56" i="2"/>
  <c r="J56" i="2"/>
  <c r="H56" i="2"/>
  <c r="F56" i="2"/>
  <c r="O55" i="2"/>
  <c r="P55" i="2" s="1"/>
  <c r="H55" i="2"/>
  <c r="F55" i="2" s="1"/>
  <c r="O54" i="2"/>
  <c r="N54" i="2"/>
  <c r="K54" i="2"/>
  <c r="V104" i="2" s="1"/>
  <c r="J54" i="2"/>
  <c r="U104" i="2" s="1"/>
  <c r="I54" i="2"/>
  <c r="T104" i="2" s="1"/>
  <c r="H54" i="2"/>
  <c r="S104" i="2" s="1"/>
  <c r="G54" i="2"/>
  <c r="R104" i="2" s="1"/>
  <c r="O53" i="2"/>
  <c r="P53" i="2" s="1"/>
  <c r="N53" i="2"/>
  <c r="K53" i="2"/>
  <c r="V103" i="2" s="1"/>
  <c r="J53" i="2"/>
  <c r="U103" i="2" s="1"/>
  <c r="I53" i="2"/>
  <c r="T103" i="2" s="1"/>
  <c r="H53" i="2"/>
  <c r="S103" i="2" s="1"/>
  <c r="G53" i="2"/>
  <c r="G11" i="2" s="1"/>
  <c r="N52" i="2"/>
  <c r="P52" i="2" s="1"/>
  <c r="G52" i="2"/>
  <c r="F52" i="2"/>
  <c r="P51" i="2"/>
  <c r="H51" i="2"/>
  <c r="F51" i="2"/>
  <c r="P50" i="2"/>
  <c r="N50" i="2"/>
  <c r="H50" i="2"/>
  <c r="F50" i="2"/>
  <c r="E50" i="2"/>
  <c r="P49" i="2"/>
  <c r="N49" i="2"/>
  <c r="F49" i="2"/>
  <c r="P48" i="2"/>
  <c r="O48" i="2"/>
  <c r="H48" i="2"/>
  <c r="F48" i="2"/>
  <c r="P47" i="2"/>
  <c r="N47" i="2"/>
  <c r="H47" i="2"/>
  <c r="F47" i="2"/>
  <c r="E47" i="2"/>
  <c r="N46" i="2"/>
  <c r="P46" i="2" s="1"/>
  <c r="F46" i="2"/>
  <c r="P45" i="2"/>
  <c r="O45" i="2"/>
  <c r="N45" i="2"/>
  <c r="H45" i="2"/>
  <c r="G45" i="2"/>
  <c r="F45" i="2"/>
  <c r="P44" i="2"/>
  <c r="F44" i="2"/>
  <c r="P43" i="2"/>
  <c r="N43" i="2"/>
  <c r="G43" i="2"/>
  <c r="F43" i="2"/>
  <c r="P42" i="2"/>
  <c r="N42" i="2"/>
  <c r="F42" i="2"/>
  <c r="P41" i="2"/>
  <c r="F41" i="2"/>
  <c r="P40" i="2"/>
  <c r="F40" i="2"/>
  <c r="P39" i="2"/>
  <c r="F39" i="2"/>
  <c r="P38" i="2"/>
  <c r="F38" i="2"/>
  <c r="O37" i="2"/>
  <c r="N37" i="2"/>
  <c r="P37" i="2" s="1"/>
  <c r="H37" i="2"/>
  <c r="F37" i="2"/>
  <c r="E37" i="2"/>
  <c r="N36" i="2"/>
  <c r="P36" i="2" s="1"/>
  <c r="G36" i="2"/>
  <c r="F36" i="2"/>
  <c r="P35" i="2"/>
  <c r="O35" i="2"/>
  <c r="G35" i="2"/>
  <c r="F35" i="2"/>
  <c r="P34" i="2"/>
  <c r="O34" i="2"/>
  <c r="N34" i="2"/>
  <c r="H34" i="2"/>
  <c r="G34" i="2"/>
  <c r="F34" i="2"/>
  <c r="P33" i="2"/>
  <c r="F33" i="2"/>
  <c r="O32" i="2"/>
  <c r="N32" i="2"/>
  <c r="P32" i="2" s="1"/>
  <c r="K32" i="2"/>
  <c r="J32" i="2"/>
  <c r="H32" i="2"/>
  <c r="G32" i="2"/>
  <c r="F32" i="2"/>
  <c r="P31" i="2"/>
  <c r="F31" i="2"/>
  <c r="N30" i="2"/>
  <c r="P30" i="2" s="1"/>
  <c r="F30" i="2"/>
  <c r="P29" i="2"/>
  <c r="N29" i="2"/>
  <c r="F29" i="2"/>
  <c r="N28" i="2"/>
  <c r="P28" i="2" s="1"/>
  <c r="F28" i="2"/>
  <c r="P27" i="2"/>
  <c r="O27" i="2"/>
  <c r="N27" i="2"/>
  <c r="H27" i="2"/>
  <c r="F27" i="2"/>
  <c r="N26" i="2"/>
  <c r="P26" i="2" s="1"/>
  <c r="F26" i="2"/>
  <c r="P25" i="2"/>
  <c r="N25" i="2"/>
  <c r="F25" i="2"/>
  <c r="E25" i="2"/>
  <c r="P24" i="2"/>
  <c r="N24" i="2"/>
  <c r="F24" i="2"/>
  <c r="N23" i="2"/>
  <c r="P23" i="2" s="1"/>
  <c r="G23" i="2"/>
  <c r="F23" i="2"/>
  <c r="F22" i="2"/>
  <c r="P21" i="2"/>
  <c r="O21" i="2"/>
  <c r="N21" i="2"/>
  <c r="H21" i="2"/>
  <c r="F21" i="2"/>
  <c r="P20" i="2"/>
  <c r="F20" i="2"/>
  <c r="O19" i="2"/>
  <c r="N19" i="2"/>
  <c r="P19" i="2" s="1"/>
  <c r="H19" i="2"/>
  <c r="F19" i="2"/>
  <c r="P18" i="2"/>
  <c r="F18" i="2"/>
  <c r="P17" i="2"/>
  <c r="O17" i="2"/>
  <c r="K17" i="2"/>
  <c r="J17" i="2"/>
  <c r="I17" i="2"/>
  <c r="G17" i="2"/>
  <c r="F17" i="2"/>
  <c r="P16" i="2"/>
  <c r="N16" i="2"/>
  <c r="H16" i="2"/>
  <c r="F16" i="2"/>
  <c r="K15" i="2"/>
  <c r="K108" i="2" s="1"/>
  <c r="J15" i="2"/>
  <c r="J108" i="2" s="1"/>
  <c r="I15" i="2"/>
  <c r="I108" i="2" s="1"/>
  <c r="H15" i="2"/>
  <c r="H108" i="2" s="1"/>
  <c r="G15" i="2"/>
  <c r="G108" i="2" s="1"/>
  <c r="E15" i="2"/>
  <c r="E108" i="2" s="1"/>
  <c r="K14" i="2"/>
  <c r="K107" i="2" s="1"/>
  <c r="J14" i="2"/>
  <c r="J107" i="2" s="1"/>
  <c r="I14" i="2"/>
  <c r="I107" i="2" s="1"/>
  <c r="G14" i="2"/>
  <c r="G107" i="2" s="1"/>
  <c r="E14" i="2"/>
  <c r="E107" i="2" s="1"/>
  <c r="K13" i="2"/>
  <c r="J13" i="2"/>
  <c r="J106" i="2" s="1"/>
  <c r="I13" i="2"/>
  <c r="H13" i="2"/>
  <c r="G13" i="2"/>
  <c r="E13" i="2"/>
  <c r="E12" i="2"/>
  <c r="K11" i="2"/>
  <c r="E11" i="2"/>
  <c r="E103" i="2" s="1"/>
  <c r="E81" i="1"/>
  <c r="J80" i="1"/>
  <c r="H79" i="1"/>
  <c r="K76" i="1"/>
  <c r="K88" i="1" s="1"/>
  <c r="J76" i="1"/>
  <c r="J88" i="1" s="1"/>
  <c r="I76" i="1"/>
  <c r="I88" i="1" s="1"/>
  <c r="Q75" i="1"/>
  <c r="P75" i="1"/>
  <c r="O75" i="1"/>
  <c r="N75" i="1"/>
  <c r="Q74" i="1"/>
  <c r="P74" i="1"/>
  <c r="O74" i="1"/>
  <c r="N74" i="1"/>
  <c r="I74" i="1"/>
  <c r="I86" i="1" s="1"/>
  <c r="G74" i="1"/>
  <c r="G86" i="1" s="1"/>
  <c r="E74" i="1"/>
  <c r="E86" i="1" s="1"/>
  <c r="Q73" i="1"/>
  <c r="P73" i="1"/>
  <c r="O73" i="1"/>
  <c r="N73" i="1"/>
  <c r="Q72" i="1"/>
  <c r="P72" i="1"/>
  <c r="O72" i="1"/>
  <c r="N72" i="1"/>
  <c r="K72" i="1"/>
  <c r="J72" i="1"/>
  <c r="I72" i="1"/>
  <c r="H72" i="1"/>
  <c r="G72" i="1"/>
  <c r="E72" i="1"/>
  <c r="Q71" i="1"/>
  <c r="P71" i="1"/>
  <c r="O71" i="1"/>
  <c r="N71" i="1"/>
  <c r="Q70" i="1"/>
  <c r="P70" i="1"/>
  <c r="O70" i="1"/>
  <c r="N70" i="1"/>
  <c r="E69" i="1"/>
  <c r="P67" i="1"/>
  <c r="F67" i="1"/>
  <c r="P66" i="1"/>
  <c r="F66" i="1"/>
  <c r="P65" i="1"/>
  <c r="F65" i="1"/>
  <c r="P64" i="1"/>
  <c r="F64" i="1"/>
  <c r="P63" i="1"/>
  <c r="N63" i="1"/>
  <c r="F63" i="1"/>
  <c r="P62" i="1"/>
  <c r="N62" i="1"/>
  <c r="F62" i="1"/>
  <c r="P61" i="1"/>
  <c r="F61" i="1"/>
  <c r="P60" i="1"/>
  <c r="F60" i="1"/>
  <c r="P59" i="1"/>
  <c r="F59" i="1"/>
  <c r="P58" i="1"/>
  <c r="F58" i="1"/>
  <c r="P57" i="1"/>
  <c r="F57" i="1"/>
  <c r="E57" i="1"/>
  <c r="F56" i="1"/>
  <c r="P55" i="1"/>
  <c r="F55" i="1"/>
  <c r="P54" i="1"/>
  <c r="H54" i="1"/>
  <c r="H76" i="1" s="1"/>
  <c r="H88" i="1" s="1"/>
  <c r="G54" i="1"/>
  <c r="G76" i="1" s="1"/>
  <c r="E54" i="1"/>
  <c r="E76" i="1" s="1"/>
  <c r="E88" i="1" s="1"/>
  <c r="N53" i="1"/>
  <c r="N56" i="1" s="1"/>
  <c r="P56" i="1" s="1"/>
  <c r="K53" i="1"/>
  <c r="K81" i="1" s="1"/>
  <c r="J53" i="1"/>
  <c r="I53" i="1"/>
  <c r="H53" i="1"/>
  <c r="H81" i="1" s="1"/>
  <c r="G53" i="1"/>
  <c r="G81" i="1" s="1"/>
  <c r="E53" i="1"/>
  <c r="P52" i="1"/>
  <c r="K52" i="1"/>
  <c r="K79" i="1" s="1"/>
  <c r="J52" i="1"/>
  <c r="J79" i="1" s="1"/>
  <c r="J82" i="1" s="1"/>
  <c r="I52" i="1"/>
  <c r="H52" i="1"/>
  <c r="G52" i="1"/>
  <c r="G79" i="1" s="1"/>
  <c r="E52" i="1"/>
  <c r="E79" i="1" s="1"/>
  <c r="E82" i="1" s="1"/>
  <c r="P51" i="1"/>
  <c r="K51" i="1"/>
  <c r="K80" i="1" s="1"/>
  <c r="J51" i="1"/>
  <c r="I51" i="1"/>
  <c r="I80" i="1" s="1"/>
  <c r="I82" i="1" s="1"/>
  <c r="H51" i="1"/>
  <c r="H80" i="1" s="1"/>
  <c r="G51" i="1"/>
  <c r="G70" i="1" s="1"/>
  <c r="E51" i="1"/>
  <c r="E80" i="1" s="1"/>
  <c r="P50" i="1"/>
  <c r="K50" i="1"/>
  <c r="J50" i="1"/>
  <c r="J69" i="1" s="1"/>
  <c r="I50" i="1"/>
  <c r="H50" i="1"/>
  <c r="H69" i="1" s="1"/>
  <c r="H26" i="8" s="1"/>
  <c r="G50" i="1"/>
  <c r="G69" i="1" s="1"/>
  <c r="E50" i="1"/>
  <c r="P49" i="1"/>
  <c r="P48" i="1"/>
  <c r="N48" i="1"/>
  <c r="F48" i="1"/>
  <c r="P47" i="1"/>
  <c r="G47" i="1"/>
  <c r="F47" i="1"/>
  <c r="P46" i="1"/>
  <c r="N46" i="1"/>
  <c r="F46" i="1"/>
  <c r="N45" i="1"/>
  <c r="P45" i="1" s="1"/>
  <c r="H45" i="1"/>
  <c r="G45" i="1"/>
  <c r="F45" i="1"/>
  <c r="P44" i="1"/>
  <c r="F44" i="1"/>
  <c r="P43" i="1"/>
  <c r="N43" i="1"/>
  <c r="J43" i="1"/>
  <c r="I43" i="1"/>
  <c r="H43" i="1"/>
  <c r="G43" i="1"/>
  <c r="F43" i="1"/>
  <c r="N42" i="1"/>
  <c r="P42" i="1" s="1"/>
  <c r="H42" i="1"/>
  <c r="G42" i="1"/>
  <c r="F42" i="1"/>
  <c r="E42" i="1"/>
  <c r="P41" i="1"/>
  <c r="J41" i="1"/>
  <c r="H41" i="1"/>
  <c r="F41" i="1"/>
  <c r="P40" i="1"/>
  <c r="F40" i="1"/>
  <c r="P39" i="1"/>
  <c r="F39" i="1"/>
  <c r="E39" i="1"/>
  <c r="P38" i="1"/>
  <c r="F38" i="1"/>
  <c r="P37" i="1"/>
  <c r="G37" i="1"/>
  <c r="F37" i="1"/>
  <c r="P36" i="1"/>
  <c r="N36" i="1"/>
  <c r="F36" i="1"/>
  <c r="P35" i="1"/>
  <c r="N35" i="1"/>
  <c r="F35" i="1"/>
  <c r="E35" i="1"/>
  <c r="P34" i="1"/>
  <c r="G34" i="1"/>
  <c r="F34" i="1"/>
  <c r="P33" i="1"/>
  <c r="G33" i="1"/>
  <c r="F33" i="1"/>
  <c r="P32" i="1"/>
  <c r="G32" i="1"/>
  <c r="F32" i="1"/>
  <c r="P31" i="1"/>
  <c r="N31" i="1"/>
  <c r="G31" i="1"/>
  <c r="F31" i="1"/>
  <c r="P30" i="1"/>
  <c r="G30" i="1"/>
  <c r="F30" i="1"/>
  <c r="P29" i="1"/>
  <c r="N29" i="1"/>
  <c r="H29" i="1"/>
  <c r="G29" i="1"/>
  <c r="F29" i="1"/>
  <c r="E29" i="1"/>
  <c r="P28" i="1"/>
  <c r="N28" i="1"/>
  <c r="G28" i="1"/>
  <c r="F28" i="1"/>
  <c r="P27" i="1"/>
  <c r="F27" i="1"/>
  <c r="P26" i="1"/>
  <c r="N26" i="1"/>
  <c r="F26" i="1"/>
  <c r="N25" i="1"/>
  <c r="P25" i="1" s="1"/>
  <c r="F25" i="1"/>
  <c r="P24" i="1"/>
  <c r="N24" i="1"/>
  <c r="F24" i="1"/>
  <c r="P23" i="1"/>
  <c r="F23" i="1"/>
  <c r="N22" i="1"/>
  <c r="P22" i="1" s="1"/>
  <c r="F22" i="1"/>
  <c r="P21" i="1"/>
  <c r="N21" i="1"/>
  <c r="H21" i="1"/>
  <c r="G21" i="1"/>
  <c r="F21" i="1"/>
  <c r="P20" i="1"/>
  <c r="F20" i="1"/>
  <c r="P19" i="1"/>
  <c r="N19" i="1"/>
  <c r="F19" i="1"/>
  <c r="K18" i="1"/>
  <c r="K75" i="1" s="1"/>
  <c r="K87" i="1" s="1"/>
  <c r="J18" i="1"/>
  <c r="J75" i="1" s="1"/>
  <c r="J87" i="1" s="1"/>
  <c r="I18" i="1"/>
  <c r="I75" i="1" s="1"/>
  <c r="I87" i="1" s="1"/>
  <c r="H18" i="1"/>
  <c r="H75" i="1" s="1"/>
  <c r="H87" i="1" s="1"/>
  <c r="G18" i="1"/>
  <c r="G75" i="1" s="1"/>
  <c r="F18" i="1"/>
  <c r="E18" i="1"/>
  <c r="E75" i="1" s="1"/>
  <c r="E87" i="1" s="1"/>
  <c r="K17" i="1"/>
  <c r="K74" i="1" s="1"/>
  <c r="K86" i="1" s="1"/>
  <c r="J17" i="1"/>
  <c r="J74" i="1" s="1"/>
  <c r="J86" i="1" s="1"/>
  <c r="I17" i="1"/>
  <c r="H17" i="1"/>
  <c r="G17" i="1"/>
  <c r="E17" i="1"/>
  <c r="K16" i="1"/>
  <c r="J16" i="1"/>
  <c r="I16" i="1"/>
  <c r="H16" i="1"/>
  <c r="G16" i="1"/>
  <c r="G73" i="1" s="1"/>
  <c r="E16" i="1"/>
  <c r="E73" i="1" s="1"/>
  <c r="E85" i="1" s="1"/>
  <c r="K15" i="1"/>
  <c r="K71" i="1" s="1"/>
  <c r="K83" i="1" s="1"/>
  <c r="J15" i="1"/>
  <c r="J71" i="1" s="1"/>
  <c r="J83" i="1" s="1"/>
  <c r="I15" i="1"/>
  <c r="H15" i="1"/>
  <c r="H71" i="1" s="1"/>
  <c r="H104" i="1" s="1"/>
  <c r="G15" i="1"/>
  <c r="F15" i="1" s="1"/>
  <c r="E15" i="1"/>
  <c r="E71" i="1" s="1"/>
  <c r="K14" i="1"/>
  <c r="J14" i="1"/>
  <c r="I14" i="1"/>
  <c r="H14" i="1"/>
  <c r="E14" i="1"/>
  <c r="E13" i="1"/>
  <c r="P54" i="2" l="1"/>
  <c r="F15" i="2"/>
  <c r="I106" i="2"/>
  <c r="I117" i="2" s="1"/>
  <c r="K120" i="2"/>
  <c r="H105" i="2"/>
  <c r="K80" i="2"/>
  <c r="K12" i="2"/>
  <c r="K104" i="2" s="1"/>
  <c r="K28" i="8" s="1"/>
  <c r="I80" i="2"/>
  <c r="E106" i="2"/>
  <c r="E117" i="2" s="1"/>
  <c r="F82" i="2"/>
  <c r="H80" i="2"/>
  <c r="I73" i="1"/>
  <c r="I85" i="1" s="1"/>
  <c r="J73" i="1"/>
  <c r="J85" i="1" s="1"/>
  <c r="G71" i="1"/>
  <c r="H73" i="1"/>
  <c r="H85" i="1" s="1"/>
  <c r="F14" i="1"/>
  <c r="F50" i="1"/>
  <c r="J49" i="1"/>
  <c r="H83" i="1"/>
  <c r="G13" i="1"/>
  <c r="F16" i="1"/>
  <c r="J13" i="1"/>
  <c r="K70" i="1"/>
  <c r="K84" i="1" s="1"/>
  <c r="G49" i="1"/>
  <c r="K49" i="1"/>
  <c r="F72" i="1"/>
  <c r="E70" i="1"/>
  <c r="E84" i="1" s="1"/>
  <c r="E89" i="1" s="1"/>
  <c r="F52" i="1"/>
  <c r="G80" i="1"/>
  <c r="H70" i="1"/>
  <c r="H84" i="1" s="1"/>
  <c r="E83" i="1"/>
  <c r="I49" i="1"/>
  <c r="G82" i="1"/>
  <c r="G83" i="1"/>
  <c r="F79" i="1"/>
  <c r="G84" i="1"/>
  <c r="K82" i="1"/>
  <c r="J26" i="8"/>
  <c r="G85" i="1"/>
  <c r="F76" i="1"/>
  <c r="G88" i="1"/>
  <c r="F88" i="1" s="1"/>
  <c r="G68" i="1"/>
  <c r="G102" i="1" s="1"/>
  <c r="G26" i="8"/>
  <c r="F80" i="1"/>
  <c r="F75" i="1"/>
  <c r="G87" i="1"/>
  <c r="F87" i="1" s="1"/>
  <c r="F81" i="1"/>
  <c r="I69" i="1"/>
  <c r="K69" i="1"/>
  <c r="I71" i="1"/>
  <c r="K73" i="1"/>
  <c r="K85" i="1" s="1"/>
  <c r="K89" i="1" s="1"/>
  <c r="K13" i="1"/>
  <c r="E49" i="1"/>
  <c r="P53" i="1"/>
  <c r="H78" i="1"/>
  <c r="G33" i="8"/>
  <c r="I70" i="1"/>
  <c r="I84" i="1" s="1"/>
  <c r="J70" i="1"/>
  <c r="J84" i="1" s="1"/>
  <c r="J89" i="1" s="1"/>
  <c r="I13" i="1"/>
  <c r="F51" i="1"/>
  <c r="F53" i="1"/>
  <c r="F49" i="1" s="1"/>
  <c r="G31" i="8"/>
  <c r="E31" i="8"/>
  <c r="F54" i="1"/>
  <c r="J31" i="8"/>
  <c r="H105" i="1"/>
  <c r="F17" i="1"/>
  <c r="F13" i="1" s="1"/>
  <c r="H49" i="1"/>
  <c r="K32" i="8"/>
  <c r="E120" i="2"/>
  <c r="E33" i="8"/>
  <c r="E119" i="2"/>
  <c r="E32" i="8"/>
  <c r="I31" i="8"/>
  <c r="I118" i="2"/>
  <c r="G80" i="2"/>
  <c r="I12" i="2"/>
  <c r="I104" i="2" s="1"/>
  <c r="I116" i="2" s="1"/>
  <c r="K106" i="2"/>
  <c r="E10" i="2"/>
  <c r="J12" i="2"/>
  <c r="J104" i="2" s="1"/>
  <c r="J116" i="2" s="1"/>
  <c r="F81" i="2"/>
  <c r="H29" i="8"/>
  <c r="F29" i="8" s="1"/>
  <c r="K113" i="2"/>
  <c r="H11" i="2"/>
  <c r="H103" i="2" s="1"/>
  <c r="H115" i="2" s="1"/>
  <c r="I11" i="2"/>
  <c r="J114" i="2"/>
  <c r="F84" i="2"/>
  <c r="J118" i="2"/>
  <c r="F77" i="2"/>
  <c r="J11" i="2"/>
  <c r="J103" i="2" s="1"/>
  <c r="F13" i="2"/>
  <c r="E80" i="2"/>
  <c r="F83" i="2"/>
  <c r="G103" i="2"/>
  <c r="H32" i="8"/>
  <c r="H119" i="2"/>
  <c r="E115" i="2"/>
  <c r="I32" i="8"/>
  <c r="I119" i="2"/>
  <c r="H114" i="2"/>
  <c r="K118" i="2"/>
  <c r="K31" i="8"/>
  <c r="J117" i="2"/>
  <c r="J30" i="8"/>
  <c r="G119" i="2"/>
  <c r="G32" i="8"/>
  <c r="F108" i="2"/>
  <c r="E30" i="8"/>
  <c r="J32" i="8"/>
  <c r="J119" i="2"/>
  <c r="I114" i="2"/>
  <c r="K119" i="2"/>
  <c r="G12" i="2"/>
  <c r="G10" i="2" s="1"/>
  <c r="F53" i="2"/>
  <c r="G106" i="2"/>
  <c r="G112" i="2"/>
  <c r="F112" i="2" s="1"/>
  <c r="E118" i="2"/>
  <c r="I120" i="2"/>
  <c r="J33" i="8"/>
  <c r="H12" i="2"/>
  <c r="H104" i="2" s="1"/>
  <c r="F54" i="2"/>
  <c r="H106" i="2"/>
  <c r="F109" i="2"/>
  <c r="G111" i="2"/>
  <c r="G118" i="2"/>
  <c r="J80" i="2"/>
  <c r="K103" i="2"/>
  <c r="E112" i="2"/>
  <c r="E114" i="2" s="1"/>
  <c r="G120" i="2"/>
  <c r="H33" i="8"/>
  <c r="E104" i="2"/>
  <c r="E102" i="2" s="1"/>
  <c r="R103" i="2"/>
  <c r="H14" i="2"/>
  <c r="H107" i="2" s="1"/>
  <c r="F14" i="2"/>
  <c r="H74" i="1"/>
  <c r="H13" i="1"/>
  <c r="K116" i="2" l="1"/>
  <c r="I10" i="2"/>
  <c r="J102" i="2"/>
  <c r="I30" i="8"/>
  <c r="K117" i="2"/>
  <c r="K10" i="2"/>
  <c r="I28" i="8"/>
  <c r="J10" i="2"/>
  <c r="F105" i="2"/>
  <c r="I103" i="2"/>
  <c r="I115" i="2" s="1"/>
  <c r="I121" i="2" s="1"/>
  <c r="E27" i="8"/>
  <c r="E68" i="1"/>
  <c r="E102" i="1" s="1"/>
  <c r="I83" i="1"/>
  <c r="I89" i="1" s="1"/>
  <c r="F71" i="1"/>
  <c r="F70" i="1"/>
  <c r="K26" i="8"/>
  <c r="F26" i="8" s="1"/>
  <c r="K68" i="1"/>
  <c r="K102" i="1" s="1"/>
  <c r="J68" i="1"/>
  <c r="J102" i="1" s="1"/>
  <c r="F84" i="1"/>
  <c r="F85" i="1"/>
  <c r="I26" i="8"/>
  <c r="I68" i="1"/>
  <c r="I102" i="1" s="1"/>
  <c r="F69" i="1"/>
  <c r="N26" i="8" s="1"/>
  <c r="K30" i="8"/>
  <c r="H82" i="1"/>
  <c r="F78" i="1"/>
  <c r="F82" i="1" s="1"/>
  <c r="G89" i="1"/>
  <c r="F73" i="1"/>
  <c r="N32" i="8"/>
  <c r="F11" i="2"/>
  <c r="H27" i="8"/>
  <c r="J115" i="2"/>
  <c r="J121" i="2" s="1"/>
  <c r="F113" i="2"/>
  <c r="F80" i="2"/>
  <c r="K114" i="2"/>
  <c r="J27" i="8"/>
  <c r="F33" i="8"/>
  <c r="J28" i="8"/>
  <c r="F106" i="2"/>
  <c r="N30" i="8" s="1"/>
  <c r="G30" i="8"/>
  <c r="G117" i="2"/>
  <c r="K102" i="2"/>
  <c r="K27" i="8"/>
  <c r="K115" i="2"/>
  <c r="H28" i="8"/>
  <c r="H116" i="2"/>
  <c r="F12" i="2"/>
  <c r="G104" i="2"/>
  <c r="G102" i="2" s="1"/>
  <c r="E116" i="2"/>
  <c r="E121" i="2" s="1"/>
  <c r="E28" i="8"/>
  <c r="G115" i="2"/>
  <c r="G27" i="8"/>
  <c r="H117" i="2"/>
  <c r="H30" i="8"/>
  <c r="I102" i="2"/>
  <c r="I27" i="8"/>
  <c r="G114" i="2"/>
  <c r="F111" i="2"/>
  <c r="F32" i="8"/>
  <c r="H10" i="2"/>
  <c r="F120" i="2"/>
  <c r="F119" i="2"/>
  <c r="H118" i="2"/>
  <c r="F107" i="2"/>
  <c r="H102" i="2"/>
  <c r="F74" i="1"/>
  <c r="H68" i="1"/>
  <c r="H102" i="1" s="1"/>
  <c r="H31" i="8"/>
  <c r="H86" i="1"/>
  <c r="F103" i="2" l="1"/>
  <c r="K121" i="2"/>
  <c r="J25" i="8"/>
  <c r="F10" i="2"/>
  <c r="N102" i="2" s="1"/>
  <c r="E25" i="8"/>
  <c r="N27" i="8"/>
  <c r="I25" i="8"/>
  <c r="F83" i="1"/>
  <c r="F30" i="8"/>
  <c r="K25" i="8"/>
  <c r="F114" i="2"/>
  <c r="F27" i="8"/>
  <c r="F115" i="2"/>
  <c r="F117" i="2"/>
  <c r="G28" i="8"/>
  <c r="F28" i="8" s="1"/>
  <c r="F104" i="2"/>
  <c r="N28" i="8" s="1"/>
  <c r="G116" i="2"/>
  <c r="F116" i="2" s="1"/>
  <c r="H121" i="2"/>
  <c r="F118" i="2"/>
  <c r="F86" i="1"/>
  <c r="F89" i="1" s="1"/>
  <c r="H89" i="1"/>
  <c r="F31" i="8"/>
  <c r="H25" i="8"/>
  <c r="N31" i="8"/>
  <c r="F68" i="1"/>
  <c r="F102" i="1" s="1"/>
  <c r="F102" i="2" l="1"/>
  <c r="G25" i="8"/>
  <c r="F25" i="8" s="1"/>
  <c r="F121" i="2"/>
  <c r="G121" i="2"/>
</calcChain>
</file>

<file path=xl/sharedStrings.xml><?xml version="1.0" encoding="utf-8"?>
<sst xmlns="http://schemas.openxmlformats.org/spreadsheetml/2006/main" count="965" uniqueCount="371">
  <si>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</si>
  <si>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</si>
  <si>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</si>
  <si>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</si>
  <si>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</si>
  <si>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</si>
  <si>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</si>
  <si>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</si>
  <si>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</si>
  <si>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</si>
  <si>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</si>
  <si>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</si>
  <si>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</si>
  <si>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</si>
  <si>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</si>
  <si>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</si>
  <si>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</si>
  <si>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</si>
  <si>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</si>
  <si>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</si>
  <si>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</si>
  <si>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</si>
  <si>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</si>
  <si>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</si>
  <si>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</si>
  <si>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</si>
  <si>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</si>
  <si>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</si>
  <si>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</si>
  <si>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</si>
  <si>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</si>
  <si>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</si>
  <si>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</si>
  <si>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</si>
  <si>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</si>
  <si>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</si>
  <si>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</si>
  <si>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</si>
  <si>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</si>
  <si>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</si>
  <si>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</si>
  <si>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</si>
  <si>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</si>
  <si>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</si>
  <si>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</si>
  <si>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</si>
  <si>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</si>
  <si>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</si>
  <si>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</si>
  <si>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</si>
  <si>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</si>
  <si>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</si>
  <si>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</si>
  <si>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</si>
  <si>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</si>
  <si>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</si>
  <si>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</si>
  <si>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</si>
  <si>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</si>
  <si>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</si>
  <si>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</si>
  <si>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</si>
  <si>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</si>
  <si>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</si>
  <si>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</si>
  <si>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</si>
  <si>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</si>
  <si>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>Мероприятие 3.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</si>
  <si>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4.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</si>
  <si>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</si>
  <si>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</si>
  <si>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</si>
  <si>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</si>
  <si>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</si>
  <si>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</si>
  <si>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</si>
  <si>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</si>
  <si>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</si>
  <si>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</si>
  <si>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</si>
  <si>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</si>
  <si>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</si>
  <si>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</si>
  <si>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</si>
  <si>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 xml:space="preserve">Г.Б. Кувшинникова    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</si>
  <si>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</si>
  <si>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</si>
  <si>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</si>
  <si>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</si>
  <si>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</si>
  <si>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</si>
  <si>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</si>
  <si>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</si>
  <si>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</si>
  <si>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</si>
  <si>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</si>
  <si>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</si>
  <si>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</si>
  <si>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</si>
  <si>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Управление все расходы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</si>
  <si>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</si>
  <si>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</si>
  <si>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</si>
  <si>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</si>
  <si>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</si>
  <si>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</si>
  <si>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</si>
  <si>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</si>
  <si>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</si>
  <si>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</si>
  <si>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</si>
  <si>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</si>
  <si>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</si>
  <si>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</si>
  <si>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</si>
  <si>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</si>
  <si>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</si>
  <si>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</si>
  <si>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</si>
  <si>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</si>
  <si>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</si>
  <si>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</si>
  <si>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</si>
  <si>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</si>
  <si>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</si>
  <si>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</si>
  <si>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</si>
  <si>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</si>
  <si>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</si>
  <si>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</si>
  <si>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</si>
  <si>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</si>
  <si>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</si>
  <si>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</si>
  <si>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</si>
  <si>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</si>
  <si>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 xml:space="preserve">Количество обучающихся на один компьютер в муниципальных учреждениях составит 7 человек. Наличие школьных локальных сетей в 100% муниципальных общеобразовательных учреждениях, оснащение компьтерным оборудованием 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</si>
  <si>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</si>
  <si>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</si>
  <si>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</si>
  <si>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</si>
  <si>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</si>
  <si>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</si>
  <si>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</si>
  <si>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</si>
  <si>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</si>
  <si>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</si>
  <si>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</si>
  <si>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</si>
  <si>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</si>
  <si>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</si>
  <si>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</si>
  <si>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</si>
  <si>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</si>
  <si>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</si>
  <si>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</si>
  <si>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</si>
  <si>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</si>
  <si>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</si>
  <si>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</si>
  <si>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5.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</si>
  <si>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</si>
  <si>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</si>
  <si>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</si>
  <si>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</si>
  <si>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</si>
  <si>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</si>
  <si>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</si>
  <si>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</si>
  <si>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</si>
  <si>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</si>
  <si>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</si>
  <si>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</si>
  <si>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</si>
  <si>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</si>
  <si>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</si>
  <si>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</si>
  <si>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</si>
  <si>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</si>
  <si>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</si>
  <si>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</si>
  <si>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</si>
  <si>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</si>
  <si>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</si>
  <si>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</si>
  <si>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</si>
  <si>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</si>
  <si>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</si>
  <si>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</si>
  <si>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</si>
  <si>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</si>
  <si>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</si>
  <si>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</si>
  <si>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</si>
  <si>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 xml:space="preserve">Мероприятие 6.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            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</si>
  <si>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</si>
  <si>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</si>
  <si>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</si>
  <si>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</si>
  <si>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</si>
  <si>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</si>
  <si>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</si>
  <si>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</si>
  <si>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</si>
  <si>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21. 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</si>
  <si>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</si>
  <si>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</si>
  <si>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</si>
  <si>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</si>
  <si>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</si>
  <si>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</si>
  <si>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</si>
  <si>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</si>
  <si>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</si>
  <si>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</si>
  <si>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</si>
  <si>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</si>
  <si>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</si>
  <si>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</si>
  <si>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</si>
  <si>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</si>
  <si>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</si>
  <si>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</si>
  <si>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</si>
  <si>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</si>
  <si>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</si>
  <si>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</si>
  <si>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</si>
  <si>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</si>
  <si>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</si>
  <si>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</si>
  <si>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</si>
  <si>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</si>
  <si>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</si>
  <si>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</si>
  <si>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</si>
  <si>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</si>
  <si>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</si>
  <si>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</si>
  <si>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</si>
  <si>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</si>
  <si>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</si>
  <si>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</si>
  <si>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</si>
  <si>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</si>
  <si>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</si>
  <si>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</si>
  <si>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</si>
  <si>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</si>
  <si>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путевки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</si>
  <si>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</si>
  <si>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</si>
  <si>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</si>
  <si>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>Мероприятие 56. Г.п. Одинцово, микрорайон №6. Строительство школы на 1100 мест</t>
  </si>
  <si>
    <t xml:space="preserve"> -</t>
  </si>
  <si>
    <t>3.8</t>
  </si>
  <si>
    <t>Мероприятие 61. Московская область, Одинцовский район, сельское поселение Жаворонковское, с. Перхушково</t>
  </si>
  <si>
    <t>Мероприятие 60. Одинцовский м.р., с.п. Жаворонковское, д. Зайцево</t>
  </si>
  <si>
    <t>Мероприятие 58. Одинцовский район, р.п. Заречье</t>
  </si>
  <si>
    <t>3.10</t>
  </si>
  <si>
    <t>2019-2020 годы</t>
  </si>
  <si>
    <t>2018-2019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</si>
  <si>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</si>
  <si>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</si>
  <si>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</si>
  <si>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</si>
  <si>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</si>
  <si>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</si>
  <si>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</si>
  <si>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</si>
  <si>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</si>
  <si>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</si>
  <si>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</si>
  <si>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</si>
  <si>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</si>
  <si>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</si>
  <si>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</si>
  <si>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</si>
  <si>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</si>
  <si>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2017-2020 годы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</si>
  <si>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</si>
  <si>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</si>
  <si>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</si>
  <si>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</si>
  <si>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</si>
  <si>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</si>
  <si>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</si>
  <si>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</si>
  <si>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</si>
  <si>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</si>
  <si>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2017-2025 годы </t>
  </si>
  <si>
    <t>Мероприятие 55. Строительство. Пристройка на 500 мест к МБОУ "Одинцовская гимназия № 14" по адресу: Московская область, г. Одинцово, б-р Маршала Крылова, д. 5</t>
  </si>
  <si>
    <t>Мероприятие 57. Учебный блок (пристройка) к существующему зданию МБОУ "Успенская средняя общеобразовательная школа" по адресу: Московская область, Одинцовский район, с. Успенское, д.50А</t>
  </si>
  <si>
    <t>3.9</t>
  </si>
  <si>
    <t>Приобретение автобусов для доставки обучающихся в общеобразовательные организации (2018 -  Часцовская СОШ)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</si>
  <si>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</si>
  <si>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</si>
  <si>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</si>
  <si>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Мероприятие 53. Строительство. Детский сад на 380 мест по адресу: Московская область, Одинцовский район, с. Лайково (ПИР и строительство)</t>
  </si>
  <si>
    <t>2018-2020 годы</t>
  </si>
  <si>
    <t>Мероприятие 54. Строительство. Детский сад на 360 мест по адресу: Московская область, Одинцовский район, с. Лайково (ПИР и строительство)</t>
  </si>
  <si>
    <t>2019-2021 годы</t>
  </si>
  <si>
    <t>Мероприятие 55. Строительство. г. Одинцово, мкр. Отрадное, ул. Северная, детский сад на 280 мест</t>
  </si>
  <si>
    <t>Барвихинская средняя общеобразовательная школа по адресу:  Московская область, Одинцовский район, поселок Барвиха, дом 41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</si>
  <si>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</si>
  <si>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</si>
  <si>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</si>
  <si>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</si>
  <si>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 xml:space="preserve">     Строительство новых зданий, пристроек и реконструкция действующих зданий (9 объектов): 2017 год - 2 объекта, 2018 год - 2 объекта, 2019 год - 2 объекта, 2020 год - 3 объект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</si>
  <si>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</si>
  <si>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</si>
  <si>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</si>
  <si>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 xml:space="preserve">Приложение № 1 к муниципальной программе 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</si>
  <si>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</si>
  <si>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</si>
  <si>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</si>
  <si>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</si>
  <si>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</si>
  <si>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</si>
  <si>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</si>
  <si>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</si>
  <si>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</si>
  <si>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Проведен капитальный ремонт стадиона на территории МБОУ Барвихинская СОШ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</si>
  <si>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</si>
  <si>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</si>
  <si>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</si>
  <si>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</si>
  <si>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</si>
  <si>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</si>
  <si>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</si>
  <si>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</si>
  <si>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</si>
  <si>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</si>
  <si>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</si>
  <si>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</si>
  <si>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</si>
  <si>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</si>
  <si>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</si>
  <si>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</si>
  <si>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</si>
  <si>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</si>
  <si>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Строительство новых зданий, пристроек и реконструкция действующих зданий (4 объекта): 2018 год - 1 объекта, 2019 год - 1 объект, 2020 год - 1 объект, 2021 год - 1 объект)</t>
  </si>
  <si>
    <t>приобретение мебели ДОУ 75</t>
  </si>
  <si>
    <t>1903,490 Одинбург</t>
  </si>
  <si>
    <t>Больш.Вязём ДОУ70 + 700 000,00 Успенская СОШ - 1195000,00</t>
  </si>
  <si>
    <t xml:space="preserve">Мероприятие 54. Строительство. Средняя общеобразовательная школа на 600 мест по адресу: Московская область, Одинцовский район, с.п. Горское, п. Горки-2 (ПИР) </t>
  </si>
  <si>
    <t>плюс 100</t>
  </si>
  <si>
    <t xml:space="preserve"> Успенс плюс 952,251 ДОУ 52 с ремонта на оснощение муз зала</t>
  </si>
  <si>
    <t>плюс 410 ДОУ 3</t>
  </si>
  <si>
    <t xml:space="preserve"> плюс 2 343,524 лесногородская</t>
  </si>
  <si>
    <t xml:space="preserve">успенская сош приобретение </t>
  </si>
  <si>
    <t>сняли экономию</t>
  </si>
  <si>
    <t>сняли на</t>
  </si>
  <si>
    <t>плюс 346</t>
  </si>
  <si>
    <t>добавили 86,124 сют задолж с барвихи</t>
  </si>
  <si>
    <t>добавили охрану с хэс</t>
  </si>
  <si>
    <t>сняли охрану с хэс</t>
  </si>
  <si>
    <t>добавили 426,386</t>
  </si>
  <si>
    <t>395 часцы 31,386 УО авария</t>
  </si>
  <si>
    <t>сняли ДОУ 52 на приобретнение, 372,708 мебель успенка</t>
  </si>
  <si>
    <t>Администрация средства федерального бюджета</t>
  </si>
  <si>
    <t>добавили 253,609</t>
  </si>
  <si>
    <t>убрали</t>
  </si>
  <si>
    <t>убрали 88,268</t>
  </si>
  <si>
    <t>убрали 1290,474</t>
  </si>
  <si>
    <t xml:space="preserve">Приложение № 3
к постановлению Администрации Одинцовского 
муниципального района Московской области
от «___» __________ 2017 № ______
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</si>
  <si>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</si>
  <si>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</si>
  <si>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>«</t>
  </si>
  <si>
    <t>».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</si>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</sst>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#,##0.0000"/>
    <numFmt numFmtId="167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844">
    <xf numFmtId="0" fontId="0" fillId="0" borderId="0" xfId="0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5" fillId="3" borderId="0" xfId="1" applyFont="1" applyFill="1"/>
    <xf numFmtId="0" fontId="5" fillId="0" borderId="0" xfId="1" applyFont="1" applyFill="1" applyAlignment="1"/>
    <xf numFmtId="0" fontId="5" fillId="2" borderId="0" xfId="1" applyFont="1" applyFill="1" applyAlignment="1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8" fillId="3" borderId="0" xfId="7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5" fillId="0" borderId="0" xfId="7" applyNumberFormat="1" applyFont="1" applyFill="1" applyBorder="1" applyAlignment="1" applyProtection="1">
      <alignment vertical="top" wrapText="1"/>
    </xf>
    <xf numFmtId="0" fontId="5" fillId="3" borderId="0" xfId="7" applyNumberFormat="1" applyFont="1" applyFill="1" applyBorder="1" applyAlignment="1" applyProtection="1">
      <alignment vertical="top"/>
    </xf>
    <xf numFmtId="0" fontId="7" fillId="2" borderId="0" xfId="7" applyNumberFormat="1" applyFont="1" applyFill="1" applyBorder="1" applyAlignment="1" applyProtection="1">
      <alignment horizontal="center" vertical="top"/>
    </xf>
    <xf numFmtId="0" fontId="8" fillId="13" borderId="2" xfId="7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6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2" borderId="2" xfId="4" applyNumberFormat="1" applyFont="1" applyFill="1" applyBorder="1" applyAlignment="1" applyProtection="1">
      <alignment horizontal="center" vertical="top"/>
    </xf>
    <xf numFmtId="49" fontId="8" fillId="13" borderId="2" xfId="4" applyNumberFormat="1" applyFont="1" applyFill="1" applyBorder="1" applyAlignment="1" applyProtection="1">
      <alignment horizontal="center" vertical="top"/>
    </xf>
    <xf numFmtId="49" fontId="8" fillId="0" borderId="27" xfId="4" applyNumberFormat="1" applyFont="1" applyFill="1" applyBorder="1" applyAlignment="1" applyProtection="1">
      <alignment horizontal="center" vertical="top"/>
    </xf>
    <xf numFmtId="0" fontId="8" fillId="0" borderId="2" xfId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8" fillId="12" borderId="2" xfId="1" applyNumberFormat="1" applyFont="1" applyFill="1" applyBorder="1" applyAlignment="1">
      <alignment horizontal="center" vertical="center"/>
    </xf>
    <xf numFmtId="165" fontId="8" fillId="13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8" fillId="12" borderId="2" xfId="1" applyNumberFormat="1" applyFont="1" applyFill="1" applyBorder="1" applyAlignment="1">
      <alignment horizontal="center" vertical="center" wrapText="1"/>
    </xf>
    <xf numFmtId="165" fontId="9" fillId="13" borderId="2" xfId="1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5" fontId="9" fillId="3" borderId="2" xfId="1" applyNumberFormat="1" applyFont="1" applyFill="1" applyBorder="1" applyAlignment="1">
      <alignment horizontal="center" vertical="center"/>
    </xf>
    <xf numFmtId="165" fontId="9" fillId="13" borderId="2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7" fontId="6" fillId="0" borderId="0" xfId="0" applyNumberFormat="1" applyFont="1"/>
    <xf numFmtId="0" fontId="8" fillId="4" borderId="2" xfId="7" applyNumberFormat="1" applyFont="1" applyFill="1" applyBorder="1" applyAlignment="1" applyProtection="1">
      <alignment horizontal="center" vertical="center" wrapText="1"/>
    </xf>
    <xf numFmtId="165" fontId="8" fillId="4" borderId="2" xfId="7" applyNumberFormat="1" applyFont="1" applyFill="1" applyBorder="1" applyAlignment="1" applyProtection="1">
      <alignment horizontal="center" vertical="center" wrapText="1"/>
    </xf>
    <xf numFmtId="165" fontId="8" fillId="12" borderId="2" xfId="7" applyNumberFormat="1" applyFont="1" applyFill="1" applyBorder="1" applyAlignment="1" applyProtection="1">
      <alignment horizontal="center" vertical="center" wrapText="1"/>
    </xf>
    <xf numFmtId="165" fontId="8" fillId="13" borderId="2" xfId="7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/>
    <xf numFmtId="0" fontId="8" fillId="4" borderId="2" xfId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horizontal="center" vertical="center" wrapText="1"/>
    </xf>
    <xf numFmtId="165" fontId="8" fillId="13" borderId="2" xfId="1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16" fontId="8" fillId="4" borderId="8" xfId="7" applyNumberFormat="1" applyFont="1" applyFill="1" applyBorder="1" applyAlignment="1" applyProtection="1">
      <alignment horizontal="left" vertical="top" wrapText="1"/>
    </xf>
    <xf numFmtId="0" fontId="9" fillId="4" borderId="34" xfId="7" applyNumberFormat="1" applyFont="1" applyFill="1" applyBorder="1" applyAlignment="1" applyProtection="1">
      <alignment horizontal="center" wrapText="1"/>
    </xf>
    <xf numFmtId="49" fontId="8" fillId="4" borderId="26" xfId="7" applyNumberFormat="1" applyFont="1" applyFill="1" applyBorder="1" applyAlignment="1" applyProtection="1">
      <alignment horizontal="center" vertical="top"/>
    </xf>
    <xf numFmtId="0" fontId="8" fillId="4" borderId="2" xfId="7" applyNumberFormat="1" applyFont="1" applyFill="1" applyBorder="1" applyAlignment="1" applyProtection="1">
      <alignment horizontal="left" vertical="top" wrapText="1"/>
    </xf>
    <xf numFmtId="0" fontId="6" fillId="7" borderId="0" xfId="0" applyFont="1" applyFill="1"/>
    <xf numFmtId="0" fontId="6" fillId="10" borderId="0" xfId="0" applyFont="1" applyFill="1"/>
    <xf numFmtId="165" fontId="6" fillId="7" borderId="0" xfId="0" applyNumberFormat="1" applyFont="1" applyFill="1"/>
    <xf numFmtId="165" fontId="6" fillId="8" borderId="0" xfId="0" applyNumberFormat="1" applyFont="1" applyFill="1"/>
    <xf numFmtId="49" fontId="8" fillId="4" borderId="30" xfId="7" applyNumberFormat="1" applyFont="1" applyFill="1" applyBorder="1" applyAlignment="1" applyProtection="1">
      <alignment horizontal="center" vertical="top" wrapText="1"/>
    </xf>
    <xf numFmtId="164" fontId="8" fillId="4" borderId="6" xfId="1" applyNumberFormat="1" applyFont="1" applyFill="1" applyBorder="1" applyAlignment="1">
      <alignment horizontal="left" vertical="top" wrapText="1"/>
    </xf>
    <xf numFmtId="0" fontId="6" fillId="7" borderId="0" xfId="0" applyFont="1" applyFill="1" applyAlignment="1"/>
    <xf numFmtId="1" fontId="8" fillId="4" borderId="4" xfId="4" applyNumberFormat="1" applyFont="1" applyFill="1" applyBorder="1" applyAlignment="1">
      <alignment vertical="top" wrapText="1"/>
    </xf>
    <xf numFmtId="0" fontId="9" fillId="4" borderId="2" xfId="1" applyFont="1" applyFill="1" applyBorder="1" applyAlignment="1">
      <alignment horizontal="center" vertical="center" wrapText="1"/>
    </xf>
    <xf numFmtId="49" fontId="8" fillId="4" borderId="26" xfId="7" applyNumberFormat="1" applyFont="1" applyFill="1" applyBorder="1" applyAlignment="1" applyProtection="1">
      <alignment horizontal="center" vertical="top" wrapText="1"/>
    </xf>
    <xf numFmtId="0" fontId="8" fillId="4" borderId="4" xfId="1" applyFont="1" applyFill="1" applyBorder="1" applyAlignment="1">
      <alignment vertical="top" wrapText="1"/>
    </xf>
    <xf numFmtId="49" fontId="8" fillId="4" borderId="2" xfId="7" applyNumberFormat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166" fontId="8" fillId="4" borderId="2" xfId="7" applyNumberFormat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 shrinkToFi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165" fontId="8" fillId="4" borderId="2" xfId="4" applyNumberFormat="1" applyFont="1" applyFill="1" applyBorder="1" applyAlignment="1" applyProtection="1">
      <alignment horizontal="center" vertical="center"/>
    </xf>
    <xf numFmtId="165" fontId="8" fillId="12" borderId="2" xfId="4" applyNumberFormat="1" applyFont="1" applyFill="1" applyBorder="1" applyAlignment="1" applyProtection="1">
      <alignment horizontal="center" vertical="center"/>
    </xf>
    <xf numFmtId="165" fontId="8" fillId="13" borderId="2" xfId="4" applyNumberFormat="1" applyFont="1" applyFill="1" applyBorder="1" applyAlignment="1" applyProtection="1">
      <alignment horizontal="center" vertical="center"/>
    </xf>
    <xf numFmtId="165" fontId="8" fillId="4" borderId="2" xfId="4" applyNumberFormat="1" applyFont="1" applyFill="1" applyBorder="1" applyAlignment="1" applyProtection="1">
      <alignment horizontal="center" vertical="center" wrapText="1"/>
    </xf>
    <xf numFmtId="165" fontId="8" fillId="13" borderId="2" xfId="4" applyNumberFormat="1" applyFont="1" applyFill="1" applyBorder="1" applyAlignment="1" applyProtection="1">
      <alignment horizontal="center" vertical="center" wrapText="1"/>
    </xf>
    <xf numFmtId="164" fontId="11" fillId="4" borderId="2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left" vertical="top" wrapText="1"/>
    </xf>
    <xf numFmtId="164" fontId="9" fillId="4" borderId="2" xfId="4" applyNumberFormat="1" applyFont="1" applyFill="1" applyBorder="1" applyAlignment="1" applyProtection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 wrapText="1"/>
    </xf>
    <xf numFmtId="165" fontId="9" fillId="13" borderId="8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 applyProtection="1">
      <alignment horizontal="center" vertical="center" wrapText="1"/>
    </xf>
    <xf numFmtId="165" fontId="8" fillId="12" borderId="2" xfId="1" applyNumberFormat="1" applyFont="1" applyFill="1" applyBorder="1" applyAlignment="1" applyProtection="1">
      <alignment horizontal="center" vertical="center" wrapText="1"/>
    </xf>
    <xf numFmtId="165" fontId="9" fillId="13" borderId="2" xfId="1" applyNumberFormat="1" applyFont="1" applyFill="1" applyBorder="1" applyAlignment="1" applyProtection="1">
      <alignment horizontal="center" vertical="center" wrapText="1"/>
    </xf>
    <xf numFmtId="4" fontId="9" fillId="4" borderId="2" xfId="1" applyNumberFormat="1" applyFont="1" applyFill="1" applyBorder="1" applyAlignment="1" applyProtection="1">
      <alignment horizontal="center" vertical="center" wrapText="1"/>
    </xf>
    <xf numFmtId="165" fontId="5" fillId="4" borderId="2" xfId="1" applyNumberFormat="1" applyFont="1" applyFill="1" applyBorder="1" applyAlignment="1" applyProtection="1">
      <alignment horizontal="center" vertical="center" wrapText="1"/>
    </xf>
    <xf numFmtId="0" fontId="8" fillId="4" borderId="1" xfId="1" applyNumberFormat="1" applyFont="1" applyFill="1" applyBorder="1" applyAlignment="1" applyProtection="1">
      <alignment horizontal="center" vertical="center" wrapText="1"/>
    </xf>
    <xf numFmtId="165" fontId="8" fillId="12" borderId="6" xfId="1" applyNumberFormat="1" applyFont="1" applyFill="1" applyBorder="1" applyAlignment="1" applyProtection="1">
      <alignment horizontal="center" vertical="center" wrapText="1"/>
    </xf>
    <xf numFmtId="165" fontId="9" fillId="4" borderId="3" xfId="1" applyNumberFormat="1" applyFont="1" applyFill="1" applyBorder="1" applyAlignment="1" applyProtection="1">
      <alignment horizontal="center" vertical="center" wrapText="1"/>
    </xf>
    <xf numFmtId="165" fontId="8" fillId="5" borderId="2" xfId="7" applyNumberFormat="1" applyFont="1" applyFill="1" applyBorder="1" applyAlignment="1" applyProtection="1">
      <alignment horizontal="right" vertical="center" wrapText="1"/>
    </xf>
    <xf numFmtId="165" fontId="8" fillId="13" borderId="2" xfId="7" applyNumberFormat="1" applyFont="1" applyFill="1" applyBorder="1" applyAlignment="1" applyProtection="1">
      <alignment horizontal="right" vertical="center" wrapText="1"/>
    </xf>
    <xf numFmtId="0" fontId="9" fillId="5" borderId="2" xfId="1" applyFont="1" applyFill="1" applyBorder="1"/>
    <xf numFmtId="0" fontId="9" fillId="5" borderId="27" xfId="1" applyFont="1" applyFill="1" applyBorder="1" applyAlignment="1">
      <alignment vertical="center"/>
    </xf>
    <xf numFmtId="165" fontId="8" fillId="0" borderId="2" xfId="7" applyNumberFormat="1" applyFont="1" applyFill="1" applyBorder="1" applyAlignment="1" applyProtection="1">
      <alignment horizontal="right" vertical="center" wrapText="1"/>
    </xf>
    <xf numFmtId="0" fontId="9" fillId="0" borderId="2" xfId="1" applyFont="1" applyFill="1" applyBorder="1"/>
    <xf numFmtId="0" fontId="9" fillId="0" borderId="2" xfId="1" applyFont="1" applyBorder="1" applyAlignment="1">
      <alignment vertical="center"/>
    </xf>
    <xf numFmtId="165" fontId="8" fillId="0" borderId="2" xfId="1" applyNumberFormat="1" applyFont="1" applyFill="1" applyBorder="1" applyAlignment="1">
      <alignment horizontal="right" vertical="center"/>
    </xf>
    <xf numFmtId="165" fontId="8" fillId="13" borderId="2" xfId="1" applyNumberFormat="1" applyFont="1" applyFill="1" applyBorder="1" applyAlignment="1">
      <alignment horizontal="right" vertical="center"/>
    </xf>
    <xf numFmtId="165" fontId="12" fillId="0" borderId="2" xfId="0" applyNumberFormat="1" applyFont="1" applyBorder="1"/>
    <xf numFmtId="165" fontId="13" fillId="12" borderId="2" xfId="0" applyNumberFormat="1" applyFont="1" applyFill="1" applyBorder="1"/>
    <xf numFmtId="0" fontId="10" fillId="0" borderId="0" xfId="0" applyFont="1"/>
    <xf numFmtId="165" fontId="13" fillId="0" borderId="2" xfId="0" applyNumberFormat="1" applyFont="1" applyBorder="1"/>
    <xf numFmtId="165" fontId="6" fillId="12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12" borderId="0" xfId="0" applyNumberFormat="1" applyFont="1" applyFill="1"/>
    <xf numFmtId="0" fontId="6" fillId="12" borderId="0" xfId="0" applyFont="1" applyFill="1"/>
    <xf numFmtId="0" fontId="6" fillId="0" borderId="0" xfId="0" applyFont="1" applyFill="1"/>
    <xf numFmtId="0" fontId="5" fillId="12" borderId="0" xfId="1" applyFont="1" applyFill="1"/>
    <xf numFmtId="0" fontId="5" fillId="12" borderId="0" xfId="7" applyNumberFormat="1" applyFont="1" applyFill="1" applyBorder="1" applyAlignment="1" applyProtection="1">
      <alignment vertical="top"/>
    </xf>
    <xf numFmtId="0" fontId="8" fillId="0" borderId="2" xfId="11" applyNumberFormat="1" applyFont="1" applyFill="1" applyBorder="1" applyAlignment="1" applyProtection="1">
      <alignment horizontal="center" vertical="center" wrapText="1"/>
    </xf>
    <xf numFmtId="0" fontId="8" fillId="13" borderId="2" xfId="11" applyNumberFormat="1" applyFont="1" applyFill="1" applyBorder="1" applyAlignment="1" applyProtection="1">
      <alignment horizontal="center" vertical="center" wrapText="1"/>
    </xf>
    <xf numFmtId="164" fontId="7" fillId="2" borderId="0" xfId="4" applyNumberFormat="1" applyFont="1" applyFill="1" applyBorder="1" applyAlignment="1" applyProtection="1">
      <alignment horizontal="center" vertical="center" wrapText="1"/>
    </xf>
    <xf numFmtId="0" fontId="3" fillId="2" borderId="0" xfId="4" applyNumberFormat="1" applyFont="1" applyFill="1" applyBorder="1" applyAlignment="1" applyProtection="1">
      <alignment vertical="top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165" fontId="8" fillId="0" borderId="2" xfId="4" applyNumberFormat="1" applyFont="1" applyFill="1" applyBorder="1" applyAlignment="1" applyProtection="1">
      <alignment horizontal="center" vertical="center"/>
    </xf>
    <xf numFmtId="165" fontId="9" fillId="0" borderId="6" xfId="4" applyNumberFormat="1" applyFont="1" applyFill="1" applyBorder="1" applyAlignment="1" applyProtection="1">
      <alignment horizontal="center" vertical="center"/>
    </xf>
    <xf numFmtId="165" fontId="9" fillId="13" borderId="6" xfId="4" applyNumberFormat="1" applyFont="1" applyFill="1" applyBorder="1" applyAlignment="1" applyProtection="1">
      <alignment horizontal="center" vertical="center"/>
    </xf>
    <xf numFmtId="165" fontId="9" fillId="0" borderId="2" xfId="4" applyNumberFormat="1" applyFont="1" applyFill="1" applyBorder="1" applyAlignment="1" applyProtection="1">
      <alignment horizontal="center" vertical="center"/>
    </xf>
    <xf numFmtId="165" fontId="9" fillId="13" borderId="2" xfId="4" applyNumberFormat="1" applyFont="1" applyFill="1" applyBorder="1" applyAlignment="1" applyProtection="1">
      <alignment horizontal="center" vertical="center"/>
    </xf>
    <xf numFmtId="4" fontId="6" fillId="0" borderId="0" xfId="0" applyNumberFormat="1" applyFont="1"/>
    <xf numFmtId="49" fontId="8" fillId="4" borderId="26" xfId="4" applyNumberFormat="1" applyFont="1" applyFill="1" applyBorder="1" applyAlignment="1" applyProtection="1">
      <alignment horizontal="center" vertical="top"/>
    </xf>
    <xf numFmtId="0" fontId="8" fillId="4" borderId="2" xfId="4" applyNumberFormat="1" applyFont="1" applyFill="1" applyBorder="1" applyAlignment="1" applyProtection="1">
      <alignment horizontal="left" vertical="top" wrapText="1"/>
    </xf>
    <xf numFmtId="49" fontId="8" fillId="4" borderId="26" xfId="4" applyNumberFormat="1" applyFont="1" applyFill="1" applyBorder="1" applyAlignment="1" applyProtection="1">
      <alignment horizontal="center" vertical="top" wrapText="1"/>
    </xf>
    <xf numFmtId="165" fontId="8" fillId="4" borderId="6" xfId="4" applyNumberFormat="1" applyFont="1" applyFill="1" applyBorder="1" applyAlignment="1" applyProtection="1">
      <alignment horizontal="center" vertical="center"/>
    </xf>
    <xf numFmtId="165" fontId="8" fillId="13" borderId="6" xfId="4" applyNumberFormat="1" applyFont="1" applyFill="1" applyBorder="1" applyAlignment="1" applyProtection="1">
      <alignment horizontal="center" vertical="center"/>
    </xf>
    <xf numFmtId="164" fontId="9" fillId="4" borderId="27" xfId="4" applyNumberFormat="1" applyFont="1" applyFill="1" applyBorder="1" applyAlignment="1" applyProtection="1">
      <alignment horizontal="center" vertical="center" wrapText="1"/>
    </xf>
    <xf numFmtId="165" fontId="8" fillId="4" borderId="6" xfId="4" applyNumberFormat="1" applyFont="1" applyFill="1" applyBorder="1" applyAlignment="1" applyProtection="1">
      <alignment horizontal="center" vertical="center" wrapText="1"/>
    </xf>
    <xf numFmtId="165" fontId="8" fillId="13" borderId="6" xfId="4" applyNumberFormat="1" applyFont="1" applyFill="1" applyBorder="1" applyAlignment="1" applyProtection="1">
      <alignment horizontal="center" vertical="center" wrapText="1"/>
    </xf>
    <xf numFmtId="165" fontId="8" fillId="4" borderId="8" xfId="4" applyNumberFormat="1" applyFont="1" applyFill="1" applyBorder="1" applyAlignment="1" applyProtection="1">
      <alignment horizontal="center" vertical="center" wrapText="1"/>
    </xf>
    <xf numFmtId="165" fontId="8" fillId="13" borderId="8" xfId="4" applyNumberFormat="1" applyFont="1" applyFill="1" applyBorder="1" applyAlignment="1" applyProtection="1">
      <alignment horizontal="center" vertical="center" wrapText="1"/>
    </xf>
    <xf numFmtId="0" fontId="8" fillId="4" borderId="8" xfId="7" applyNumberFormat="1" applyFont="1" applyFill="1" applyBorder="1" applyAlignment="1" applyProtection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165" fontId="8" fillId="13" borderId="8" xfId="1" applyNumberFormat="1" applyFont="1" applyFill="1" applyBorder="1" applyAlignment="1">
      <alignment horizontal="center" vertical="center" wrapText="1"/>
    </xf>
    <xf numFmtId="165" fontId="8" fillId="4" borderId="8" xfId="4" applyNumberFormat="1" applyFont="1" applyFill="1" applyBorder="1" applyAlignment="1" applyProtection="1">
      <alignment horizontal="center" vertical="center"/>
    </xf>
    <xf numFmtId="165" fontId="8" fillId="12" borderId="8" xfId="4" applyNumberFormat="1" applyFont="1" applyFill="1" applyBorder="1" applyAlignment="1" applyProtection="1">
      <alignment horizontal="center" vertical="center"/>
    </xf>
    <xf numFmtId="0" fontId="12" fillId="11" borderId="0" xfId="0" applyFont="1" applyFill="1"/>
    <xf numFmtId="164" fontId="8" fillId="4" borderId="2" xfId="10" applyNumberFormat="1" applyFont="1" applyFill="1" applyBorder="1" applyAlignment="1">
      <alignment horizontal="left" vertical="top" wrapText="1"/>
    </xf>
    <xf numFmtId="165" fontId="8" fillId="4" borderId="2" xfId="4" applyNumberFormat="1" applyFont="1" applyFill="1" applyBorder="1" applyAlignment="1">
      <alignment horizontal="center" vertical="center" wrapText="1"/>
    </xf>
    <xf numFmtId="165" fontId="8" fillId="13" borderId="2" xfId="4" applyNumberFormat="1" applyFont="1" applyFill="1" applyBorder="1" applyAlignment="1">
      <alignment horizontal="center" vertical="center" wrapText="1"/>
    </xf>
    <xf numFmtId="165" fontId="8" fillId="4" borderId="2" xfId="11" applyNumberFormat="1" applyFont="1" applyFill="1" applyBorder="1" applyAlignment="1" applyProtection="1">
      <alignment horizontal="center" vertical="center" wrapText="1"/>
    </xf>
    <xf numFmtId="0" fontId="8" fillId="4" borderId="4" xfId="7" applyNumberFormat="1" applyFont="1" applyFill="1" applyBorder="1" applyAlignment="1" applyProtection="1">
      <alignment horizontal="center" vertical="center" wrapText="1"/>
    </xf>
    <xf numFmtId="49" fontId="8" fillId="4" borderId="26" xfId="2" applyNumberFormat="1" applyFont="1" applyFill="1" applyBorder="1" applyAlignment="1" applyProtection="1">
      <alignment horizontal="center" vertical="top"/>
    </xf>
    <xf numFmtId="0" fontId="8" fillId="4" borderId="2" xfId="2" applyNumberFormat="1" applyFont="1" applyFill="1" applyBorder="1" applyAlignment="1" applyProtection="1">
      <alignment vertical="top" wrapText="1"/>
    </xf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8" fillId="4" borderId="2" xfId="2" applyNumberFormat="1" applyFont="1" applyFill="1" applyBorder="1" applyAlignment="1" applyProtection="1">
      <alignment horizontal="center" vertical="center"/>
    </xf>
    <xf numFmtId="165" fontId="8" fillId="12" borderId="2" xfId="2" applyNumberFormat="1" applyFont="1" applyFill="1" applyBorder="1" applyAlignment="1" applyProtection="1">
      <alignment horizontal="center" vertical="center"/>
    </xf>
    <xf numFmtId="165" fontId="8" fillId="13" borderId="2" xfId="2" applyNumberFormat="1" applyFont="1" applyFill="1" applyBorder="1" applyAlignment="1" applyProtection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5" fontId="9" fillId="0" borderId="2" xfId="3" applyNumberFormat="1" applyFont="1" applyFill="1" applyBorder="1" applyAlignment="1" applyProtection="1">
      <alignment horizontal="center" vertical="center" wrapText="1"/>
    </xf>
    <xf numFmtId="165" fontId="8" fillId="12" borderId="2" xfId="3" applyNumberFormat="1" applyFont="1" applyFill="1" applyBorder="1" applyAlignment="1" applyProtection="1">
      <alignment horizontal="center" vertical="center" wrapText="1"/>
    </xf>
    <xf numFmtId="165" fontId="9" fillId="13" borderId="2" xfId="3" applyNumberFormat="1" applyFont="1" applyFill="1" applyBorder="1" applyAlignment="1" applyProtection="1">
      <alignment horizontal="center" vertical="center" wrapText="1"/>
    </xf>
    <xf numFmtId="0" fontId="14" fillId="0" borderId="27" xfId="3" applyNumberFormat="1" applyFont="1" applyFill="1" applyBorder="1" applyAlignment="1" applyProtection="1">
      <alignment horizontal="center" vertical="top" wrapText="1"/>
    </xf>
    <xf numFmtId="49" fontId="14" fillId="4" borderId="30" xfId="3" applyNumberFormat="1" applyFont="1" applyFill="1" applyBorder="1" applyAlignment="1" applyProtection="1">
      <alignment horizontal="center" vertical="top" wrapText="1"/>
    </xf>
    <xf numFmtId="0" fontId="14" fillId="4" borderId="2" xfId="3" applyNumberFormat="1" applyFont="1" applyFill="1" applyBorder="1" applyAlignment="1" applyProtection="1">
      <alignment horizontal="left" vertical="top" wrapText="1"/>
    </xf>
    <xf numFmtId="165" fontId="14" fillId="4" borderId="2" xfId="3" applyNumberFormat="1" applyFont="1" applyFill="1" applyBorder="1" applyAlignment="1" applyProtection="1">
      <alignment horizontal="center" vertical="center" wrapText="1"/>
    </xf>
    <xf numFmtId="165" fontId="14" fillId="12" borderId="2" xfId="3" applyNumberFormat="1" applyFont="1" applyFill="1" applyBorder="1" applyAlignment="1" applyProtection="1">
      <alignment horizontal="center" vertical="center" wrapText="1"/>
    </xf>
    <xf numFmtId="165" fontId="14" fillId="13" borderId="2" xfId="3" applyNumberFormat="1" applyFont="1" applyFill="1" applyBorder="1" applyAlignment="1" applyProtection="1">
      <alignment horizontal="center" vertical="center" wrapText="1"/>
    </xf>
    <xf numFmtId="49" fontId="14" fillId="4" borderId="26" xfId="3" applyNumberFormat="1" applyFont="1" applyFill="1" applyBorder="1" applyAlignment="1" applyProtection="1">
      <alignment horizontal="center" vertical="top" wrapText="1"/>
    </xf>
    <xf numFmtId="0" fontId="14" fillId="4" borderId="8" xfId="3" applyNumberFormat="1" applyFont="1" applyFill="1" applyBorder="1" applyAlignment="1" applyProtection="1">
      <alignment horizontal="left" vertical="top" wrapText="1"/>
    </xf>
    <xf numFmtId="165" fontId="14" fillId="4" borderId="8" xfId="3" applyNumberFormat="1" applyFont="1" applyFill="1" applyBorder="1" applyAlignment="1" applyProtection="1">
      <alignment horizontal="center" vertical="center" wrapText="1"/>
    </xf>
    <xf numFmtId="165" fontId="14" fillId="12" borderId="8" xfId="3" applyNumberFormat="1" applyFont="1" applyFill="1" applyBorder="1" applyAlignment="1" applyProtection="1">
      <alignment horizontal="center" vertical="center" wrapText="1"/>
    </xf>
    <xf numFmtId="165" fontId="14" fillId="13" borderId="8" xfId="3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13" borderId="2" xfId="1" applyNumberFormat="1" applyFont="1" applyFill="1" applyBorder="1" applyAlignment="1" applyProtection="1">
      <alignment horizontal="center" vertical="center" wrapText="1"/>
    </xf>
    <xf numFmtId="165" fontId="9" fillId="3" borderId="2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8" fillId="12" borderId="2" xfId="0" applyNumberFormat="1" applyFont="1" applyFill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9" fillId="13" borderId="3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13" borderId="2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/>
    </xf>
    <xf numFmtId="165" fontId="8" fillId="12" borderId="2" xfId="0" applyNumberFormat="1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13" borderId="12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165" fontId="9" fillId="13" borderId="12" xfId="0" applyNumberFormat="1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5" fontId="8" fillId="12" borderId="3" xfId="0" applyNumberFormat="1" applyFont="1" applyFill="1" applyBorder="1" applyAlignment="1">
      <alignment horizontal="center" vertical="center"/>
    </xf>
    <xf numFmtId="165" fontId="9" fillId="13" borderId="12" xfId="0" applyNumberFormat="1" applyFont="1" applyFill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4" fontId="5" fillId="13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165" fontId="5" fillId="13" borderId="12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165" fontId="8" fillId="5" borderId="2" xfId="4" applyNumberFormat="1" applyFont="1" applyFill="1" applyBorder="1" applyAlignment="1">
      <alignment horizontal="right" vertical="center" wrapText="1"/>
    </xf>
    <xf numFmtId="165" fontId="8" fillId="13" borderId="2" xfId="4" applyNumberFormat="1" applyFont="1" applyFill="1" applyBorder="1" applyAlignment="1">
      <alignment horizontal="right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8" fillId="5" borderId="2" xfId="4" applyNumberFormat="1" applyFont="1" applyFill="1" applyBorder="1" applyAlignment="1">
      <alignment horizontal="left" vertical="top" wrapText="1" indent="1"/>
    </xf>
    <xf numFmtId="165" fontId="8" fillId="0" borderId="2" xfId="4" applyNumberFormat="1" applyFont="1" applyFill="1" applyBorder="1" applyAlignment="1" applyProtection="1">
      <alignment horizontal="right" vertical="center"/>
    </xf>
    <xf numFmtId="165" fontId="8" fillId="13" borderId="2" xfId="4" applyNumberFormat="1" applyFont="1" applyFill="1" applyBorder="1" applyAlignment="1" applyProtection="1">
      <alignment horizontal="right" vertical="center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8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2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165" fontId="12" fillId="0" borderId="2" xfId="0" applyNumberFormat="1" applyFont="1" applyFill="1" applyBorder="1"/>
    <xf numFmtId="4" fontId="6" fillId="0" borderId="0" xfId="0" applyNumberFormat="1" applyFont="1" applyFill="1"/>
    <xf numFmtId="49" fontId="8" fillId="13" borderId="2" xfId="2" applyNumberFormat="1" applyFont="1" applyFill="1" applyBorder="1" applyAlignment="1" applyProtection="1">
      <alignment horizontal="center" vertical="center" wrapText="1"/>
    </xf>
    <xf numFmtId="165" fontId="9" fillId="0" borderId="2" xfId="2" applyNumberFormat="1" applyFont="1" applyFill="1" applyBorder="1" applyAlignment="1" applyProtection="1">
      <alignment horizontal="center" vertical="center" wrapText="1"/>
    </xf>
    <xf numFmtId="165" fontId="8" fillId="12" borderId="2" xfId="2" applyNumberFormat="1" applyFont="1" applyFill="1" applyBorder="1" applyAlignment="1" applyProtection="1">
      <alignment horizontal="center" vertical="center" wrapText="1"/>
    </xf>
    <xf numFmtId="165" fontId="9" fillId="13" borderId="2" xfId="2" applyNumberFormat="1" applyFont="1" applyFill="1" applyBorder="1" applyAlignment="1" applyProtection="1">
      <alignment horizontal="center" vertical="center" wrapText="1"/>
    </xf>
    <xf numFmtId="165" fontId="8" fillId="4" borderId="8" xfId="2" applyNumberFormat="1" applyFont="1" applyFill="1" applyBorder="1" applyAlignment="1" applyProtection="1">
      <alignment horizontal="center" vertical="center" wrapText="1"/>
    </xf>
    <xf numFmtId="165" fontId="8" fillId="13" borderId="8" xfId="2" applyNumberFormat="1" applyFont="1" applyFill="1" applyBorder="1" applyAlignment="1" applyProtection="1">
      <alignment horizontal="center" vertical="center" wrapText="1"/>
    </xf>
    <xf numFmtId="165" fontId="8" fillId="4" borderId="8" xfId="4" applyNumberFormat="1" applyFont="1" applyFill="1" applyBorder="1" applyAlignment="1">
      <alignment horizontal="center" vertical="center" wrapText="1"/>
    </xf>
    <xf numFmtId="165" fontId="8" fillId="13" borderId="8" xfId="4" applyNumberFormat="1" applyFont="1" applyFill="1" applyBorder="1" applyAlignment="1">
      <alignment horizontal="center" vertical="center" wrapText="1"/>
    </xf>
    <xf numFmtId="49" fontId="8" fillId="4" borderId="26" xfId="2" applyNumberFormat="1" applyFont="1" applyFill="1" applyBorder="1" applyAlignment="1" applyProtection="1">
      <alignment horizontal="center" vertical="top" wrapText="1"/>
    </xf>
    <xf numFmtId="49" fontId="9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left" vertical="top" wrapText="1"/>
    </xf>
    <xf numFmtId="1" fontId="8" fillId="4" borderId="4" xfId="4" applyNumberFormat="1" applyFont="1" applyFill="1" applyBorder="1" applyAlignment="1">
      <alignment horizontal="left" vertical="top" wrapText="1"/>
    </xf>
    <xf numFmtId="49" fontId="9" fillId="4" borderId="27" xfId="0" applyNumberFormat="1" applyFont="1" applyFill="1" applyBorder="1" applyAlignment="1" applyProtection="1">
      <alignment horizontal="center" vertical="center" wrapText="1"/>
    </xf>
    <xf numFmtId="165" fontId="8" fillId="4" borderId="2" xfId="2" applyNumberFormat="1" applyFont="1" applyFill="1" applyBorder="1" applyAlignment="1" applyProtection="1">
      <alignment horizontal="center" vertical="center" wrapText="1"/>
    </xf>
    <xf numFmtId="165" fontId="8" fillId="13" borderId="2" xfId="2" applyNumberFormat="1" applyFont="1" applyFill="1" applyBorder="1" applyAlignment="1" applyProtection="1">
      <alignment horizontal="center"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vertical="top" wrapText="1"/>
    </xf>
    <xf numFmtId="165" fontId="8" fillId="12" borderId="8" xfId="2" applyNumberFormat="1" applyFont="1" applyFill="1" applyBorder="1" applyAlignment="1" applyProtection="1">
      <alignment horizontal="center" vertical="center" wrapText="1"/>
    </xf>
    <xf numFmtId="0" fontId="9" fillId="4" borderId="27" xfId="0" applyNumberFormat="1" applyFont="1" applyFill="1" applyBorder="1" applyAlignment="1" applyProtection="1">
      <alignment horizontal="center" vertical="center" wrapText="1"/>
    </xf>
    <xf numFmtId="49" fontId="8" fillId="4" borderId="8" xfId="2" applyNumberFormat="1" applyFont="1" applyFill="1" applyBorder="1" applyAlignment="1" applyProtection="1">
      <alignment horizontal="center" vertical="center" wrapText="1"/>
    </xf>
    <xf numFmtId="165" fontId="8" fillId="0" borderId="8" xfId="2" applyNumberFormat="1" applyFont="1" applyFill="1" applyBorder="1" applyAlignment="1" applyProtection="1">
      <alignment horizontal="center" vertical="center" wrapText="1"/>
    </xf>
    <xf numFmtId="165" fontId="9" fillId="0" borderId="8" xfId="2" applyNumberFormat="1" applyFont="1" applyFill="1" applyBorder="1" applyAlignment="1" applyProtection="1">
      <alignment horizontal="center" vertical="center" wrapText="1"/>
    </xf>
    <xf numFmtId="165" fontId="9" fillId="13" borderId="8" xfId="2" applyNumberFormat="1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center" vertical="center" wrapText="1"/>
    </xf>
    <xf numFmtId="165" fontId="9" fillId="0" borderId="2" xfId="4" applyNumberFormat="1" applyFont="1" applyFill="1" applyBorder="1" applyAlignment="1" applyProtection="1">
      <alignment horizontal="center" vertical="center" wrapText="1"/>
    </xf>
    <xf numFmtId="165" fontId="9" fillId="13" borderId="2" xfId="4" applyNumberFormat="1" applyFont="1" applyFill="1" applyBorder="1" applyAlignment="1" applyProtection="1">
      <alignment horizontal="center" vertical="center" wrapText="1"/>
    </xf>
    <xf numFmtId="165" fontId="8" fillId="4" borderId="7" xfId="2" applyNumberFormat="1" applyFont="1" applyFill="1" applyBorder="1" applyAlignment="1" applyProtection="1">
      <alignment horizontal="center" vertical="center" wrapText="1"/>
    </xf>
    <xf numFmtId="165" fontId="8" fillId="12" borderId="8" xfId="2" applyNumberFormat="1" applyFont="1" applyFill="1" applyBorder="1" applyAlignment="1" applyProtection="1">
      <alignment horizontal="center" vertical="center"/>
    </xf>
    <xf numFmtId="165" fontId="8" fillId="13" borderId="7" xfId="2" applyNumberFormat="1" applyFont="1" applyFill="1" applyBorder="1" applyAlignment="1" applyProtection="1">
      <alignment horizontal="center" vertical="center" wrapText="1"/>
    </xf>
    <xf numFmtId="165" fontId="8" fillId="5" borderId="2" xfId="4" applyNumberFormat="1" applyFont="1" applyFill="1" applyBorder="1" applyAlignment="1" applyProtection="1">
      <alignment horizontal="right" vertical="center"/>
    </xf>
    <xf numFmtId="0" fontId="19" fillId="5" borderId="2" xfId="4" applyNumberFormat="1" applyFont="1" applyFill="1" applyBorder="1" applyAlignment="1" applyProtection="1">
      <alignment vertical="top"/>
    </xf>
    <xf numFmtId="0" fontId="19" fillId="5" borderId="27" xfId="4" applyNumberFormat="1" applyFont="1" applyFill="1" applyBorder="1" applyAlignment="1" applyProtection="1">
      <alignment vertical="top"/>
    </xf>
    <xf numFmtId="0" fontId="19" fillId="0" borderId="2" xfId="4" applyNumberFormat="1" applyFont="1" applyFill="1" applyBorder="1" applyAlignment="1" applyProtection="1">
      <alignment vertical="top"/>
    </xf>
    <xf numFmtId="0" fontId="19" fillId="0" borderId="27" xfId="4" applyNumberFormat="1" applyFont="1" applyFill="1" applyBorder="1" applyAlignment="1" applyProtection="1">
      <alignment vertical="top"/>
    </xf>
    <xf numFmtId="165" fontId="8" fillId="0" borderId="37" xfId="1" applyNumberFormat="1" applyFont="1" applyFill="1" applyBorder="1" applyAlignment="1">
      <alignment horizontal="right" vertical="center"/>
    </xf>
    <xf numFmtId="165" fontId="8" fillId="5" borderId="37" xfId="4" applyNumberFormat="1" applyFont="1" applyFill="1" applyBorder="1" applyAlignment="1" applyProtection="1">
      <alignment horizontal="right" vertical="center"/>
    </xf>
    <xf numFmtId="165" fontId="8" fillId="13" borderId="37" xfId="1" applyNumberFormat="1" applyFont="1" applyFill="1" applyBorder="1" applyAlignment="1">
      <alignment horizontal="right" vertical="center"/>
    </xf>
    <xf numFmtId="0" fontId="9" fillId="0" borderId="37" xfId="1" applyFont="1" applyFill="1" applyBorder="1"/>
    <xf numFmtId="0" fontId="9" fillId="0" borderId="38" xfId="1" applyFont="1" applyBorder="1" applyAlignment="1">
      <alignment vertical="center"/>
    </xf>
    <xf numFmtId="0" fontId="6" fillId="0" borderId="0" xfId="0" applyFont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13" fillId="12" borderId="2" xfId="0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13" borderId="2" xfId="1" applyNumberFormat="1" applyFont="1" applyFill="1" applyBorder="1" applyAlignment="1" applyProtection="1">
      <alignment horizontal="center" vertical="center" wrapText="1"/>
    </xf>
    <xf numFmtId="49" fontId="9" fillId="0" borderId="26" xfId="5" applyNumberFormat="1" applyFont="1" applyFill="1" applyBorder="1" applyAlignment="1" applyProtection="1">
      <alignment horizontal="center" vertical="top"/>
    </xf>
    <xf numFmtId="0" fontId="14" fillId="0" borderId="2" xfId="3" applyNumberFormat="1" applyFont="1" applyFill="1" applyBorder="1" applyAlignment="1" applyProtection="1">
      <alignment horizontal="center" vertical="top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9" fillId="4" borderId="34" xfId="3" applyFont="1" applyFill="1" applyBorder="1" applyAlignment="1">
      <alignment horizontal="center" vertical="center" wrapText="1"/>
    </xf>
    <xf numFmtId="49" fontId="14" fillId="4" borderId="16" xfId="3" applyNumberFormat="1" applyFont="1" applyFill="1" applyBorder="1" applyAlignment="1" applyProtection="1">
      <alignment horizontal="center" vertical="top" wrapText="1"/>
    </xf>
    <xf numFmtId="0" fontId="14" fillId="4" borderId="8" xfId="3" applyNumberFormat="1" applyFont="1" applyFill="1" applyBorder="1" applyAlignment="1" applyProtection="1">
      <alignment vertical="top" wrapText="1"/>
    </xf>
    <xf numFmtId="49" fontId="8" fillId="4" borderId="26" xfId="3" applyNumberFormat="1" applyFont="1" applyFill="1" applyBorder="1" applyAlignment="1" applyProtection="1">
      <alignment horizontal="center" vertical="top" wrapText="1"/>
    </xf>
    <xf numFmtId="0" fontId="8" fillId="4" borderId="2" xfId="3" applyNumberFormat="1" applyFont="1" applyFill="1" applyBorder="1" applyAlignment="1" applyProtection="1">
      <alignment vertical="top" wrapText="1"/>
    </xf>
    <xf numFmtId="165" fontId="8" fillId="4" borderId="2" xfId="3" applyNumberFormat="1" applyFont="1" applyFill="1" applyBorder="1" applyAlignment="1" applyProtection="1">
      <alignment horizontal="center" vertical="center" wrapText="1"/>
    </xf>
    <xf numFmtId="165" fontId="8" fillId="13" borderId="2" xfId="3" applyNumberFormat="1" applyFon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left" vertical="top" wrapText="1"/>
    </xf>
    <xf numFmtId="0" fontId="9" fillId="4" borderId="31" xfId="3" applyFont="1" applyFill="1" applyBorder="1" applyAlignment="1">
      <alignment horizontal="center" vertical="center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165" fontId="8" fillId="12" borderId="2" xfId="5" applyNumberFormat="1" applyFont="1" applyFill="1" applyBorder="1" applyAlignment="1" applyProtection="1">
      <alignment horizontal="center" vertical="center"/>
    </xf>
    <xf numFmtId="165" fontId="8" fillId="13" borderId="2" xfId="5" applyNumberFormat="1" applyFont="1" applyFill="1" applyBorder="1" applyAlignment="1" applyProtection="1">
      <alignment horizontal="center" vertical="center"/>
    </xf>
    <xf numFmtId="165" fontId="9" fillId="0" borderId="2" xfId="5" applyNumberFormat="1" applyFont="1" applyFill="1" applyBorder="1" applyAlignment="1" applyProtection="1">
      <alignment horizontal="center" vertical="center"/>
    </xf>
    <xf numFmtId="165" fontId="9" fillId="13" borderId="2" xfId="5" applyNumberFormat="1" applyFont="1" applyFill="1" applyBorder="1" applyAlignment="1" applyProtection="1">
      <alignment horizontal="center" vertical="center"/>
    </xf>
    <xf numFmtId="49" fontId="8" fillId="4" borderId="26" xfId="5" applyNumberFormat="1" applyFont="1" applyFill="1" applyBorder="1" applyAlignment="1" applyProtection="1">
      <alignment horizontal="center" vertical="top" wrapText="1"/>
    </xf>
    <xf numFmtId="49" fontId="8" fillId="4" borderId="2" xfId="5" applyNumberFormat="1" applyFont="1" applyFill="1" applyBorder="1" applyAlignment="1" applyProtection="1">
      <alignment horizontal="left" vertical="top" wrapText="1"/>
    </xf>
    <xf numFmtId="49" fontId="8" fillId="4" borderId="2" xfId="5" applyNumberFormat="1" applyFont="1" applyFill="1" applyBorder="1" applyAlignment="1" applyProtection="1">
      <alignment horizontal="center" vertical="center" wrapText="1"/>
    </xf>
    <xf numFmtId="165" fontId="8" fillId="4" borderId="2" xfId="5" applyNumberFormat="1" applyFont="1" applyFill="1" applyBorder="1" applyAlignment="1" applyProtection="1">
      <alignment horizontal="center" vertical="center" wrapText="1"/>
    </xf>
    <xf numFmtId="165" fontId="8" fillId="12" borderId="2" xfId="5" applyNumberFormat="1" applyFont="1" applyFill="1" applyBorder="1" applyAlignment="1" applyProtection="1">
      <alignment horizontal="center" vertical="center" wrapText="1"/>
    </xf>
    <xf numFmtId="165" fontId="8" fillId="13" borderId="2" xfId="5" applyNumberFormat="1" applyFont="1" applyFill="1" applyBorder="1" applyAlignment="1" applyProtection="1">
      <alignment horizontal="center" vertical="center" wrapText="1"/>
    </xf>
    <xf numFmtId="49" fontId="9" fillId="4" borderId="2" xfId="5" applyNumberFormat="1" applyFont="1" applyFill="1" applyBorder="1" applyAlignment="1" applyProtection="1">
      <alignment horizontal="center" vertical="center" wrapText="1"/>
    </xf>
    <xf numFmtId="49" fontId="9" fillId="4" borderId="27" xfId="5" applyNumberFormat="1" applyFont="1" applyFill="1" applyBorder="1" applyAlignment="1" applyProtection="1">
      <alignment horizontal="center" vertical="center" wrapText="1"/>
    </xf>
    <xf numFmtId="49" fontId="8" fillId="4" borderId="2" xfId="5" applyNumberFormat="1" applyFont="1" applyFill="1" applyBorder="1" applyAlignment="1" applyProtection="1">
      <alignment vertical="top" wrapText="1"/>
    </xf>
    <xf numFmtId="49" fontId="8" fillId="4" borderId="26" xfId="5" applyNumberFormat="1" applyFont="1" applyFill="1" applyBorder="1" applyAlignment="1" applyProtection="1">
      <alignment horizontal="center" vertical="top"/>
    </xf>
    <xf numFmtId="0" fontId="8" fillId="4" borderId="2" xfId="5" applyNumberFormat="1" applyFont="1" applyFill="1" applyBorder="1" applyAlignment="1" applyProtection="1">
      <alignment horizontal="left" vertical="top" wrapText="1"/>
    </xf>
    <xf numFmtId="0" fontId="9" fillId="4" borderId="27" xfId="5" applyNumberFormat="1" applyFont="1" applyFill="1" applyBorder="1" applyAlignment="1" applyProtection="1">
      <alignment horizontal="center" vertical="center" wrapText="1"/>
    </xf>
    <xf numFmtId="0" fontId="8" fillId="5" borderId="27" xfId="4" applyNumberFormat="1" applyFont="1" applyFill="1" applyBorder="1" applyAlignment="1">
      <alignment horizontal="left" vertical="top" wrapText="1" indent="1"/>
    </xf>
    <xf numFmtId="0" fontId="8" fillId="0" borderId="27" xfId="4" applyNumberFormat="1" applyFont="1" applyFill="1" applyBorder="1" applyAlignment="1">
      <alignment horizontal="left" vertical="top" wrapText="1" indent="1"/>
    </xf>
    <xf numFmtId="165" fontId="8" fillId="0" borderId="37" xfId="4" applyNumberFormat="1" applyFont="1" applyFill="1" applyBorder="1" applyAlignment="1" applyProtection="1">
      <alignment horizontal="right" vertical="center"/>
    </xf>
    <xf numFmtId="165" fontId="8" fillId="13" borderId="37" xfId="4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2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165" fontId="5" fillId="0" borderId="0" xfId="5" applyNumberFormat="1" applyFont="1" applyFill="1" applyBorder="1" applyAlignment="1" applyProtection="1">
      <alignment horizontal="left"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10" fillId="12" borderId="0" xfId="0" applyFont="1" applyFill="1"/>
    <xf numFmtId="0" fontId="10" fillId="0" borderId="0" xfId="0" applyFont="1" applyFill="1"/>
    <xf numFmtId="4" fontId="6" fillId="12" borderId="0" xfId="0" applyNumberFormat="1" applyFont="1" applyFill="1"/>
    <xf numFmtId="49" fontId="8" fillId="0" borderId="2" xfId="5" applyNumberFormat="1" applyFont="1" applyFill="1" applyBorder="1" applyAlignment="1" applyProtection="1">
      <alignment horizontal="center" vertical="center" wrapText="1"/>
    </xf>
    <xf numFmtId="165" fontId="9" fillId="0" borderId="2" xfId="5" applyNumberFormat="1" applyFont="1" applyFill="1" applyBorder="1" applyAlignment="1" applyProtection="1">
      <alignment horizontal="center" vertical="center" wrapText="1"/>
    </xf>
    <xf numFmtId="165" fontId="9" fillId="13" borderId="2" xfId="5" applyNumberFormat="1" applyFont="1" applyFill="1" applyBorder="1" applyAlignment="1" applyProtection="1">
      <alignment horizontal="center" vertical="center" wrapText="1"/>
    </xf>
    <xf numFmtId="49" fontId="8" fillId="4" borderId="6" xfId="5" applyNumberFormat="1" applyFont="1" applyFill="1" applyBorder="1" applyAlignment="1" applyProtection="1">
      <alignment horizontal="center" vertical="center" wrapText="1"/>
    </xf>
    <xf numFmtId="165" fontId="8" fillId="2" borderId="2" xfId="5" applyNumberFormat="1" applyFont="1" applyFill="1" applyBorder="1" applyAlignment="1" applyProtection="1">
      <alignment horizontal="right" vertical="center"/>
    </xf>
    <xf numFmtId="165" fontId="8" fillId="5" borderId="2" xfId="5" applyNumberFormat="1" applyFont="1" applyFill="1" applyBorder="1" applyAlignment="1" applyProtection="1">
      <alignment horizontal="right" vertical="center"/>
    </xf>
    <xf numFmtId="165" fontId="8" fillId="13" borderId="2" xfId="5" applyNumberFormat="1" applyFont="1" applyFill="1" applyBorder="1" applyAlignment="1" applyProtection="1">
      <alignment horizontal="right" vertical="center"/>
    </xf>
    <xf numFmtId="165" fontId="8" fillId="0" borderId="2" xfId="5" applyNumberFormat="1" applyFont="1" applyFill="1" applyBorder="1" applyAlignment="1" applyProtection="1">
      <alignment horizontal="right" vertical="center"/>
    </xf>
    <xf numFmtId="0" fontId="19" fillId="0" borderId="2" xfId="5" applyNumberFormat="1" applyFont="1" applyFill="1" applyBorder="1" applyAlignment="1" applyProtection="1">
      <alignment vertical="top"/>
    </xf>
    <xf numFmtId="0" fontId="19" fillId="0" borderId="27" xfId="5" applyNumberFormat="1" applyFont="1" applyFill="1" applyBorder="1" applyAlignment="1" applyProtection="1">
      <alignment vertical="top"/>
    </xf>
    <xf numFmtId="0" fontId="9" fillId="0" borderId="27" xfId="1" applyFont="1" applyBorder="1" applyAlignment="1">
      <alignment vertical="center"/>
    </xf>
    <xf numFmtId="165" fontId="8" fillId="9" borderId="20" xfId="5" applyNumberFormat="1" applyFont="1" applyFill="1" applyBorder="1" applyAlignment="1" applyProtection="1">
      <alignment horizontal="center" vertical="center"/>
    </xf>
    <xf numFmtId="165" fontId="8" fillId="13" borderId="20" xfId="5" applyNumberFormat="1" applyFont="1" applyFill="1" applyBorder="1" applyAlignment="1" applyProtection="1">
      <alignment horizontal="center" vertical="center"/>
    </xf>
    <xf numFmtId="0" fontId="19" fillId="9" borderId="20" xfId="5" applyNumberFormat="1" applyFont="1" applyFill="1" applyBorder="1" applyAlignment="1" applyProtection="1">
      <alignment vertical="top"/>
    </xf>
    <xf numFmtId="0" fontId="19" fillId="9" borderId="25" xfId="5" applyNumberFormat="1" applyFont="1" applyFill="1" applyBorder="1" applyAlignment="1" applyProtection="1">
      <alignment vertical="top"/>
    </xf>
    <xf numFmtId="165" fontId="8" fillId="2" borderId="2" xfId="5" applyNumberFormat="1" applyFont="1" applyFill="1" applyBorder="1" applyAlignment="1" applyProtection="1">
      <alignment horizontal="center" vertical="center"/>
    </xf>
    <xf numFmtId="165" fontId="8" fillId="9" borderId="2" xfId="5" applyNumberFormat="1" applyFont="1" applyFill="1" applyBorder="1" applyAlignment="1" applyProtection="1">
      <alignment horizontal="center" vertical="center"/>
    </xf>
    <xf numFmtId="165" fontId="8" fillId="0" borderId="37" xfId="7" applyNumberFormat="1" applyFont="1" applyFill="1" applyBorder="1" applyAlignment="1" applyProtection="1">
      <alignment horizontal="center" vertical="center" wrapText="1"/>
    </xf>
    <xf numFmtId="165" fontId="8" fillId="9" borderId="37" xfId="5" applyNumberFormat="1" applyFont="1" applyFill="1" applyBorder="1" applyAlignment="1" applyProtection="1">
      <alignment horizontal="center" vertical="center"/>
    </xf>
    <xf numFmtId="165" fontId="8" fillId="13" borderId="37" xfId="7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Border="1" applyAlignment="1" applyProtection="1">
      <alignment vertical="top"/>
    </xf>
    <xf numFmtId="0" fontId="19" fillId="3" borderId="0" xfId="5" applyNumberFormat="1" applyFont="1" applyFill="1" applyBorder="1" applyAlignment="1" applyProtection="1">
      <alignment vertical="top"/>
    </xf>
    <xf numFmtId="165" fontId="19" fillId="0" borderId="0" xfId="5" applyNumberFormat="1" applyFont="1" applyFill="1" applyBorder="1" applyAlignment="1" applyProtection="1">
      <alignment vertical="top"/>
    </xf>
    <xf numFmtId="0" fontId="19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3" borderId="1" xfId="5" applyNumberFormat="1" applyFont="1" applyFill="1" applyBorder="1" applyAlignment="1" applyProtection="1">
      <alignment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vertical="top"/>
    </xf>
    <xf numFmtId="165" fontId="10" fillId="0" borderId="0" xfId="0" applyNumberFormat="1" applyFont="1"/>
    <xf numFmtId="165" fontId="10" fillId="7" borderId="0" xfId="0" applyNumberFormat="1" applyFont="1" applyFill="1"/>
    <xf numFmtId="0" fontId="8" fillId="4" borderId="1" xfId="7" applyNumberFormat="1" applyFont="1" applyFill="1" applyBorder="1" applyAlignment="1" applyProtection="1">
      <alignment horizontal="center" vertical="center" wrapText="1"/>
    </xf>
    <xf numFmtId="165" fontId="8" fillId="4" borderId="8" xfId="2" applyNumberFormat="1" applyFont="1" applyFill="1" applyBorder="1" applyAlignment="1" applyProtection="1">
      <alignment horizontal="center" vertical="center"/>
    </xf>
    <xf numFmtId="165" fontId="8" fillId="13" borderId="8" xfId="2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4" borderId="31" xfId="0" applyFont="1" applyFill="1" applyBorder="1" applyAlignment="1">
      <alignment horizontal="center" vertical="center" wrapText="1"/>
    </xf>
    <xf numFmtId="49" fontId="9" fillId="4" borderId="6" xfId="4" applyNumberFormat="1" applyFont="1" applyFill="1" applyBorder="1" applyAlignment="1" applyProtection="1">
      <alignment horizontal="center" vertical="center" wrapText="1"/>
    </xf>
    <xf numFmtId="49" fontId="8" fillId="4" borderId="30" xfId="5" applyNumberFormat="1" applyFont="1" applyFill="1" applyBorder="1" applyAlignment="1" applyProtection="1">
      <alignment horizontal="center" vertical="top"/>
    </xf>
    <xf numFmtId="0" fontId="8" fillId="4" borderId="6" xfId="3" applyNumberFormat="1" applyFont="1" applyFill="1" applyBorder="1" applyAlignment="1" applyProtection="1">
      <alignment horizontal="left" vertical="top" wrapText="1"/>
    </xf>
    <xf numFmtId="165" fontId="5" fillId="7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165" fontId="8" fillId="13" borderId="2" xfId="11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165" fontId="8" fillId="11" borderId="2" xfId="1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>
      <alignment horizontal="center"/>
    </xf>
    <xf numFmtId="0" fontId="9" fillId="5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165" fontId="9" fillId="5" borderId="0" xfId="1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top"/>
    </xf>
    <xf numFmtId="165" fontId="8" fillId="11" borderId="2" xfId="4" applyNumberFormat="1" applyFont="1" applyFill="1" applyBorder="1" applyAlignment="1" applyProtection="1">
      <alignment horizontal="center" vertical="center"/>
    </xf>
    <xf numFmtId="165" fontId="8" fillId="11" borderId="6" xfId="4" applyNumberFormat="1" applyFont="1" applyFill="1" applyBorder="1" applyAlignment="1" applyProtection="1">
      <alignment horizontal="center" vertical="center"/>
    </xf>
    <xf numFmtId="165" fontId="8" fillId="11" borderId="2" xfId="2" applyNumberFormat="1" applyFont="1" applyFill="1" applyBorder="1" applyAlignment="1" applyProtection="1">
      <alignment horizontal="center" vertical="center"/>
    </xf>
    <xf numFmtId="165" fontId="8" fillId="0" borderId="2" xfId="4" applyNumberFormat="1" applyFont="1" applyFill="1" applyBorder="1" applyAlignment="1">
      <alignment horizontal="right" vertical="center" wrapText="1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9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center" vertical="top" wrapText="1"/>
    </xf>
    <xf numFmtId="49" fontId="8" fillId="0" borderId="0" xfId="5" applyNumberFormat="1" applyFont="1" applyFill="1" applyBorder="1" applyAlignment="1" applyProtection="1">
      <alignment horizontal="center" vertical="top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165" fontId="8" fillId="11" borderId="2" xfId="5" applyNumberFormat="1" applyFont="1" applyFill="1" applyBorder="1" applyAlignment="1" applyProtection="1">
      <alignment horizontal="center" vertical="center" wrapText="1"/>
    </xf>
    <xf numFmtId="0" fontId="19" fillId="9" borderId="0" xfId="5" applyNumberFormat="1" applyFont="1" applyFill="1" applyBorder="1" applyAlignment="1" applyProtection="1">
      <alignment vertical="top"/>
    </xf>
    <xf numFmtId="165" fontId="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8" fillId="13" borderId="0" xfId="4" applyNumberFormat="1" applyFont="1" applyFill="1" applyBorder="1" applyAlignment="1" applyProtection="1">
      <alignment horizontal="center" vertical="center"/>
    </xf>
    <xf numFmtId="165" fontId="9" fillId="0" borderId="0" xfId="2" applyNumberFormat="1" applyFont="1" applyFill="1" applyBorder="1" applyAlignment="1" applyProtection="1">
      <alignment horizontal="center" vertical="center" wrapText="1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6" fontId="9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19" fillId="0" borderId="0" xfId="4" applyNumberFormat="1" applyFont="1" applyFill="1" applyBorder="1" applyAlignment="1" applyProtection="1">
      <alignment vertical="top"/>
    </xf>
    <xf numFmtId="165" fontId="8" fillId="3" borderId="2" xfId="7" applyNumberFormat="1" applyFont="1" applyFill="1" applyBorder="1" applyAlignment="1" applyProtection="1">
      <alignment horizontal="right" vertical="center" wrapText="1"/>
    </xf>
    <xf numFmtId="0" fontId="9" fillId="3" borderId="2" xfId="1" applyFont="1" applyFill="1" applyBorder="1"/>
    <xf numFmtId="0" fontId="9" fillId="3" borderId="3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3" fillId="0" borderId="0" xfId="0" applyFont="1"/>
    <xf numFmtId="0" fontId="9" fillId="4" borderId="27" xfId="7" applyNumberFormat="1" applyFont="1" applyFill="1" applyBorder="1" applyAlignment="1" applyProtection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31" xfId="7" applyNumberFormat="1" applyFont="1" applyFill="1" applyBorder="1" applyAlignment="1" applyProtection="1">
      <alignment horizontal="center" vertical="center" wrapText="1"/>
    </xf>
    <xf numFmtId="0" fontId="9" fillId="4" borderId="34" xfId="7" applyNumberFormat="1" applyFont="1" applyFill="1" applyBorder="1" applyAlignment="1" applyProtection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49" fontId="8" fillId="4" borderId="30" xfId="7" applyNumberFormat="1" applyFont="1" applyFill="1" applyBorder="1" applyAlignment="1" applyProtection="1">
      <alignment horizontal="center" vertical="top"/>
    </xf>
    <xf numFmtId="49" fontId="8" fillId="4" borderId="16" xfId="7" applyNumberFormat="1" applyFont="1" applyFill="1" applyBorder="1" applyAlignment="1" applyProtection="1">
      <alignment horizontal="center" vertical="top"/>
    </xf>
    <xf numFmtId="0" fontId="8" fillId="4" borderId="6" xfId="7" applyNumberFormat="1" applyFont="1" applyFill="1" applyBorder="1" applyAlignment="1" applyProtection="1">
      <alignment horizontal="left" vertical="top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4" borderId="6" xfId="7" applyNumberFormat="1" applyFont="1" applyFill="1" applyBorder="1" applyAlignment="1" applyProtection="1">
      <alignment horizontal="center" vertical="center" wrapText="1"/>
    </xf>
    <xf numFmtId="0" fontId="9" fillId="4" borderId="8" xfId="7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49" fontId="8" fillId="4" borderId="2" xfId="1" applyNumberFormat="1" applyFont="1" applyFill="1" applyBorder="1" applyAlignment="1" applyProtection="1">
      <alignment horizontal="center" vertical="top" wrapText="1"/>
    </xf>
    <xf numFmtId="0" fontId="8" fillId="4" borderId="2" xfId="1" applyNumberFormat="1" applyFont="1" applyFill="1" applyBorder="1" applyAlignment="1" applyProtection="1">
      <alignment horizontal="left" vertical="top" wrapText="1"/>
    </xf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2" fontId="8" fillId="4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0" xfId="7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center" vertical="top"/>
    </xf>
    <xf numFmtId="0" fontId="8" fillId="2" borderId="0" xfId="7" applyNumberFormat="1" applyFont="1" applyFill="1" applyBorder="1" applyAlignment="1" applyProtection="1">
      <alignment horizontal="center" vertical="top" wrapText="1"/>
    </xf>
    <xf numFmtId="49" fontId="8" fillId="4" borderId="32" xfId="4" applyNumberFormat="1" applyFont="1" applyFill="1" applyBorder="1" applyAlignment="1" applyProtection="1">
      <alignment horizontal="center" vertical="top"/>
    </xf>
    <xf numFmtId="49" fontId="8" fillId="4" borderId="7" xfId="4" applyNumberFormat="1" applyFont="1" applyFill="1" applyBorder="1" applyAlignment="1" applyProtection="1">
      <alignment horizontal="center" vertical="center" wrapText="1"/>
    </xf>
    <xf numFmtId="49" fontId="8" fillId="4" borderId="7" xfId="4" applyNumberFormat="1" applyFont="1" applyFill="1" applyBorder="1" applyAlignment="1" applyProtection="1">
      <alignment horizontal="left" vertical="top" wrapText="1"/>
    </xf>
    <xf numFmtId="49" fontId="9" fillId="4" borderId="2" xfId="4" applyNumberFormat="1" applyFont="1" applyFill="1" applyBorder="1" applyAlignment="1" applyProtection="1">
      <alignment horizontal="center" vertical="center" wrapText="1"/>
    </xf>
    <xf numFmtId="165" fontId="24" fillId="13" borderId="2" xfId="7" applyNumberFormat="1" applyFont="1" applyFill="1" applyBorder="1" applyAlignment="1" applyProtection="1">
      <alignment horizontal="center" vertical="center" wrapText="1"/>
    </xf>
    <xf numFmtId="165" fontId="24" fillId="13" borderId="2" xfId="1" applyNumberFormat="1" applyFont="1" applyFill="1" applyBorder="1" applyAlignment="1">
      <alignment horizontal="center" vertical="center" wrapText="1"/>
    </xf>
    <xf numFmtId="165" fontId="9" fillId="3" borderId="0" xfId="5" applyNumberFormat="1" applyFont="1" applyFill="1" applyBorder="1" applyAlignment="1" applyProtection="1">
      <alignment horizontal="center" vertical="top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27" xfId="7" applyNumberFormat="1" applyFont="1" applyFill="1" applyBorder="1" applyAlignment="1" applyProtection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2" fontId="8" fillId="4" borderId="2" xfId="1" applyNumberFormat="1" applyFont="1" applyFill="1" applyBorder="1" applyAlignment="1" applyProtection="1">
      <alignment horizontal="center" vertical="center" wrapText="1"/>
    </xf>
    <xf numFmtId="49" fontId="8" fillId="4" borderId="6" xfId="4" applyNumberFormat="1" applyFont="1" applyFill="1" applyBorder="1" applyAlignment="1" applyProtection="1">
      <alignment horizontal="center" vertical="center" wrapText="1"/>
    </xf>
    <xf numFmtId="49" fontId="8" fillId="4" borderId="8" xfId="4" applyNumberFormat="1" applyFont="1" applyFill="1" applyBorder="1" applyAlignment="1" applyProtection="1">
      <alignment horizontal="center" vertical="center" wrapText="1"/>
    </xf>
    <xf numFmtId="49" fontId="8" fillId="4" borderId="6" xfId="4" applyNumberFormat="1" applyFont="1" applyFill="1" applyBorder="1" applyAlignment="1" applyProtection="1">
      <alignment horizontal="left" vertical="top" wrapText="1"/>
    </xf>
    <xf numFmtId="49" fontId="9" fillId="4" borderId="6" xfId="4" applyNumberFormat="1" applyFont="1" applyFill="1" applyBorder="1" applyAlignment="1" applyProtection="1">
      <alignment horizontal="center" vertical="center" wrapText="1"/>
    </xf>
    <xf numFmtId="49" fontId="9" fillId="4" borderId="8" xfId="4" applyNumberFormat="1" applyFont="1" applyFill="1" applyBorder="1" applyAlignment="1" applyProtection="1">
      <alignment horizontal="center" vertical="center" wrapText="1"/>
    </xf>
    <xf numFmtId="164" fontId="9" fillId="4" borderId="31" xfId="4" applyNumberFormat="1" applyFont="1" applyFill="1" applyBorder="1" applyAlignment="1" applyProtection="1">
      <alignment horizontal="center" vertical="center" wrapText="1"/>
    </xf>
    <xf numFmtId="0" fontId="8" fillId="4" borderId="6" xfId="4" applyNumberFormat="1" applyFont="1" applyFill="1" applyBorder="1" applyAlignment="1" applyProtection="1">
      <alignment horizontal="left" vertical="top" wrapText="1"/>
    </xf>
    <xf numFmtId="49" fontId="8" fillId="4" borderId="16" xfId="2" applyNumberFormat="1" applyFont="1" applyFill="1" applyBorder="1" applyAlignment="1" applyProtection="1">
      <alignment horizontal="center" vertical="top"/>
    </xf>
    <xf numFmtId="0" fontId="8" fillId="4" borderId="6" xfId="2" applyNumberFormat="1" applyFont="1" applyFill="1" applyBorder="1" applyAlignment="1" applyProtection="1">
      <alignment horizontal="left" vertical="top" wrapText="1"/>
    </xf>
    <xf numFmtId="0" fontId="8" fillId="4" borderId="8" xfId="2" applyNumberFormat="1" applyFont="1" applyFill="1" applyBorder="1" applyAlignment="1" applyProtection="1">
      <alignment horizontal="left" vertical="top" wrapText="1"/>
    </xf>
    <xf numFmtId="0" fontId="8" fillId="4" borderId="6" xfId="2" applyNumberFormat="1" applyFont="1" applyFill="1" applyBorder="1" applyAlignment="1" applyProtection="1">
      <alignment horizontal="center" vertical="center" wrapText="1"/>
    </xf>
    <xf numFmtId="0" fontId="8" fillId="4" borderId="7" xfId="2" applyNumberFormat="1" applyFont="1" applyFill="1" applyBorder="1" applyAlignment="1" applyProtection="1">
      <alignment horizontal="center" vertical="center" wrapText="1"/>
    </xf>
    <xf numFmtId="0" fontId="8" fillId="4" borderId="8" xfId="2" applyNumberFormat="1" applyFont="1" applyFill="1" applyBorder="1" applyAlignment="1" applyProtection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2" applyNumberFormat="1" applyFont="1" applyFill="1" applyBorder="1" applyAlignment="1" applyProtection="1">
      <alignment horizontal="left" vertical="top" wrapText="1"/>
    </xf>
    <xf numFmtId="0" fontId="8" fillId="4" borderId="2" xfId="2" applyNumberFormat="1" applyFont="1" applyFill="1" applyBorder="1" applyAlignment="1" applyProtection="1">
      <alignment horizontal="center" vertical="center" wrapText="1"/>
    </xf>
    <xf numFmtId="49" fontId="9" fillId="4" borderId="2" xfId="4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0" fontId="9" fillId="4" borderId="31" xfId="10" applyFont="1" applyFill="1" applyBorder="1" applyAlignment="1">
      <alignment horizontal="center" vertical="center" wrapText="1"/>
    </xf>
    <xf numFmtId="0" fontId="9" fillId="4" borderId="27" xfId="1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49" fontId="8" fillId="4" borderId="30" xfId="2" applyNumberFormat="1" applyFont="1" applyFill="1" applyBorder="1" applyAlignment="1" applyProtection="1">
      <alignment horizontal="center" vertical="top" wrapText="1"/>
    </xf>
    <xf numFmtId="49" fontId="8" fillId="4" borderId="16" xfId="2" applyNumberFormat="1" applyFont="1" applyFill="1" applyBorder="1" applyAlignment="1" applyProtection="1">
      <alignment horizontal="center" vertical="top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164" fontId="9" fillId="4" borderId="34" xfId="0" applyNumberFormat="1" applyFont="1" applyFill="1" applyBorder="1" applyAlignment="1" applyProtection="1">
      <alignment horizontal="center" vertical="center" wrapText="1"/>
    </xf>
    <xf numFmtId="49" fontId="8" fillId="4" borderId="6" xfId="2" applyNumberFormat="1" applyFont="1" applyFill="1" applyBorder="1" applyAlignment="1" applyProtection="1">
      <alignment horizontal="left" vertical="top" wrapText="1"/>
    </xf>
    <xf numFmtId="49" fontId="9" fillId="4" borderId="6" xfId="5" applyNumberFormat="1" applyFont="1" applyFill="1" applyBorder="1" applyAlignment="1" applyProtection="1">
      <alignment horizontal="center" vertical="center" wrapText="1"/>
    </xf>
    <xf numFmtId="49" fontId="9" fillId="4" borderId="31" xfId="5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>
      <alignment horizontal="left"/>
    </xf>
    <xf numFmtId="0" fontId="9" fillId="0" borderId="31" xfId="7" applyNumberFormat="1" applyFont="1" applyFill="1" applyBorder="1" applyAlignment="1" applyProtection="1">
      <alignment horizontal="center" vertical="center" wrapText="1"/>
    </xf>
    <xf numFmtId="0" fontId="9" fillId="0" borderId="33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vertical="center" wrapText="1"/>
    </xf>
    <xf numFmtId="49" fontId="9" fillId="4" borderId="6" xfId="1" applyNumberFormat="1" applyFont="1" applyFill="1" applyBorder="1" applyAlignment="1">
      <alignment horizontal="center" vertical="center" wrapText="1"/>
    </xf>
    <xf numFmtId="49" fontId="9" fillId="4" borderId="7" xfId="1" applyNumberFormat="1" applyFont="1" applyFill="1" applyBorder="1" applyAlignment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0" fontId="9" fillId="4" borderId="31" xfId="7" applyNumberFormat="1" applyFont="1" applyFill="1" applyBorder="1" applyAlignment="1" applyProtection="1">
      <alignment horizontal="center" vertical="center" wrapText="1"/>
    </xf>
    <xf numFmtId="0" fontId="9" fillId="4" borderId="33" xfId="7" applyNumberFormat="1" applyFont="1" applyFill="1" applyBorder="1" applyAlignment="1" applyProtection="1">
      <alignment horizontal="center" vertical="center" wrapText="1"/>
    </xf>
    <xf numFmtId="0" fontId="9" fillId="4" borderId="34" xfId="7" applyNumberFormat="1" applyFont="1" applyFill="1" applyBorder="1" applyAlignment="1" applyProtection="1">
      <alignment horizontal="center" vertical="center" wrapText="1"/>
    </xf>
    <xf numFmtId="164" fontId="9" fillId="4" borderId="31" xfId="4" applyNumberFormat="1" applyFont="1" applyFill="1" applyBorder="1" applyAlignment="1" applyProtection="1">
      <alignment horizontal="center" vertical="center" wrapText="1"/>
    </xf>
    <xf numFmtId="164" fontId="9" fillId="4" borderId="34" xfId="4" applyNumberFormat="1" applyFont="1" applyFill="1" applyBorder="1" applyAlignment="1" applyProtection="1">
      <alignment horizontal="center" vertical="center" wrapText="1"/>
    </xf>
    <xf numFmtId="0" fontId="9" fillId="4" borderId="6" xfId="7" applyNumberFormat="1" applyFont="1" applyFill="1" applyBorder="1" applyAlignment="1" applyProtection="1">
      <alignment horizontal="center" vertical="center" wrapText="1"/>
    </xf>
    <xf numFmtId="0" fontId="9" fillId="4" borderId="8" xfId="7" applyNumberFormat="1" applyFont="1" applyFill="1" applyBorder="1" applyAlignment="1" applyProtection="1">
      <alignment horizontal="center" vertical="center" wrapText="1"/>
    </xf>
    <xf numFmtId="0" fontId="9" fillId="4" borderId="31" xfId="1" applyFont="1" applyFill="1" applyBorder="1" applyAlignment="1">
      <alignment horizontal="center" vertical="center" wrapText="1"/>
    </xf>
    <xf numFmtId="0" fontId="9" fillId="4" borderId="33" xfId="1" applyFont="1" applyFill="1" applyBorder="1" applyAlignment="1">
      <alignment horizontal="center" vertical="center" wrapText="1"/>
    </xf>
    <xf numFmtId="0" fontId="9" fillId="4" borderId="34" xfId="1" applyFont="1" applyFill="1" applyBorder="1" applyAlignment="1">
      <alignment horizontal="center" vertical="center" wrapText="1"/>
    </xf>
    <xf numFmtId="49" fontId="8" fillId="4" borderId="30" xfId="7" applyNumberFormat="1" applyFont="1" applyFill="1" applyBorder="1" applyAlignment="1" applyProtection="1">
      <alignment horizontal="center" vertical="top" wrapText="1" shrinkToFit="1"/>
    </xf>
    <xf numFmtId="49" fontId="8" fillId="4" borderId="16" xfId="7" applyNumberFormat="1" applyFont="1" applyFill="1" applyBorder="1" applyAlignment="1" applyProtection="1">
      <alignment horizontal="center" vertical="top" wrapText="1" shrinkToFit="1"/>
    </xf>
    <xf numFmtId="0" fontId="8" fillId="4" borderId="6" xfId="7" applyNumberFormat="1" applyFont="1" applyFill="1" applyBorder="1" applyAlignment="1" applyProtection="1">
      <alignment horizontal="left" vertical="top" wrapText="1"/>
    </xf>
    <xf numFmtId="0" fontId="8" fillId="4" borderId="8" xfId="7" applyNumberFormat="1" applyFont="1" applyFill="1" applyBorder="1" applyAlignment="1" applyProtection="1">
      <alignment horizontal="left" vertical="top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8" fillId="4" borderId="6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 shrinkToFit="1"/>
    </xf>
    <xf numFmtId="0" fontId="9" fillId="4" borderId="8" xfId="1" applyFont="1" applyFill="1" applyBorder="1" applyAlignment="1">
      <alignment horizontal="center" vertical="center" wrapText="1" shrinkToFi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right" vertical="center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8" fillId="4" borderId="7" xfId="7" applyNumberFormat="1" applyFont="1" applyFill="1" applyBorder="1" applyAlignment="1" applyProtection="1">
      <alignment horizontal="left" vertical="top" wrapText="1"/>
    </xf>
    <xf numFmtId="49" fontId="8" fillId="4" borderId="6" xfId="4" applyNumberFormat="1" applyFont="1" applyFill="1" applyBorder="1" applyAlignment="1" applyProtection="1">
      <alignment horizontal="left" vertical="top" wrapText="1"/>
    </xf>
    <xf numFmtId="49" fontId="8" fillId="4" borderId="8" xfId="4" applyNumberFormat="1" applyFont="1" applyFill="1" applyBorder="1" applyAlignment="1" applyProtection="1">
      <alignment horizontal="left" vertical="top" wrapText="1"/>
    </xf>
    <xf numFmtId="49" fontId="9" fillId="4" borderId="6" xfId="4" applyNumberFormat="1" applyFont="1" applyFill="1" applyBorder="1" applyAlignment="1" applyProtection="1">
      <alignment horizontal="center" vertical="center" wrapText="1"/>
    </xf>
    <xf numFmtId="49" fontId="9" fillId="4" borderId="8" xfId="4" applyNumberFormat="1" applyFont="1" applyFill="1" applyBorder="1" applyAlignment="1" applyProtection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 shrinkToFit="1"/>
    </xf>
    <xf numFmtId="0" fontId="8" fillId="5" borderId="28" xfId="7" applyNumberFormat="1" applyFont="1" applyFill="1" applyBorder="1" applyAlignment="1" applyProtection="1">
      <alignment horizontal="right" vertical="center" wrapText="1"/>
    </xf>
    <xf numFmtId="0" fontId="8" fillId="5" borderId="4" xfId="7" applyNumberFormat="1" applyFont="1" applyFill="1" applyBorder="1" applyAlignment="1" applyProtection="1">
      <alignment horizontal="right" vertical="center" wrapText="1"/>
    </xf>
    <xf numFmtId="0" fontId="8" fillId="4" borderId="7" xfId="1" applyFont="1" applyFill="1" applyBorder="1" applyAlignment="1">
      <alignment horizontal="center" vertical="center" wrapText="1"/>
    </xf>
    <xf numFmtId="49" fontId="8" fillId="4" borderId="30" xfId="7" applyNumberFormat="1" applyFont="1" applyFill="1" applyBorder="1" applyAlignment="1" applyProtection="1">
      <alignment horizontal="center" vertical="top"/>
    </xf>
    <xf numFmtId="49" fontId="8" fillId="4" borderId="16" xfId="7" applyNumberFormat="1" applyFont="1" applyFill="1" applyBorder="1" applyAlignment="1" applyProtection="1">
      <alignment horizontal="center" vertical="top"/>
    </xf>
    <xf numFmtId="1" fontId="8" fillId="4" borderId="6" xfId="4" applyNumberFormat="1" applyFont="1" applyFill="1" applyBorder="1" applyAlignment="1">
      <alignment horizontal="left" vertical="top" wrapText="1"/>
    </xf>
    <xf numFmtId="1" fontId="8" fillId="4" borderId="8" xfId="4" applyNumberFormat="1" applyFont="1" applyFill="1" applyBorder="1" applyAlignment="1">
      <alignment horizontal="left" vertical="top" wrapText="1"/>
    </xf>
    <xf numFmtId="49" fontId="8" fillId="4" borderId="32" xfId="7" applyNumberFormat="1" applyFont="1" applyFill="1" applyBorder="1" applyAlignment="1" applyProtection="1">
      <alignment horizontal="center" vertical="top" wrapText="1" shrinkToFit="1"/>
    </xf>
    <xf numFmtId="49" fontId="8" fillId="4" borderId="32" xfId="7" applyNumberFormat="1" applyFont="1" applyFill="1" applyBorder="1" applyAlignment="1" applyProtection="1">
      <alignment horizontal="center" vertical="top"/>
    </xf>
    <xf numFmtId="0" fontId="8" fillId="4" borderId="6" xfId="1" applyFont="1" applyFill="1" applyBorder="1" applyAlignment="1">
      <alignment horizontal="left" vertical="top" wrapText="1"/>
    </xf>
    <xf numFmtId="0" fontId="8" fillId="4" borderId="7" xfId="1" applyFont="1" applyFill="1" applyBorder="1" applyAlignment="1">
      <alignment horizontal="left" vertical="top" wrapText="1"/>
    </xf>
    <xf numFmtId="0" fontId="8" fillId="4" borderId="8" xfId="1" applyFont="1" applyFill="1" applyBorder="1" applyAlignment="1">
      <alignment horizontal="left" vertical="top" wrapText="1"/>
    </xf>
    <xf numFmtId="49" fontId="8" fillId="4" borderId="6" xfId="4" applyNumberFormat="1" applyFont="1" applyFill="1" applyBorder="1" applyAlignment="1" applyProtection="1">
      <alignment horizontal="center" vertical="center" wrapText="1"/>
    </xf>
    <xf numFmtId="49" fontId="8" fillId="4" borderId="8" xfId="4" applyNumberFormat="1" applyFont="1" applyFill="1" applyBorder="1" applyAlignment="1" applyProtection="1">
      <alignment horizontal="center" vertical="center" wrapText="1"/>
    </xf>
    <xf numFmtId="2" fontId="8" fillId="4" borderId="6" xfId="1" applyNumberFormat="1" applyFont="1" applyFill="1" applyBorder="1" applyAlignment="1" applyProtection="1">
      <alignment horizontal="center" vertical="center" wrapText="1"/>
    </xf>
    <xf numFmtId="2" fontId="8" fillId="4" borderId="7" xfId="1" applyNumberFormat="1" applyFont="1" applyFill="1" applyBorder="1" applyAlignment="1" applyProtection="1">
      <alignment horizontal="center" vertical="center" wrapText="1"/>
    </xf>
    <xf numFmtId="2" fontId="8" fillId="4" borderId="8" xfId="1" applyNumberFormat="1" applyFont="1" applyFill="1" applyBorder="1" applyAlignment="1" applyProtection="1">
      <alignment horizontal="center" vertical="center" wrapText="1"/>
    </xf>
    <xf numFmtId="0" fontId="8" fillId="4" borderId="6" xfId="1" applyNumberFormat="1" applyFont="1" applyFill="1" applyBorder="1" applyAlignment="1" applyProtection="1">
      <alignment horizontal="left" vertical="top" wrapText="1"/>
    </xf>
    <xf numFmtId="0" fontId="8" fillId="4" borderId="7" xfId="1" applyNumberFormat="1" applyFont="1" applyFill="1" applyBorder="1" applyAlignment="1" applyProtection="1">
      <alignment horizontal="left" vertical="top" wrapText="1"/>
    </xf>
    <xf numFmtId="0" fontId="8" fillId="4" borderId="8" xfId="1" applyNumberFormat="1" applyFont="1" applyFill="1" applyBorder="1" applyAlignment="1" applyProtection="1">
      <alignment horizontal="left" vertical="top" wrapText="1"/>
    </xf>
    <xf numFmtId="49" fontId="8" fillId="4" borderId="6" xfId="1" applyNumberFormat="1" applyFont="1" applyFill="1" applyBorder="1" applyAlignment="1" applyProtection="1">
      <alignment horizontal="center" vertical="top" wrapText="1"/>
    </xf>
    <xf numFmtId="49" fontId="8" fillId="4" borderId="7" xfId="1" applyNumberFormat="1" applyFont="1" applyFill="1" applyBorder="1" applyAlignment="1" applyProtection="1">
      <alignment horizontal="center" vertical="top" wrapText="1"/>
    </xf>
    <xf numFmtId="49" fontId="8" fillId="4" borderId="8" xfId="1" applyNumberFormat="1" applyFont="1" applyFill="1" applyBorder="1" applyAlignment="1" applyProtection="1">
      <alignment horizontal="center" vertical="top" wrapText="1"/>
    </xf>
    <xf numFmtId="49" fontId="8" fillId="0" borderId="30" xfId="7" applyNumberFormat="1" applyFont="1" applyFill="1" applyBorder="1" applyAlignment="1" applyProtection="1">
      <alignment horizontal="center" vertical="top"/>
    </xf>
    <xf numFmtId="49" fontId="8" fillId="0" borderId="32" xfId="7" applyNumberFormat="1" applyFont="1" applyFill="1" applyBorder="1" applyAlignment="1" applyProtection="1">
      <alignment horizontal="center" vertical="top"/>
    </xf>
    <xf numFmtId="49" fontId="8" fillId="0" borderId="16" xfId="7" applyNumberFormat="1" applyFont="1" applyFill="1" applyBorder="1" applyAlignment="1" applyProtection="1">
      <alignment horizontal="center" vertical="top"/>
    </xf>
    <xf numFmtId="49" fontId="8" fillId="4" borderId="30" xfId="4" applyNumberFormat="1" applyFont="1" applyFill="1" applyBorder="1" applyAlignment="1" applyProtection="1">
      <alignment horizontal="center" vertical="top"/>
    </xf>
    <xf numFmtId="49" fontId="8" fillId="4" borderId="16" xfId="4" applyNumberFormat="1" applyFont="1" applyFill="1" applyBorder="1" applyAlignment="1" applyProtection="1">
      <alignment horizontal="center" vertical="top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 applyProtection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49" fontId="8" fillId="4" borderId="2" xfId="1" applyNumberFormat="1" applyFont="1" applyFill="1" applyBorder="1" applyAlignment="1" applyProtection="1">
      <alignment horizontal="center" vertical="top" wrapText="1"/>
    </xf>
    <xf numFmtId="0" fontId="8" fillId="4" borderId="2" xfId="1" applyNumberFormat="1" applyFont="1" applyFill="1" applyBorder="1" applyAlignment="1" applyProtection="1">
      <alignment horizontal="left" vertical="top" wrapText="1"/>
    </xf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8" fillId="0" borderId="2" xfId="1" applyFont="1" applyFill="1" applyBorder="1" applyAlignment="1">
      <alignment horizontal="right" vertical="center" wrapText="1"/>
    </xf>
    <xf numFmtId="2" fontId="8" fillId="4" borderId="2" xfId="1" applyNumberFormat="1" applyFont="1" applyFill="1" applyBorder="1" applyAlignment="1" applyProtection="1">
      <alignment horizontal="center" vertical="center" wrapText="1"/>
    </xf>
    <xf numFmtId="0" fontId="8" fillId="3" borderId="20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3" borderId="6" xfId="7" applyNumberFormat="1" applyFont="1" applyFill="1" applyBorder="1" applyAlignment="1" applyProtection="1">
      <alignment horizontal="center" vertical="center" wrapText="1"/>
    </xf>
    <xf numFmtId="0" fontId="8" fillId="3" borderId="7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8" xfId="7" applyNumberFormat="1" applyFont="1" applyFill="1" applyBorder="1" applyAlignment="1" applyProtection="1">
      <alignment horizontal="center" vertical="center" wrapText="1"/>
    </xf>
    <xf numFmtId="0" fontId="8" fillId="3" borderId="4" xfId="7" applyNumberFormat="1" applyFont="1" applyFill="1" applyBorder="1" applyAlignment="1" applyProtection="1">
      <alignment horizontal="center" vertical="center" wrapText="1"/>
    </xf>
    <xf numFmtId="0" fontId="8" fillId="3" borderId="29" xfId="7" applyNumberFormat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8" fillId="3" borderId="22" xfId="7" applyNumberFormat="1" applyFont="1" applyFill="1" applyBorder="1" applyAlignment="1" applyProtection="1">
      <alignment horizontal="center" vertical="center" wrapText="1"/>
    </xf>
    <xf numFmtId="0" fontId="8" fillId="3" borderId="23" xfId="7" applyNumberFormat="1" applyFont="1" applyFill="1" applyBorder="1" applyAlignment="1" applyProtection="1">
      <alignment horizontal="center" vertical="center" wrapText="1"/>
    </xf>
    <xf numFmtId="0" fontId="8" fillId="3" borderId="24" xfId="7" applyNumberFormat="1" applyFont="1" applyFill="1" applyBorder="1" applyAlignment="1" applyProtection="1">
      <alignment horizontal="center" vertical="center" wrapText="1"/>
    </xf>
    <xf numFmtId="0" fontId="8" fillId="3" borderId="13" xfId="7" applyNumberFormat="1" applyFont="1" applyFill="1" applyBorder="1" applyAlignment="1" applyProtection="1">
      <alignment horizontal="center" vertical="center" wrapText="1"/>
    </xf>
    <xf numFmtId="0" fontId="8" fillId="3" borderId="0" xfId="7" applyNumberFormat="1" applyFont="1" applyFill="1" applyBorder="1" applyAlignment="1" applyProtection="1">
      <alignment horizontal="center" vertical="center" wrapText="1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8" fillId="3" borderId="1" xfId="7" applyNumberFormat="1" applyFont="1" applyFill="1" applyBorder="1" applyAlignment="1" applyProtection="1">
      <alignment horizontal="center" vertical="center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9" fillId="2" borderId="31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49" fontId="8" fillId="3" borderId="30" xfId="7" applyNumberFormat="1" applyFont="1" applyFill="1" applyBorder="1" applyAlignment="1" applyProtection="1">
      <alignment horizontal="center" vertical="top"/>
    </xf>
    <xf numFmtId="49" fontId="8" fillId="3" borderId="32" xfId="7" applyNumberFormat="1" applyFont="1" applyFill="1" applyBorder="1" applyAlignment="1" applyProtection="1">
      <alignment horizontal="center" vertical="top"/>
    </xf>
    <xf numFmtId="49" fontId="8" fillId="3" borderId="16" xfId="7" applyNumberFormat="1" applyFont="1" applyFill="1" applyBorder="1" applyAlignment="1" applyProtection="1">
      <alignment horizontal="center" vertical="top"/>
    </xf>
    <xf numFmtId="0" fontId="9" fillId="4" borderId="27" xfId="7" applyNumberFormat="1" applyFont="1" applyFill="1" applyBorder="1" applyAlignment="1" applyProtection="1">
      <alignment horizontal="center" vertical="center" wrapText="1"/>
    </xf>
    <xf numFmtId="0" fontId="9" fillId="4" borderId="2" xfId="7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22" fillId="2" borderId="0" xfId="7" applyNumberFormat="1" applyFont="1" applyFill="1" applyBorder="1" applyAlignment="1" applyProtection="1">
      <alignment horizontal="center" vertical="top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center" vertical="top"/>
    </xf>
    <xf numFmtId="0" fontId="8" fillId="2" borderId="0" xfId="7" applyNumberFormat="1" applyFont="1" applyFill="1" applyBorder="1" applyAlignment="1" applyProtection="1">
      <alignment horizontal="center" vertical="top" wrapText="1"/>
    </xf>
    <xf numFmtId="0" fontId="8" fillId="12" borderId="20" xfId="7" applyNumberFormat="1" applyFont="1" applyFill="1" applyBorder="1" applyAlignment="1" applyProtection="1">
      <alignment horizontal="center" vertical="center" wrapText="1"/>
    </xf>
    <xf numFmtId="0" fontId="8" fillId="12" borderId="2" xfId="7" applyNumberFormat="1" applyFont="1" applyFill="1" applyBorder="1" applyAlignment="1" applyProtection="1">
      <alignment horizontal="center" vertical="center" wrapText="1"/>
    </xf>
    <xf numFmtId="0" fontId="9" fillId="12" borderId="2" xfId="7" applyNumberFormat="1" applyFont="1" applyFill="1" applyBorder="1" applyAlignment="1" applyProtection="1">
      <alignment horizontal="center" vertical="center" wrapText="1"/>
    </xf>
    <xf numFmtId="0" fontId="8" fillId="3" borderId="25" xfId="7" applyNumberFormat="1" applyFont="1" applyFill="1" applyBorder="1" applyAlignment="1" applyProtection="1">
      <alignment horizontal="center" vertical="center" wrapText="1"/>
    </xf>
    <xf numFmtId="0" fontId="8" fillId="3" borderId="27" xfId="7" applyNumberFormat="1" applyFont="1" applyFill="1" applyBorder="1" applyAlignment="1" applyProtection="1">
      <alignment horizontal="center" vertical="center" wrapText="1"/>
    </xf>
    <xf numFmtId="0" fontId="8" fillId="3" borderId="21" xfId="7" applyNumberFormat="1" applyFont="1" applyFill="1" applyBorder="1" applyAlignment="1" applyProtection="1">
      <alignment horizontal="center" vertical="center" wrapText="1"/>
    </xf>
    <xf numFmtId="0" fontId="8" fillId="3" borderId="26" xfId="7" applyNumberFormat="1" applyFont="1" applyFill="1" applyBorder="1" applyAlignment="1" applyProtection="1">
      <alignment horizontal="center" vertical="center" wrapText="1"/>
    </xf>
    <xf numFmtId="0" fontId="9" fillId="3" borderId="26" xfId="7" applyNumberFormat="1" applyFont="1" applyFill="1" applyBorder="1" applyAlignment="1" applyProtection="1">
      <alignment horizontal="center" vertical="center" wrapText="1"/>
    </xf>
    <xf numFmtId="0" fontId="9" fillId="4" borderId="6" xfId="10" applyFont="1" applyFill="1" applyBorder="1" applyAlignment="1">
      <alignment horizontal="center" vertical="center" wrapText="1"/>
    </xf>
    <xf numFmtId="0" fontId="9" fillId="4" borderId="8" xfId="10" applyFont="1" applyFill="1" applyBorder="1" applyAlignment="1">
      <alignment horizontal="center" vertical="center" wrapText="1"/>
    </xf>
    <xf numFmtId="0" fontId="8" fillId="4" borderId="6" xfId="4" applyNumberFormat="1" applyFont="1" applyFill="1" applyBorder="1" applyAlignment="1" applyProtection="1">
      <alignment horizontal="left" vertical="top" wrapText="1"/>
    </xf>
    <xf numFmtId="0" fontId="8" fillId="4" borderId="8" xfId="4" applyNumberFormat="1" applyFont="1" applyFill="1" applyBorder="1" applyAlignment="1" applyProtection="1">
      <alignment horizontal="left" vertical="top" wrapText="1"/>
    </xf>
    <xf numFmtId="0" fontId="9" fillId="4" borderId="31" xfId="4" applyNumberFormat="1" applyFont="1" applyFill="1" applyBorder="1" applyAlignment="1">
      <alignment horizontal="center" vertical="center" wrapText="1"/>
    </xf>
    <xf numFmtId="0" fontId="9" fillId="4" borderId="33" xfId="4" applyNumberFormat="1" applyFont="1" applyFill="1" applyBorder="1" applyAlignment="1">
      <alignment horizontal="center" vertical="center" wrapText="1"/>
    </xf>
    <xf numFmtId="0" fontId="9" fillId="4" borderId="34" xfId="4" applyNumberFormat="1" applyFont="1" applyFill="1" applyBorder="1" applyAlignment="1">
      <alignment horizontal="center" vertical="center" wrapText="1"/>
    </xf>
    <xf numFmtId="0" fontId="9" fillId="4" borderId="31" xfId="10" applyFont="1" applyFill="1" applyBorder="1" applyAlignment="1">
      <alignment horizontal="center" vertical="center" wrapText="1"/>
    </xf>
    <xf numFmtId="0" fontId="9" fillId="4" borderId="33" xfId="10" applyFont="1" applyFill="1" applyBorder="1" applyAlignment="1">
      <alignment horizontal="center" vertical="center" wrapText="1"/>
    </xf>
    <xf numFmtId="0" fontId="9" fillId="4" borderId="34" xfId="10" applyFont="1" applyFill="1" applyBorder="1" applyAlignment="1">
      <alignment horizontal="center" vertical="center" wrapText="1"/>
    </xf>
    <xf numFmtId="49" fontId="8" fillId="4" borderId="32" xfId="4" applyNumberFormat="1" applyFont="1" applyFill="1" applyBorder="1" applyAlignment="1" applyProtection="1">
      <alignment horizontal="center" vertical="top"/>
    </xf>
    <xf numFmtId="49" fontId="8" fillId="4" borderId="30" xfId="4" applyNumberFormat="1" applyFont="1" applyFill="1" applyBorder="1" applyAlignment="1">
      <alignment horizontal="center" vertical="top" wrapText="1"/>
    </xf>
    <xf numFmtId="49" fontId="8" fillId="4" borderId="32" xfId="4" applyNumberFormat="1" applyFont="1" applyFill="1" applyBorder="1" applyAlignment="1">
      <alignment horizontal="center" vertical="top" wrapText="1"/>
    </xf>
    <xf numFmtId="49" fontId="8" fillId="4" borderId="16" xfId="4" applyNumberFormat="1" applyFont="1" applyFill="1" applyBorder="1" applyAlignment="1">
      <alignment horizontal="center" vertical="top" wrapText="1"/>
    </xf>
    <xf numFmtId="1" fontId="8" fillId="4" borderId="7" xfId="4" applyNumberFormat="1" applyFont="1" applyFill="1" applyBorder="1" applyAlignment="1">
      <alignment horizontal="left" vertical="top" wrapText="1"/>
    </xf>
    <xf numFmtId="49" fontId="8" fillId="4" borderId="7" xfId="4" applyNumberFormat="1" applyFont="1" applyFill="1" applyBorder="1" applyAlignment="1" applyProtection="1">
      <alignment horizontal="center" vertical="center" wrapText="1"/>
    </xf>
    <xf numFmtId="0" fontId="9" fillId="4" borderId="6" xfId="4" applyNumberFormat="1" applyFont="1" applyFill="1" applyBorder="1" applyAlignment="1">
      <alignment horizontal="center" vertical="center" wrapText="1"/>
    </xf>
    <xf numFmtId="0" fontId="9" fillId="4" borderId="7" xfId="4" applyNumberFormat="1" applyFont="1" applyFill="1" applyBorder="1" applyAlignment="1">
      <alignment horizontal="center" vertical="center" wrapText="1"/>
    </xf>
    <xf numFmtId="0" fontId="9" fillId="4" borderId="8" xfId="4" applyNumberFormat="1" applyFont="1" applyFill="1" applyBorder="1" applyAlignment="1">
      <alignment horizontal="center" vertical="center" wrapText="1"/>
    </xf>
    <xf numFmtId="49" fontId="9" fillId="2" borderId="30" xfId="1" applyNumberFormat="1" applyFont="1" applyFill="1" applyBorder="1" applyAlignment="1" applyProtection="1">
      <alignment horizontal="center" vertical="top" wrapText="1"/>
    </xf>
    <xf numFmtId="49" fontId="9" fillId="2" borderId="32" xfId="1" applyNumberFormat="1" applyFont="1" applyFill="1" applyBorder="1" applyAlignment="1" applyProtection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right" vertical="center"/>
    </xf>
    <xf numFmtId="0" fontId="8" fillId="5" borderId="2" xfId="4" applyNumberFormat="1" applyFont="1" applyFill="1" applyBorder="1" applyAlignment="1">
      <alignment horizontal="right" vertical="center" wrapText="1"/>
    </xf>
    <xf numFmtId="0" fontId="17" fillId="5" borderId="2" xfId="10" applyFont="1" applyFill="1" applyBorder="1" applyAlignment="1">
      <alignment horizontal="right" vertical="center" wrapText="1"/>
    </xf>
    <xf numFmtId="49" fontId="8" fillId="4" borderId="30" xfId="0" applyNumberFormat="1" applyFont="1" applyFill="1" applyBorder="1" applyAlignment="1">
      <alignment horizontal="center" vertical="top"/>
    </xf>
    <xf numFmtId="49" fontId="8" fillId="4" borderId="16" xfId="0" applyNumberFormat="1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164" fontId="9" fillId="4" borderId="6" xfId="4" applyNumberFormat="1" applyFont="1" applyFill="1" applyBorder="1" applyAlignment="1" applyProtection="1">
      <alignment horizontal="center" vertical="center" wrapText="1"/>
    </xf>
    <xf numFmtId="164" fontId="9" fillId="4" borderId="7" xfId="4" applyNumberFormat="1" applyFont="1" applyFill="1" applyBorder="1" applyAlignment="1" applyProtection="1">
      <alignment horizontal="center" vertical="center" wrapText="1"/>
    </xf>
    <xf numFmtId="164" fontId="9" fillId="4" borderId="8" xfId="4" applyNumberFormat="1" applyFont="1" applyFill="1" applyBorder="1" applyAlignment="1" applyProtection="1">
      <alignment horizontal="center" vertical="center" wrapText="1"/>
    </xf>
    <xf numFmtId="164" fontId="8" fillId="0" borderId="14" xfId="4" applyNumberFormat="1" applyFont="1" applyFill="1" applyBorder="1" applyAlignment="1" applyProtection="1">
      <alignment horizontal="center" vertical="center" wrapText="1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28" xfId="4" applyNumberFormat="1" applyFont="1" applyFill="1" applyBorder="1" applyAlignment="1" applyProtection="1">
      <alignment horizontal="center" vertical="center"/>
    </xf>
    <xf numFmtId="49" fontId="8" fillId="0" borderId="4" xfId="4" applyNumberFormat="1" applyFont="1" applyFill="1" applyBorder="1" applyAlignment="1" applyProtection="1">
      <alignment horizontal="center" vertical="center"/>
    </xf>
    <xf numFmtId="49" fontId="8" fillId="0" borderId="29" xfId="4" applyNumberFormat="1" applyFont="1" applyFill="1" applyBorder="1" applyAlignment="1" applyProtection="1">
      <alignment horizontal="center" vertical="center"/>
    </xf>
    <xf numFmtId="0" fontId="8" fillId="0" borderId="14" xfId="11" applyNumberFormat="1" applyFont="1" applyFill="1" applyBorder="1" applyAlignment="1" applyProtection="1">
      <alignment horizontal="center" vertical="center" wrapText="1"/>
    </xf>
    <xf numFmtId="0" fontId="8" fillId="0" borderId="7" xfId="11" applyNumberFormat="1" applyFont="1" applyFill="1" applyBorder="1" applyAlignment="1" applyProtection="1">
      <alignment horizontal="center" vertical="center" wrapText="1"/>
    </xf>
    <xf numFmtId="0" fontId="8" fillId="0" borderId="8" xfId="11" applyNumberFormat="1" applyFont="1" applyFill="1" applyBorder="1" applyAlignment="1" applyProtection="1">
      <alignment horizontal="center" vertical="center" wrapText="1"/>
    </xf>
    <xf numFmtId="0" fontId="8" fillId="0" borderId="15" xfId="11" applyNumberFormat="1" applyFont="1" applyFill="1" applyBorder="1" applyAlignment="1" applyProtection="1">
      <alignment horizontal="center" vertical="center" wrapText="1"/>
    </xf>
    <xf numFmtId="0" fontId="8" fillId="0" borderId="32" xfId="11" applyNumberFormat="1" applyFont="1" applyFill="1" applyBorder="1" applyAlignment="1" applyProtection="1">
      <alignment horizontal="center" vertical="center" wrapText="1"/>
    </xf>
    <xf numFmtId="0" fontId="8" fillId="0" borderId="16" xfId="11" applyNumberFormat="1" applyFont="1" applyFill="1" applyBorder="1" applyAlignment="1" applyProtection="1">
      <alignment horizontal="center" vertical="center" wrapText="1"/>
    </xf>
    <xf numFmtId="0" fontId="8" fillId="12" borderId="14" xfId="11" applyNumberFormat="1" applyFont="1" applyFill="1" applyBorder="1" applyAlignment="1" applyProtection="1">
      <alignment horizontal="center" vertical="center" wrapText="1"/>
    </xf>
    <xf numFmtId="0" fontId="8" fillId="12" borderId="7" xfId="11" applyNumberFormat="1" applyFont="1" applyFill="1" applyBorder="1" applyAlignment="1" applyProtection="1">
      <alignment horizontal="center" vertical="center" wrapText="1"/>
    </xf>
    <xf numFmtId="0" fontId="8" fillId="12" borderId="8" xfId="11" applyNumberFormat="1" applyFont="1" applyFill="1" applyBorder="1" applyAlignment="1" applyProtection="1">
      <alignment horizontal="center" vertical="center" wrapText="1"/>
    </xf>
    <xf numFmtId="164" fontId="8" fillId="0" borderId="39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34" xfId="4" applyNumberFormat="1" applyFont="1" applyFill="1" applyBorder="1" applyAlignment="1" applyProtection="1">
      <alignment horizontal="center" vertical="center" wrapText="1"/>
    </xf>
    <xf numFmtId="0" fontId="8" fillId="0" borderId="22" xfId="4" applyNumberFormat="1" applyFont="1" applyFill="1" applyBorder="1" applyAlignment="1" applyProtection="1">
      <alignment horizontal="center" vertical="center" wrapText="1"/>
    </xf>
    <xf numFmtId="0" fontId="8" fillId="0" borderId="23" xfId="4" applyNumberFormat="1" applyFont="1" applyFill="1" applyBorder="1" applyAlignment="1" applyProtection="1">
      <alignment horizontal="center" vertical="center" wrapText="1"/>
    </xf>
    <xf numFmtId="0" fontId="8" fillId="0" borderId="24" xfId="4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8" fillId="0" borderId="10" xfId="4" applyNumberFormat="1" applyFont="1" applyFill="1" applyBorder="1" applyAlignment="1" applyProtection="1">
      <alignment horizontal="center" vertical="center" wrapText="1"/>
    </xf>
    <xf numFmtId="49" fontId="8" fillId="0" borderId="30" xfId="4" applyNumberFormat="1" applyFont="1" applyFill="1" applyBorder="1" applyAlignment="1" applyProtection="1">
      <alignment horizontal="center" vertical="top"/>
    </xf>
    <xf numFmtId="49" fontId="8" fillId="0" borderId="32" xfId="4" applyNumberFormat="1" applyFont="1" applyFill="1" applyBorder="1" applyAlignment="1" applyProtection="1">
      <alignment horizontal="center" vertical="top"/>
    </xf>
    <xf numFmtId="49" fontId="8" fillId="0" borderId="16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center" vertical="top"/>
      <protection locked="0"/>
    </xf>
    <xf numFmtId="49" fontId="8" fillId="0" borderId="7" xfId="4" applyNumberFormat="1" applyFont="1" applyFill="1" applyBorder="1" applyAlignment="1" applyProtection="1">
      <alignment horizontal="center" vertical="top"/>
      <protection locked="0"/>
    </xf>
    <xf numFmtId="49" fontId="8" fillId="0" borderId="8" xfId="4" applyNumberFormat="1" applyFont="1" applyFill="1" applyBorder="1" applyAlignment="1" applyProtection="1">
      <alignment horizontal="center" vertical="top"/>
      <protection locked="0"/>
    </xf>
    <xf numFmtId="0" fontId="8" fillId="0" borderId="31" xfId="4" applyNumberFormat="1" applyFont="1" applyFill="1" applyBorder="1" applyAlignment="1" applyProtection="1">
      <alignment horizontal="center" vertical="top"/>
    </xf>
    <xf numFmtId="0" fontId="8" fillId="0" borderId="33" xfId="4" applyNumberFormat="1" applyFont="1" applyFill="1" applyBorder="1" applyAlignment="1" applyProtection="1">
      <alignment horizontal="center" vertical="top"/>
    </xf>
    <xf numFmtId="0" fontId="8" fillId="0" borderId="34" xfId="4" applyNumberFormat="1" applyFont="1" applyFill="1" applyBorder="1" applyAlignment="1" applyProtection="1">
      <alignment horizontal="center" vertical="top"/>
    </xf>
    <xf numFmtId="49" fontId="8" fillId="4" borderId="30" xfId="4" applyNumberFormat="1" applyFont="1" applyFill="1" applyBorder="1" applyAlignment="1" applyProtection="1">
      <alignment horizontal="center" vertical="top" wrapText="1"/>
    </xf>
    <xf numFmtId="49" fontId="8" fillId="4" borderId="32" xfId="4" applyNumberFormat="1" applyFont="1" applyFill="1" applyBorder="1" applyAlignment="1" applyProtection="1">
      <alignment horizontal="center" vertical="top" wrapText="1"/>
    </xf>
    <xf numFmtId="49" fontId="8" fillId="4" borderId="16" xfId="4" applyNumberFormat="1" applyFont="1" applyFill="1" applyBorder="1" applyAlignment="1" applyProtection="1">
      <alignment horizontal="center" vertical="top" wrapText="1"/>
    </xf>
    <xf numFmtId="49" fontId="8" fillId="4" borderId="7" xfId="4" applyNumberFormat="1" applyFont="1" applyFill="1" applyBorder="1" applyAlignment="1" applyProtection="1">
      <alignment horizontal="left" vertical="top" wrapText="1"/>
    </xf>
    <xf numFmtId="0" fontId="9" fillId="4" borderId="27" xfId="10" applyFont="1" applyFill="1" applyBorder="1" applyAlignment="1">
      <alignment horizontal="center" vertical="center" wrapText="1"/>
    </xf>
    <xf numFmtId="49" fontId="9" fillId="4" borderId="2" xfId="4" applyNumberFormat="1" applyFont="1" applyFill="1" applyBorder="1" applyAlignment="1" applyProtection="1">
      <alignment horizontal="center" vertical="center" wrapText="1"/>
    </xf>
    <xf numFmtId="0" fontId="8" fillId="4" borderId="6" xfId="4" quotePrefix="1" applyNumberFormat="1" applyFont="1" applyFill="1" applyBorder="1" applyAlignment="1" applyProtection="1">
      <alignment horizontal="left" vertical="top" wrapText="1"/>
    </xf>
    <xf numFmtId="0" fontId="8" fillId="4" borderId="8" xfId="4" quotePrefix="1" applyNumberFormat="1" applyFont="1" applyFill="1" applyBorder="1" applyAlignment="1" applyProtection="1">
      <alignment horizontal="left" vertical="top" wrapText="1"/>
    </xf>
    <xf numFmtId="0" fontId="8" fillId="4" borderId="7" xfId="4" applyNumberFormat="1" applyFont="1" applyFill="1" applyBorder="1" applyAlignment="1" applyProtection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8" fillId="0" borderId="34" xfId="1" applyNumberFormat="1" applyFont="1" applyFill="1" applyBorder="1" applyAlignment="1" applyProtection="1">
      <alignment horizontal="center" vertical="center" wrapText="1"/>
    </xf>
    <xf numFmtId="0" fontId="15" fillId="4" borderId="31" xfId="3" applyFont="1" applyFill="1" applyBorder="1" applyAlignment="1">
      <alignment horizontal="center" vertical="center" wrapText="1"/>
    </xf>
    <xf numFmtId="0" fontId="15" fillId="4" borderId="34" xfId="3" applyFont="1" applyFill="1" applyBorder="1" applyAlignment="1">
      <alignment horizontal="center" vertical="center" wrapText="1"/>
    </xf>
    <xf numFmtId="49" fontId="8" fillId="4" borderId="30" xfId="2" applyNumberFormat="1" applyFont="1" applyFill="1" applyBorder="1" applyAlignment="1" applyProtection="1">
      <alignment horizontal="center" vertical="top"/>
    </xf>
    <xf numFmtId="49" fontId="8" fillId="4" borderId="16" xfId="2" applyNumberFormat="1" applyFont="1" applyFill="1" applyBorder="1" applyAlignment="1" applyProtection="1">
      <alignment horizontal="center" vertical="top"/>
    </xf>
    <xf numFmtId="0" fontId="8" fillId="4" borderId="6" xfId="2" applyNumberFormat="1" applyFont="1" applyFill="1" applyBorder="1" applyAlignment="1" applyProtection="1">
      <alignment horizontal="left" vertical="top" wrapText="1"/>
    </xf>
    <xf numFmtId="0" fontId="8" fillId="4" borderId="8" xfId="2" applyNumberFormat="1" applyFont="1" applyFill="1" applyBorder="1" applyAlignment="1" applyProtection="1">
      <alignment horizontal="left" vertical="top" wrapText="1"/>
    </xf>
    <xf numFmtId="49" fontId="8" fillId="4" borderId="2" xfId="2" applyNumberFormat="1" applyFont="1" applyFill="1" applyBorder="1" applyAlignment="1" applyProtection="1">
      <alignment horizontal="center" vertical="top"/>
    </xf>
    <xf numFmtId="0" fontId="8" fillId="4" borderId="2" xfId="2" applyNumberFormat="1" applyFont="1" applyFill="1" applyBorder="1" applyAlignment="1" applyProtection="1">
      <alignment horizontal="left" vertical="top" wrapText="1"/>
    </xf>
    <xf numFmtId="0" fontId="8" fillId="4" borderId="2" xfId="2" applyNumberFormat="1" applyFont="1" applyFill="1" applyBorder="1" applyAlignment="1" applyProtection="1">
      <alignment horizontal="center" vertical="center" wrapText="1"/>
    </xf>
    <xf numFmtId="49" fontId="9" fillId="4" borderId="7" xfId="4" applyNumberFormat="1" applyFont="1" applyFill="1" applyBorder="1" applyAlignment="1" applyProtection="1">
      <alignment horizontal="center" vertical="center" wrapText="1"/>
    </xf>
    <xf numFmtId="0" fontId="21" fillId="2" borderId="0" xfId="7" applyNumberFormat="1" applyFont="1" applyFill="1" applyBorder="1" applyAlignment="1" applyProtection="1">
      <alignment horizontal="center" vertical="top"/>
    </xf>
    <xf numFmtId="49" fontId="8" fillId="4" borderId="32" xfId="2" applyNumberFormat="1" applyFont="1" applyFill="1" applyBorder="1" applyAlignment="1" applyProtection="1">
      <alignment horizontal="center" vertical="top"/>
    </xf>
    <xf numFmtId="0" fontId="8" fillId="4" borderId="7" xfId="2" applyNumberFormat="1" applyFont="1" applyFill="1" applyBorder="1" applyAlignment="1" applyProtection="1">
      <alignment horizontal="left" vertical="top" wrapText="1"/>
    </xf>
    <xf numFmtId="0" fontId="8" fillId="4" borderId="6" xfId="2" applyNumberFormat="1" applyFont="1" applyFill="1" applyBorder="1" applyAlignment="1" applyProtection="1">
      <alignment horizontal="center" vertical="center" wrapText="1"/>
    </xf>
    <xf numFmtId="0" fontId="8" fillId="4" borderId="7" xfId="2" applyNumberFormat="1" applyFont="1" applyFill="1" applyBorder="1" applyAlignment="1" applyProtection="1">
      <alignment horizontal="center" vertical="center" wrapText="1"/>
    </xf>
    <xf numFmtId="0" fontId="8" fillId="4" borderId="8" xfId="2" applyNumberFormat="1" applyFont="1" applyFill="1" applyBorder="1" applyAlignment="1" applyProtection="1">
      <alignment horizontal="center" vertical="center" wrapText="1"/>
    </xf>
    <xf numFmtId="49" fontId="8" fillId="4" borderId="32" xfId="0" applyNumberFormat="1" applyFont="1" applyFill="1" applyBorder="1" applyAlignment="1">
      <alignment horizontal="center" vertical="top"/>
    </xf>
    <xf numFmtId="0" fontId="9" fillId="4" borderId="6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8" xfId="3" applyNumberFormat="1" applyFont="1" applyFill="1" applyBorder="1" applyAlignment="1" applyProtection="1">
      <alignment horizontal="center" vertical="center" wrapText="1"/>
    </xf>
    <xf numFmtId="0" fontId="8" fillId="4" borderId="6" xfId="11" applyNumberFormat="1" applyFont="1" applyFill="1" applyBorder="1" applyAlignment="1" applyProtection="1">
      <alignment horizontal="left" vertical="top" wrapText="1"/>
    </xf>
    <xf numFmtId="0" fontId="8" fillId="4" borderId="7" xfId="11" applyNumberFormat="1" applyFont="1" applyFill="1" applyBorder="1" applyAlignment="1" applyProtection="1">
      <alignment horizontal="left" vertical="top" wrapText="1"/>
    </xf>
    <xf numFmtId="0" fontId="8" fillId="4" borderId="8" xfId="11" applyNumberFormat="1" applyFont="1" applyFill="1" applyBorder="1" applyAlignment="1" applyProtection="1">
      <alignment horizontal="left" vertical="top" wrapText="1"/>
    </xf>
    <xf numFmtId="49" fontId="8" fillId="4" borderId="30" xfId="2" applyNumberFormat="1" applyFont="1" applyFill="1" applyBorder="1" applyAlignment="1" applyProtection="1">
      <alignment horizontal="center" vertical="top" wrapText="1"/>
    </xf>
    <xf numFmtId="49" fontId="8" fillId="4" borderId="32" xfId="2" applyNumberFormat="1" applyFont="1" applyFill="1" applyBorder="1" applyAlignment="1" applyProtection="1">
      <alignment horizontal="center" vertical="top" wrapText="1"/>
    </xf>
    <xf numFmtId="49" fontId="8" fillId="4" borderId="16" xfId="2" applyNumberFormat="1" applyFont="1" applyFill="1" applyBorder="1" applyAlignment="1" applyProtection="1">
      <alignment horizontal="center" vertical="top" wrapText="1"/>
    </xf>
    <xf numFmtId="49" fontId="8" fillId="0" borderId="30" xfId="2" applyNumberFormat="1" applyFont="1" applyFill="1" applyBorder="1" applyAlignment="1" applyProtection="1">
      <alignment horizontal="center" vertical="top" wrapText="1"/>
    </xf>
    <xf numFmtId="49" fontId="8" fillId="0" borderId="32" xfId="2" applyNumberFormat="1" applyFont="1" applyFill="1" applyBorder="1" applyAlignment="1" applyProtection="1">
      <alignment horizontal="center" vertical="top" wrapText="1"/>
    </xf>
    <xf numFmtId="0" fontId="8" fillId="0" borderId="28" xfId="4" applyNumberFormat="1" applyFont="1" applyFill="1" applyBorder="1" applyAlignment="1" applyProtection="1">
      <alignment horizontal="right" vertical="center"/>
    </xf>
    <xf numFmtId="0" fontId="8" fillId="0" borderId="4" xfId="4" applyNumberFormat="1" applyFont="1" applyFill="1" applyBorder="1" applyAlignment="1" applyProtection="1">
      <alignment horizontal="right" vertical="center"/>
    </xf>
    <xf numFmtId="0" fontId="8" fillId="5" borderId="26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49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>
      <alignment horizontal="right" vertical="center"/>
    </xf>
    <xf numFmtId="0" fontId="8" fillId="0" borderId="36" xfId="1" applyFont="1" applyFill="1" applyBorder="1" applyAlignment="1">
      <alignment horizontal="right" vertical="center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center" vertical="center" wrapText="1"/>
    </xf>
    <xf numFmtId="0" fontId="8" fillId="0" borderId="7" xfId="4" applyNumberFormat="1" applyFont="1" applyFill="1" applyBorder="1" applyAlignment="1" applyProtection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16" xfId="2" applyNumberFormat="1" applyFont="1" applyFill="1" applyBorder="1" applyAlignment="1" applyProtection="1">
      <alignment horizontal="center" vertical="top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0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8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49" fontId="9" fillId="0" borderId="8" xfId="4" applyNumberFormat="1" applyFont="1" applyFill="1" applyBorder="1" applyAlignment="1" applyProtection="1">
      <alignment horizontal="center" vertical="center" wrapText="1"/>
    </xf>
    <xf numFmtId="0" fontId="19" fillId="0" borderId="6" xfId="4" applyNumberFormat="1" applyFont="1" applyFill="1" applyBorder="1" applyAlignment="1" applyProtection="1">
      <alignment horizontal="center" vertical="top" wrapText="1"/>
    </xf>
    <xf numFmtId="0" fontId="19" fillId="0" borderId="7" xfId="4" applyNumberFormat="1" applyFont="1" applyFill="1" applyBorder="1" applyAlignment="1" applyProtection="1">
      <alignment horizontal="center" vertical="top" wrapText="1"/>
    </xf>
    <xf numFmtId="49" fontId="8" fillId="4" borderId="6" xfId="2" applyNumberFormat="1" applyFont="1" applyFill="1" applyBorder="1" applyAlignment="1" applyProtection="1">
      <alignment horizontal="left" vertical="top" wrapText="1"/>
    </xf>
    <xf numFmtId="49" fontId="8" fillId="4" borderId="7" xfId="2" applyNumberFormat="1" applyFont="1" applyFill="1" applyBorder="1" applyAlignment="1" applyProtection="1">
      <alignment horizontal="left" vertical="top" wrapText="1"/>
    </xf>
    <xf numFmtId="49" fontId="8" fillId="4" borderId="8" xfId="2" applyNumberFormat="1" applyFont="1" applyFill="1" applyBorder="1" applyAlignment="1" applyProtection="1">
      <alignment horizontal="left" vertical="top" wrapText="1"/>
    </xf>
    <xf numFmtId="0" fontId="8" fillId="0" borderId="14" xfId="2" applyNumberFormat="1" applyFont="1" applyFill="1" applyBorder="1" applyAlignment="1" applyProtection="1">
      <alignment horizontal="center" vertical="center" wrapText="1"/>
    </xf>
    <xf numFmtId="0" fontId="18" fillId="0" borderId="7" xfId="2" applyNumberFormat="1" applyFont="1" applyFill="1" applyBorder="1" applyAlignment="1" applyProtection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wrapText="1"/>
    </xf>
    <xf numFmtId="0" fontId="8" fillId="12" borderId="14" xfId="2" applyNumberFormat="1" applyFont="1" applyFill="1" applyBorder="1" applyAlignment="1" applyProtection="1">
      <alignment horizontal="center" vertical="center" wrapText="1"/>
    </xf>
    <xf numFmtId="0" fontId="8" fillId="12" borderId="7" xfId="2" applyNumberFormat="1" applyFont="1" applyFill="1" applyBorder="1" applyAlignment="1" applyProtection="1">
      <alignment horizontal="center" vertical="center" wrapText="1"/>
    </xf>
    <xf numFmtId="0" fontId="8" fillId="12" borderId="8" xfId="2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49" fontId="9" fillId="4" borderId="6" xfId="2" applyNumberFormat="1" applyFont="1" applyFill="1" applyBorder="1" applyAlignment="1" applyProtection="1">
      <alignment horizontal="center" vertical="center" wrapText="1"/>
    </xf>
    <xf numFmtId="49" fontId="9" fillId="4" borderId="7" xfId="2" applyNumberFormat="1" applyFont="1" applyFill="1" applyBorder="1" applyAlignment="1" applyProtection="1">
      <alignment horizontal="center" vertical="center" wrapText="1"/>
    </xf>
    <xf numFmtId="49" fontId="9" fillId="4" borderId="8" xfId="2" applyNumberFormat="1" applyFont="1" applyFill="1" applyBorder="1" applyAlignment="1" applyProtection="1">
      <alignment horizontal="center" vertical="center" wrapText="1"/>
    </xf>
    <xf numFmtId="164" fontId="9" fillId="4" borderId="31" xfId="0" applyNumberFormat="1" applyFont="1" applyFill="1" applyBorder="1" applyAlignment="1" applyProtection="1">
      <alignment horizontal="center" vertical="center" wrapText="1"/>
    </xf>
    <xf numFmtId="164" fontId="9" fillId="4" borderId="33" xfId="0" applyNumberFormat="1" applyFont="1" applyFill="1" applyBorder="1" applyAlignment="1" applyProtection="1">
      <alignment horizontal="center" vertical="center" wrapText="1"/>
    </xf>
    <xf numFmtId="164" fontId="9" fillId="4" borderId="34" xfId="0" applyNumberFormat="1" applyFont="1" applyFill="1" applyBorder="1" applyAlignment="1" applyProtection="1">
      <alignment horizontal="center" vertical="center" wrapText="1"/>
    </xf>
    <xf numFmtId="0" fontId="19" fillId="0" borderId="31" xfId="4" applyNumberFormat="1" applyFont="1" applyFill="1" applyBorder="1" applyAlignment="1" applyProtection="1">
      <alignment horizontal="center" vertical="top"/>
    </xf>
    <xf numFmtId="0" fontId="19" fillId="0" borderId="33" xfId="4" applyNumberFormat="1" applyFont="1" applyFill="1" applyBorder="1" applyAlignment="1" applyProtection="1">
      <alignment horizontal="center" vertical="top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8" fillId="0" borderId="31" xfId="2" applyNumberFormat="1" applyFont="1" applyFill="1" applyBorder="1" applyAlignment="1" applyProtection="1">
      <alignment horizontal="center" vertical="center" wrapText="1"/>
    </xf>
    <xf numFmtId="49" fontId="8" fillId="0" borderId="33" xfId="2" applyNumberFormat="1" applyFont="1" applyFill="1" applyBorder="1" applyAlignment="1" applyProtection="1">
      <alignment horizontal="center" vertical="center" wrapText="1"/>
    </xf>
    <xf numFmtId="49" fontId="8" fillId="0" borderId="34" xfId="2" applyNumberFormat="1" applyFont="1" applyFill="1" applyBorder="1" applyAlignment="1" applyProtection="1">
      <alignment horizontal="center" vertical="center" wrapText="1"/>
    </xf>
    <xf numFmtId="49" fontId="8" fillId="0" borderId="39" xfId="2" applyNumberFormat="1" applyFont="1" applyFill="1" applyBorder="1" applyAlignment="1" applyProtection="1">
      <alignment horizontal="center" vertical="center" wrapText="1"/>
    </xf>
    <xf numFmtId="49" fontId="8" fillId="0" borderId="28" xfId="2" applyNumberFormat="1" applyFont="1" applyFill="1" applyBorder="1" applyAlignment="1" applyProtection="1">
      <alignment horizontal="center" vertical="center" wrapText="1"/>
    </xf>
    <xf numFmtId="49" fontId="8" fillId="0" borderId="4" xfId="2" applyNumberFormat="1" applyFont="1" applyFill="1" applyBorder="1" applyAlignment="1" applyProtection="1">
      <alignment horizontal="center" vertical="center" wrapText="1"/>
    </xf>
    <xf numFmtId="49" fontId="8" fillId="0" borderId="29" xfId="2" applyNumberFormat="1" applyFont="1" applyFill="1" applyBorder="1" applyAlignment="1" applyProtection="1">
      <alignment horizontal="center" vertical="center" wrapText="1"/>
    </xf>
    <xf numFmtId="49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22" xfId="2" applyNumberFormat="1" applyFont="1" applyFill="1" applyBorder="1" applyAlignment="1" applyProtection="1">
      <alignment horizontal="center" vertical="center" wrapText="1"/>
    </xf>
    <xf numFmtId="0" fontId="8" fillId="0" borderId="23" xfId="2" applyNumberFormat="1" applyFont="1" applyFill="1" applyBorder="1" applyAlignment="1" applyProtection="1">
      <alignment horizontal="center" vertical="center" wrapText="1"/>
    </xf>
    <xf numFmtId="0" fontId="8" fillId="0" borderId="24" xfId="2" applyNumberFormat="1" applyFont="1" applyFill="1" applyBorder="1" applyAlignment="1" applyProtection="1">
      <alignment horizontal="center" vertical="center" wrapText="1"/>
    </xf>
    <xf numFmtId="0" fontId="8" fillId="0" borderId="1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21" xfId="2" applyNumberFormat="1" applyFont="1" applyFill="1" applyBorder="1" applyAlignment="1" applyProtection="1">
      <alignment horizontal="center" vertical="center"/>
    </xf>
    <xf numFmtId="49" fontId="18" fillId="0" borderId="26" xfId="2" applyNumberFormat="1" applyFont="1" applyFill="1" applyBorder="1" applyAlignment="1" applyProtection="1">
      <alignment vertical="center"/>
    </xf>
    <xf numFmtId="49" fontId="8" fillId="0" borderId="30" xfId="2" applyNumberFormat="1" applyFont="1" applyFill="1" applyBorder="1" applyAlignment="1" applyProtection="1">
      <alignment horizontal="center" vertical="center" wrapText="1"/>
    </xf>
    <xf numFmtId="49" fontId="8" fillId="0" borderId="32" xfId="2" applyNumberFormat="1" applyFont="1" applyFill="1" applyBorder="1" applyAlignment="1" applyProtection="1">
      <alignment horizontal="center" vertical="center" wrapText="1"/>
    </xf>
    <xf numFmtId="49" fontId="8" fillId="0" borderId="16" xfId="2" applyNumberFormat="1" applyFont="1" applyFill="1" applyBorder="1" applyAlignment="1" applyProtection="1">
      <alignment horizontal="center" vertical="center" wrapText="1"/>
    </xf>
    <xf numFmtId="49" fontId="8" fillId="0" borderId="31" xfId="5" applyNumberFormat="1" applyFont="1" applyFill="1" applyBorder="1" applyAlignment="1" applyProtection="1">
      <alignment horizontal="center" vertical="top"/>
    </xf>
    <xf numFmtId="49" fontId="8" fillId="0" borderId="33" xfId="5" applyNumberFormat="1" applyFont="1" applyFill="1" applyBorder="1" applyAlignment="1" applyProtection="1">
      <alignment horizontal="center" vertical="top"/>
    </xf>
    <xf numFmtId="49" fontId="8" fillId="0" borderId="34" xfId="5" applyNumberFormat="1" applyFont="1" applyFill="1" applyBorder="1" applyAlignment="1" applyProtection="1">
      <alignment horizontal="center" vertical="top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0" fontId="8" fillId="2" borderId="27" xfId="1" applyNumberFormat="1" applyFont="1" applyFill="1" applyBorder="1" applyAlignment="1" applyProtection="1">
      <alignment horizontal="center" vertical="center" wrapText="1"/>
    </xf>
    <xf numFmtId="49" fontId="8" fillId="0" borderId="6" xfId="5" applyNumberFormat="1" applyFont="1" applyFill="1" applyBorder="1" applyAlignment="1" applyProtection="1">
      <alignment horizontal="center" vertical="top"/>
    </xf>
    <xf numFmtId="49" fontId="8" fillId="0" borderId="7" xfId="5" applyNumberFormat="1" applyFont="1" applyFill="1" applyBorder="1" applyAlignment="1" applyProtection="1">
      <alignment horizontal="center" vertical="top"/>
    </xf>
    <xf numFmtId="49" fontId="8" fillId="0" borderId="8" xfId="5" applyNumberFormat="1" applyFont="1" applyFill="1" applyBorder="1" applyAlignment="1" applyProtection="1">
      <alignment horizontal="center" vertical="top"/>
    </xf>
    <xf numFmtId="0" fontId="8" fillId="12" borderId="14" xfId="1" applyNumberFormat="1" applyFont="1" applyFill="1" applyBorder="1" applyAlignment="1" applyProtection="1">
      <alignment horizontal="center" vertical="center" wrapText="1"/>
    </xf>
    <xf numFmtId="0" fontId="8" fillId="12" borderId="8" xfId="1" applyNumberFormat="1" applyFont="1" applyFill="1" applyBorder="1" applyAlignment="1" applyProtection="1">
      <alignment horizontal="center" vertical="center" wrapText="1"/>
    </xf>
    <xf numFmtId="0" fontId="8" fillId="2" borderId="14" xfId="1" applyNumberFormat="1" applyFont="1" applyFill="1" applyBorder="1" applyAlignment="1" applyProtection="1">
      <alignment horizontal="center" vertical="center" wrapText="1"/>
    </xf>
    <xf numFmtId="0" fontId="8" fillId="6" borderId="8" xfId="1" applyNumberFormat="1" applyFont="1" applyFill="1" applyBorder="1" applyAlignment="1" applyProtection="1">
      <alignment horizontal="center" vertical="center" wrapText="1"/>
    </xf>
    <xf numFmtId="0" fontId="8" fillId="2" borderId="17" xfId="1" applyNumberFormat="1" applyFont="1" applyFill="1" applyBorder="1" applyAlignment="1" applyProtection="1">
      <alignment horizontal="center" vertical="center" wrapText="1"/>
    </xf>
    <xf numFmtId="0" fontId="8" fillId="2" borderId="18" xfId="1" applyNumberFormat="1" applyFont="1" applyFill="1" applyBorder="1" applyAlignment="1" applyProtection="1">
      <alignment horizontal="center" vertical="center" wrapText="1"/>
    </xf>
    <xf numFmtId="0" fontId="8" fillId="2" borderId="19" xfId="1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8" fillId="2" borderId="15" xfId="1" applyNumberFormat="1" applyFont="1" applyFill="1" applyBorder="1" applyAlignment="1" applyProtection="1">
      <alignment horizontal="center" vertical="center" wrapText="1"/>
    </xf>
    <xf numFmtId="0" fontId="8" fillId="2" borderId="16" xfId="1" applyNumberFormat="1" applyFont="1" applyFill="1" applyBorder="1" applyAlignment="1" applyProtection="1">
      <alignment horizontal="center" vertical="center" wrapText="1"/>
    </xf>
    <xf numFmtId="49" fontId="8" fillId="4" borderId="30" xfId="5" applyNumberFormat="1" applyFont="1" applyFill="1" applyBorder="1" applyAlignment="1" applyProtection="1">
      <alignment horizontal="center" vertical="top" wrapText="1"/>
    </xf>
    <xf numFmtId="49" fontId="8" fillId="4" borderId="32" xfId="5" applyNumberFormat="1" applyFont="1" applyFill="1" applyBorder="1" applyAlignment="1" applyProtection="1">
      <alignment horizontal="center" vertical="top" wrapText="1"/>
    </xf>
    <xf numFmtId="49" fontId="8" fillId="4" borderId="16" xfId="5" applyNumberFormat="1" applyFont="1" applyFill="1" applyBorder="1" applyAlignment="1" applyProtection="1">
      <alignment horizontal="center" vertical="top" wrapText="1"/>
    </xf>
    <xf numFmtId="49" fontId="8" fillId="4" borderId="6" xfId="5" applyNumberFormat="1" applyFont="1" applyFill="1" applyBorder="1" applyAlignment="1" applyProtection="1">
      <alignment horizontal="left" vertical="top" wrapText="1"/>
    </xf>
    <xf numFmtId="49" fontId="8" fillId="4" borderId="7" xfId="5" applyNumberFormat="1" applyFont="1" applyFill="1" applyBorder="1" applyAlignment="1" applyProtection="1">
      <alignment horizontal="left" vertical="top" wrapText="1"/>
    </xf>
    <xf numFmtId="49" fontId="8" fillId="4" borderId="8" xfId="5" applyNumberFormat="1" applyFont="1" applyFill="1" applyBorder="1" applyAlignment="1" applyProtection="1">
      <alignment horizontal="left" vertical="top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49" fontId="8" fillId="0" borderId="30" xfId="5" applyNumberFormat="1" applyFont="1" applyFill="1" applyBorder="1" applyAlignment="1" applyProtection="1">
      <alignment horizontal="center" vertical="top"/>
    </xf>
    <xf numFmtId="49" fontId="8" fillId="0" borderId="32" xfId="5" applyNumberFormat="1" applyFont="1" applyFill="1" applyBorder="1" applyAlignment="1" applyProtection="1">
      <alignment horizontal="center" vertical="top"/>
    </xf>
    <xf numFmtId="49" fontId="8" fillId="0" borderId="16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49" fontId="8" fillId="0" borderId="7" xfId="5" applyNumberFormat="1" applyFont="1" applyFill="1" applyBorder="1" applyAlignment="1" applyProtection="1">
      <alignment horizontal="center" vertical="center" wrapText="1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9" fillId="4" borderId="6" xfId="5" applyNumberFormat="1" applyFont="1" applyFill="1" applyBorder="1" applyAlignment="1" applyProtection="1">
      <alignment horizontal="center" vertical="center" wrapText="1"/>
    </xf>
    <xf numFmtId="49" fontId="9" fillId="4" borderId="8" xfId="5" applyNumberFormat="1" applyFont="1" applyFill="1" applyBorder="1" applyAlignment="1" applyProtection="1">
      <alignment horizontal="center" vertical="center" wrapText="1"/>
    </xf>
    <xf numFmtId="0" fontId="9" fillId="4" borderId="31" xfId="5" applyNumberFormat="1" applyFont="1" applyFill="1" applyBorder="1" applyAlignment="1" applyProtection="1">
      <alignment horizontal="center" vertical="center" wrapText="1"/>
    </xf>
    <xf numFmtId="0" fontId="9" fillId="4" borderId="34" xfId="5" applyNumberFormat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>
      <alignment horizontal="right" vertical="center" wrapText="1"/>
    </xf>
    <xf numFmtId="0" fontId="8" fillId="0" borderId="36" xfId="1" applyFont="1" applyFill="1" applyBorder="1" applyAlignment="1">
      <alignment horizontal="right" vertical="center" wrapText="1"/>
    </xf>
    <xf numFmtId="0" fontId="8" fillId="0" borderId="26" xfId="4" applyNumberFormat="1" applyFont="1" applyFill="1" applyBorder="1" applyAlignment="1" applyProtection="1">
      <alignment horizontal="right" vertical="center"/>
    </xf>
    <xf numFmtId="49" fontId="9" fillId="4" borderId="7" xfId="5" applyNumberFormat="1" applyFont="1" applyFill="1" applyBorder="1" applyAlignment="1" applyProtection="1">
      <alignment horizontal="center" vertical="center" wrapText="1"/>
    </xf>
    <xf numFmtId="49" fontId="9" fillId="4" borderId="31" xfId="5" applyNumberFormat="1" applyFont="1" applyFill="1" applyBorder="1" applyAlignment="1" applyProtection="1">
      <alignment horizontal="center" vertical="center" wrapText="1"/>
    </xf>
    <xf numFmtId="49" fontId="9" fillId="4" borderId="33" xfId="5" applyNumberFormat="1" applyFont="1" applyFill="1" applyBorder="1" applyAlignment="1" applyProtection="1">
      <alignment horizontal="center" vertical="center" wrapText="1"/>
    </xf>
    <xf numFmtId="49" fontId="9" fillId="4" borderId="34" xfId="5" applyNumberFormat="1" applyFont="1" applyFill="1" applyBorder="1" applyAlignment="1" applyProtection="1">
      <alignment horizontal="center" vertical="center" wrapText="1"/>
    </xf>
    <xf numFmtId="0" fontId="8" fillId="5" borderId="26" xfId="4" applyNumberFormat="1" applyFont="1" applyFill="1" applyBorder="1" applyAlignment="1">
      <alignment horizontal="right" vertical="center" wrapText="1"/>
    </xf>
    <xf numFmtId="49" fontId="8" fillId="4" borderId="6" xfId="5" applyNumberFormat="1" applyFont="1" applyFill="1" applyBorder="1" applyAlignment="1" applyProtection="1">
      <alignment horizontal="center" vertical="top"/>
    </xf>
    <xf numFmtId="49" fontId="8" fillId="4" borderId="8" xfId="5" applyNumberFormat="1" applyFont="1" applyFill="1" applyBorder="1" applyAlignment="1" applyProtection="1">
      <alignment horizontal="center" vertical="top"/>
    </xf>
    <xf numFmtId="0" fontId="8" fillId="0" borderId="26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8" fillId="0" borderId="28" xfId="1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horizontal="right" vertical="center" wrapText="1"/>
    </xf>
    <xf numFmtId="0" fontId="8" fillId="9" borderId="21" xfId="5" applyNumberFormat="1" applyFont="1" applyFill="1" applyBorder="1" applyAlignment="1" applyProtection="1">
      <alignment horizontal="right" vertical="center" wrapText="1"/>
    </xf>
    <xf numFmtId="0" fontId="8" fillId="9" borderId="20" xfId="5" applyNumberFormat="1" applyFont="1" applyFill="1" applyBorder="1" applyAlignment="1" applyProtection="1">
      <alignment horizontal="right" vertical="center" wrapText="1"/>
    </xf>
    <xf numFmtId="0" fontId="8" fillId="4" borderId="2" xfId="3" applyNumberFormat="1" applyFont="1" applyFill="1" applyBorder="1" applyAlignment="1" applyProtection="1">
      <alignment horizontal="left" vertical="top" wrapText="1"/>
    </xf>
    <xf numFmtId="49" fontId="8" fillId="4" borderId="30" xfId="5" applyNumberFormat="1" applyFont="1" applyFill="1" applyBorder="1" applyAlignment="1" applyProtection="1">
      <alignment horizontal="center" vertical="top"/>
    </xf>
    <xf numFmtId="49" fontId="8" fillId="4" borderId="16" xfId="5" applyNumberFormat="1" applyFont="1" applyFill="1" applyBorder="1" applyAlignment="1" applyProtection="1">
      <alignment horizontal="center" vertical="top"/>
    </xf>
    <xf numFmtId="0" fontId="8" fillId="4" borderId="6" xfId="3" applyNumberFormat="1" applyFont="1" applyFill="1" applyBorder="1" applyAlignment="1" applyProtection="1">
      <alignment horizontal="left" vertical="top" wrapText="1"/>
    </xf>
    <xf numFmtId="0" fontId="8" fillId="4" borderId="8" xfId="3" applyNumberFormat="1" applyFont="1" applyFill="1" applyBorder="1" applyAlignment="1" applyProtection="1">
      <alignment horizontal="left" vertical="top" wrapText="1"/>
    </xf>
    <xf numFmtId="165" fontId="5" fillId="7" borderId="0" xfId="5" applyNumberFormat="1" applyFont="1" applyFill="1" applyBorder="1" applyAlignment="1" applyProtection="1">
      <alignment horizontal="center" vertical="top"/>
    </xf>
    <xf numFmtId="0" fontId="8" fillId="0" borderId="28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9" fillId="3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left" vertical="top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 wrapText="1"/>
    </xf>
    <xf numFmtId="0" fontId="9" fillId="4" borderId="8" xfId="3" applyNumberFormat="1" applyFont="1" applyFill="1" applyBorder="1" applyAlignment="1" applyProtection="1">
      <alignment horizontal="center" vertical="center" wrapText="1"/>
    </xf>
    <xf numFmtId="0" fontId="9" fillId="4" borderId="31" xfId="3" applyNumberFormat="1" applyFont="1" applyFill="1" applyBorder="1" applyAlignment="1" applyProtection="1">
      <alignment horizontal="center" vertical="center" wrapText="1"/>
    </xf>
    <xf numFmtId="0" fontId="9" fillId="4" borderId="33" xfId="3" applyNumberFormat="1" applyFont="1" applyFill="1" applyBorder="1" applyAlignment="1" applyProtection="1">
      <alignment horizontal="center" vertical="center" wrapText="1"/>
    </xf>
    <xf numFmtId="0" fontId="9" fillId="4" borderId="34" xfId="3" applyNumberFormat="1" applyFont="1" applyFill="1" applyBorder="1" applyAlignment="1" applyProtection="1">
      <alignment horizontal="center" vertical="center" wrapText="1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9" fillId="4" borderId="33" xfId="0" applyNumberFormat="1" applyFont="1" applyFill="1" applyBorder="1" applyAlignment="1" applyProtection="1">
      <alignment horizontal="center" vertical="center" wrapText="1"/>
    </xf>
    <xf numFmtId="0" fontId="9" fillId="4" borderId="34" xfId="0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00FFFF"/>
      <color rgb="FF99FF99"/>
      <color rgb="FFFFFFCC"/>
      <color rgb="FF99CCFF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&#1074;&#1072;&#1088;&#1080;&#1072;&#1085;&#1090;%2024.07.2018%20&#8470;3423/13.09.2018/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4%20&#1074;&#1072;&#1088;&#1080;&#1072;&#1085;&#1090;%20&#1086;&#1090;%2024.07.2018%20&#8470;3423/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05"/>
  <sheetViews>
    <sheetView view="pageBreakPreview" zoomScale="70" zoomScaleNormal="70" zoomScaleSheetLayoutView="70" workbookViewId="0">
      <pane ySplit="11" topLeftCell="A69" activePane="bottomLeft" state="frozen"/>
      <selection activeCell="F60" sqref="F60"/>
      <selection pane="bottomLeft" activeCell="D16" sqref="D16"/>
    </sheetView>
  </sheetViews>
  <sheetFormatPr defaultColWidth="9.140625" defaultRowHeight="15" x14ac:dyDescent="0.25"/>
  <cols>
    <col min="1" max="1" width="9.140625" style="7"/>
    <col min="2" max="2" width="57.28515625" style="7" customWidth="1"/>
    <col min="3" max="3" width="18.28515625" style="7" customWidth="1"/>
    <col min="4" max="4" width="33.42578125" style="7" customWidth="1"/>
    <col min="5" max="5" width="19.42578125" style="7" customWidth="1"/>
    <col min="6" max="6" width="19.28515625" style="102" customWidth="1"/>
    <col min="7" max="7" width="18.140625" style="7" customWidth="1"/>
    <col min="8" max="9" width="19" style="103" customWidth="1"/>
    <col min="10" max="10" width="19" style="7" customWidth="1"/>
    <col min="11" max="11" width="18.140625" style="7" customWidth="1"/>
    <col min="12" max="12" width="20.42578125" style="7" customWidth="1"/>
    <col min="13" max="13" width="28.42578125" style="7" customWidth="1"/>
    <col min="14" max="16" width="22" style="7" hidden="1" customWidth="1"/>
    <col min="17" max="17" width="22.42578125" style="7" hidden="1" customWidth="1"/>
    <col min="18" max="18" width="11.5703125" style="7" customWidth="1"/>
    <col min="19" max="21" width="11.140625" style="7" customWidth="1"/>
    <col min="22" max="22" width="9.140625" style="7" customWidth="1"/>
    <col min="23" max="16384" width="9.140625" style="7"/>
  </cols>
  <sheetData>
    <row r="1" spans="1:17" ht="15.75" customHeight="1" x14ac:dyDescent="0.25">
      <c r="A1" s="1"/>
      <c r="B1" s="2"/>
      <c r="C1" s="3"/>
      <c r="D1" s="2"/>
      <c r="E1" s="2"/>
      <c r="F1" s="4"/>
      <c r="G1" s="2"/>
      <c r="H1" s="5"/>
      <c r="I1" s="5"/>
      <c r="J1" s="6"/>
      <c r="K1" s="566" t="s">
        <v>365</v>
      </c>
      <c r="L1" s="566"/>
      <c r="M1" s="566"/>
      <c r="N1" s="402"/>
      <c r="O1" s="402"/>
      <c r="P1" s="402"/>
    </row>
    <row r="2" spans="1:17" ht="15.75" customHeight="1" x14ac:dyDescent="0.25">
      <c r="A2" s="1"/>
      <c r="B2" s="8"/>
      <c r="C2" s="9"/>
      <c r="D2" s="10"/>
      <c r="E2" s="10"/>
      <c r="F2" s="11"/>
      <c r="G2" s="12"/>
      <c r="H2" s="13"/>
      <c r="I2" s="13"/>
      <c r="J2" s="12"/>
      <c r="K2" s="566"/>
      <c r="L2" s="566"/>
      <c r="M2" s="566"/>
      <c r="N2" s="402"/>
      <c r="O2" s="402"/>
      <c r="P2" s="402"/>
    </row>
    <row r="3" spans="1:17" ht="32.25" customHeight="1" x14ac:dyDescent="0.25">
      <c r="A3" s="1"/>
      <c r="B3" s="8"/>
      <c r="C3" s="9"/>
      <c r="D3" s="10"/>
      <c r="E3" s="567"/>
      <c r="F3" s="567"/>
      <c r="G3" s="567"/>
      <c r="H3" s="13"/>
      <c r="I3" s="13"/>
      <c r="J3" s="12"/>
      <c r="K3" s="566"/>
      <c r="L3" s="566"/>
      <c r="M3" s="566"/>
      <c r="N3" s="402"/>
      <c r="O3" s="402"/>
      <c r="P3" s="402"/>
    </row>
    <row r="4" spans="1:17" ht="15.75" customHeight="1" x14ac:dyDescent="0.25">
      <c r="A4" s="456" t="s">
        <v>368</v>
      </c>
      <c r="B4" s="8"/>
      <c r="C4" s="9"/>
      <c r="D4" s="10"/>
      <c r="E4" s="10"/>
      <c r="F4" s="14"/>
      <c r="G4" s="12"/>
      <c r="H4" s="13"/>
      <c r="I4" s="13"/>
      <c r="J4" s="12"/>
      <c r="K4" s="566" t="s">
        <v>312</v>
      </c>
      <c r="L4" s="566"/>
      <c r="M4" s="566"/>
      <c r="N4" s="402"/>
      <c r="O4" s="402"/>
      <c r="P4" s="402"/>
    </row>
    <row r="5" spans="1:17" ht="18.75" x14ac:dyDescent="0.25">
      <c r="A5" s="15"/>
      <c r="B5" s="576" t="s">
        <v>140</v>
      </c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414"/>
      <c r="O5" s="414"/>
      <c r="P5" s="414"/>
    </row>
    <row r="6" spans="1:17" ht="16.5" thickBot="1" x14ac:dyDescent="0.3">
      <c r="A6" s="15"/>
      <c r="B6" s="10"/>
      <c r="C6" s="9"/>
      <c r="D6" s="10"/>
      <c r="E6" s="10"/>
      <c r="F6" s="14"/>
      <c r="G6" s="575"/>
      <c r="H6" s="575"/>
      <c r="I6" s="575"/>
      <c r="J6" s="575"/>
      <c r="K6" s="575"/>
      <c r="L6" s="575"/>
      <c r="M6" s="575"/>
      <c r="N6" s="413" t="s">
        <v>336</v>
      </c>
      <c r="O6" s="413" t="s">
        <v>337</v>
      </c>
      <c r="P6" s="413"/>
    </row>
    <row r="7" spans="1:17" ht="15" customHeight="1" x14ac:dyDescent="0.25">
      <c r="A7" s="582" t="s">
        <v>1</v>
      </c>
      <c r="B7" s="537" t="s">
        <v>6</v>
      </c>
      <c r="C7" s="537" t="s">
        <v>0</v>
      </c>
      <c r="D7" s="537" t="s">
        <v>2</v>
      </c>
      <c r="E7" s="537" t="s">
        <v>155</v>
      </c>
      <c r="F7" s="577" t="s">
        <v>3</v>
      </c>
      <c r="G7" s="549" t="s">
        <v>48</v>
      </c>
      <c r="H7" s="550"/>
      <c r="I7" s="550"/>
      <c r="J7" s="550"/>
      <c r="K7" s="551"/>
      <c r="L7" s="537" t="s">
        <v>17</v>
      </c>
      <c r="M7" s="580" t="s">
        <v>7</v>
      </c>
      <c r="N7" s="412"/>
      <c r="O7" s="412"/>
      <c r="P7" s="412"/>
    </row>
    <row r="8" spans="1:17" ht="18.75" x14ac:dyDescent="0.25">
      <c r="A8" s="583"/>
      <c r="B8" s="538"/>
      <c r="C8" s="538"/>
      <c r="D8" s="538"/>
      <c r="E8" s="538"/>
      <c r="F8" s="578"/>
      <c r="G8" s="552"/>
      <c r="H8" s="553"/>
      <c r="I8" s="553"/>
      <c r="J8" s="553"/>
      <c r="K8" s="554"/>
      <c r="L8" s="538"/>
      <c r="M8" s="581"/>
      <c r="N8" s="412"/>
      <c r="O8" s="412"/>
      <c r="P8" s="412"/>
    </row>
    <row r="9" spans="1:17" ht="27.75" customHeight="1" x14ac:dyDescent="0.25">
      <c r="A9" s="584"/>
      <c r="B9" s="539"/>
      <c r="C9" s="539"/>
      <c r="D9" s="539"/>
      <c r="E9" s="538"/>
      <c r="F9" s="579"/>
      <c r="G9" s="555"/>
      <c r="H9" s="556"/>
      <c r="I9" s="556"/>
      <c r="J9" s="556"/>
      <c r="K9" s="557"/>
      <c r="L9" s="538"/>
      <c r="M9" s="581"/>
      <c r="N9" s="412"/>
      <c r="O9" s="412"/>
      <c r="P9" s="412"/>
    </row>
    <row r="10" spans="1:17" ht="73.5" customHeight="1" x14ac:dyDescent="0.25">
      <c r="A10" s="584"/>
      <c r="B10" s="539"/>
      <c r="C10" s="539"/>
      <c r="D10" s="539"/>
      <c r="E10" s="538"/>
      <c r="F10" s="579"/>
      <c r="G10" s="411" t="s">
        <v>46</v>
      </c>
      <c r="H10" s="16" t="s">
        <v>47</v>
      </c>
      <c r="I10" s="17" t="s">
        <v>157</v>
      </c>
      <c r="J10" s="411" t="s">
        <v>158</v>
      </c>
      <c r="K10" s="411" t="s">
        <v>159</v>
      </c>
      <c r="L10" s="538"/>
      <c r="M10" s="581"/>
      <c r="N10" s="412"/>
      <c r="O10" s="412"/>
      <c r="P10" s="412"/>
    </row>
    <row r="11" spans="1:17" ht="18" customHeight="1" x14ac:dyDescent="0.25">
      <c r="A11" s="18">
        <v>1</v>
      </c>
      <c r="B11" s="19">
        <v>2</v>
      </c>
      <c r="C11" s="19" t="s">
        <v>18</v>
      </c>
      <c r="D11" s="19">
        <v>4</v>
      </c>
      <c r="E11" s="19" t="s">
        <v>19</v>
      </c>
      <c r="F11" s="20" t="s">
        <v>141</v>
      </c>
      <c r="G11" s="19" t="s">
        <v>20</v>
      </c>
      <c r="H11" s="21" t="s">
        <v>142</v>
      </c>
      <c r="I11" s="19" t="s">
        <v>21</v>
      </c>
      <c r="J11" s="19" t="s">
        <v>22</v>
      </c>
      <c r="K11" s="19" t="s">
        <v>30</v>
      </c>
      <c r="L11" s="19" t="s">
        <v>31</v>
      </c>
      <c r="M11" s="22" t="s">
        <v>50</v>
      </c>
      <c r="N11" s="357"/>
      <c r="O11" s="357"/>
      <c r="P11" s="357"/>
    </row>
    <row r="12" spans="1:17" ht="35.25" customHeight="1" x14ac:dyDescent="0.25">
      <c r="A12" s="543" t="s">
        <v>61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5"/>
      <c r="N12" s="412"/>
      <c r="O12" s="412"/>
      <c r="P12" s="412"/>
    </row>
    <row r="13" spans="1:17" ht="31.5" customHeight="1" x14ac:dyDescent="0.3">
      <c r="A13" s="561"/>
      <c r="B13" s="540" t="s">
        <v>266</v>
      </c>
      <c r="C13" s="523" t="s">
        <v>156</v>
      </c>
      <c r="D13" s="23" t="s">
        <v>10</v>
      </c>
      <c r="E13" s="24">
        <f>SUM(E14:E18)</f>
        <v>2336141.8930000002</v>
      </c>
      <c r="F13" s="25">
        <f>SUM(F14:F18)</f>
        <v>12088592.183</v>
      </c>
      <c r="G13" s="24">
        <f t="shared" ref="G13:K13" si="0">SUM(G14:G18)</f>
        <v>2616864.3339999998</v>
      </c>
      <c r="H13" s="26">
        <f>SUM(H14:H18)</f>
        <v>2832622.713</v>
      </c>
      <c r="I13" s="24">
        <f t="shared" si="0"/>
        <v>2749437.7119999998</v>
      </c>
      <c r="J13" s="24">
        <f t="shared" si="0"/>
        <v>2749437.7119999998</v>
      </c>
      <c r="K13" s="24">
        <f t="shared" si="0"/>
        <v>1140229.7120000001</v>
      </c>
      <c r="L13" s="546"/>
      <c r="M13" s="558"/>
      <c r="N13" s="358"/>
      <c r="O13" s="358"/>
      <c r="P13" s="358"/>
    </row>
    <row r="14" spans="1:17" ht="37.5" x14ac:dyDescent="0.3">
      <c r="A14" s="562"/>
      <c r="B14" s="541"/>
      <c r="C14" s="524"/>
      <c r="D14" s="27" t="s">
        <v>5</v>
      </c>
      <c r="E14" s="28">
        <f>E23+E24+E25+E34+E38+E42+E43+E44</f>
        <v>1302780</v>
      </c>
      <c r="F14" s="29">
        <f>SUM(G14:K14)</f>
        <v>6400265</v>
      </c>
      <c r="G14" s="28">
        <f>G23+G24+G25+G34+G38+G42+G43+G44</f>
        <v>1531991</v>
      </c>
      <c r="H14" s="30">
        <f>H23+H24+H25+H34+H38+H42+H43+H44</f>
        <v>1682724</v>
      </c>
      <c r="I14" s="28">
        <f>I23+I24+I25+I34+I38+I42+I43+I44</f>
        <v>1592775</v>
      </c>
      <c r="J14" s="28">
        <f>J23+J24+J25+J34+J38+J42+J43+J44</f>
        <v>1592775</v>
      </c>
      <c r="K14" s="28">
        <f>K23+K24+K25+K34+K38+K42+K43+K44</f>
        <v>0</v>
      </c>
      <c r="L14" s="547"/>
      <c r="M14" s="559"/>
      <c r="N14" s="358"/>
      <c r="O14" s="358"/>
      <c r="P14" s="358"/>
      <c r="Q14" s="31"/>
    </row>
    <row r="15" spans="1:17" ht="56.25" x14ac:dyDescent="0.3">
      <c r="A15" s="562"/>
      <c r="B15" s="541"/>
      <c r="C15" s="524"/>
      <c r="D15" s="27" t="s">
        <v>12</v>
      </c>
      <c r="E15" s="32">
        <f>E19+E22+E26+E28+E31+E32+E33+E35+E37+E40+E45+E46</f>
        <v>731334.36599999992</v>
      </c>
      <c r="F15" s="29">
        <f t="shared" ref="F15:F17" si="1">SUM(G15:K15)</f>
        <v>3930336.0430000005</v>
      </c>
      <c r="G15" s="32">
        <f>G19+G22+G26+G28+G31+G32+G33+G35+G37+G40+G45+G46+G48</f>
        <v>746450.82100000011</v>
      </c>
      <c r="H15" s="33">
        <f t="shared" ref="H15:K15" si="2">H19+H22+H26+H28+H31+H32+H33+H35+H37+H40+H45+H46+H48</f>
        <v>789379.73300000001</v>
      </c>
      <c r="I15" s="32">
        <f t="shared" si="2"/>
        <v>803646.16300000006</v>
      </c>
      <c r="J15" s="32">
        <f t="shared" si="2"/>
        <v>803646.16300000006</v>
      </c>
      <c r="K15" s="32">
        <f t="shared" si="2"/>
        <v>787213.16300000006</v>
      </c>
      <c r="L15" s="547"/>
      <c r="M15" s="559"/>
      <c r="N15" s="358"/>
      <c r="O15" s="358"/>
      <c r="P15" s="358"/>
      <c r="Q15" s="31"/>
    </row>
    <row r="16" spans="1:17" ht="123" customHeight="1" x14ac:dyDescent="0.3">
      <c r="A16" s="562"/>
      <c r="B16" s="541"/>
      <c r="C16" s="524"/>
      <c r="D16" s="27" t="s">
        <v>93</v>
      </c>
      <c r="E16" s="34">
        <f>E39+E29+E41+E47+E36</f>
        <v>13678.833999999999</v>
      </c>
      <c r="F16" s="29">
        <f>SUM(G16:K16)</f>
        <v>12141.043</v>
      </c>
      <c r="G16" s="34">
        <f>G29+G36+G39+G41+G47</f>
        <v>8216.7669999999998</v>
      </c>
      <c r="H16" s="33">
        <f t="shared" ref="H16:K16" si="3">H29+H36+H39+H41+H47</f>
        <v>3924.2760000000003</v>
      </c>
      <c r="I16" s="34">
        <f t="shared" si="3"/>
        <v>0</v>
      </c>
      <c r="J16" s="34">
        <f t="shared" si="3"/>
        <v>0</v>
      </c>
      <c r="K16" s="34">
        <f t="shared" si="3"/>
        <v>0</v>
      </c>
      <c r="L16" s="547"/>
      <c r="M16" s="559"/>
      <c r="N16" s="358"/>
      <c r="O16" s="358"/>
      <c r="P16" s="358"/>
      <c r="Q16" s="31"/>
    </row>
    <row r="17" spans="1:23" ht="75" x14ac:dyDescent="0.3">
      <c r="A17" s="562"/>
      <c r="B17" s="541"/>
      <c r="C17" s="524"/>
      <c r="D17" s="17" t="s">
        <v>51</v>
      </c>
      <c r="E17" s="28">
        <f>E20+E30</f>
        <v>36793.925999999999</v>
      </c>
      <c r="F17" s="29">
        <f t="shared" si="1"/>
        <v>217545.00699999998</v>
      </c>
      <c r="G17" s="28">
        <f>G20+G30</f>
        <v>38885.425999999999</v>
      </c>
      <c r="H17" s="30">
        <f>H20+H30</f>
        <v>45920.894</v>
      </c>
      <c r="I17" s="28">
        <f>I20+I30</f>
        <v>44246.228999999999</v>
      </c>
      <c r="J17" s="28">
        <f>J20+J30</f>
        <v>44246.228999999999</v>
      </c>
      <c r="K17" s="28">
        <f>K20+K30</f>
        <v>44246.228999999999</v>
      </c>
      <c r="L17" s="547"/>
      <c r="M17" s="559"/>
      <c r="N17" s="358"/>
      <c r="O17" s="358"/>
      <c r="P17" s="358"/>
      <c r="R17" s="31"/>
      <c r="S17" s="35"/>
      <c r="T17" s="35"/>
    </row>
    <row r="18" spans="1:23" ht="56.25" x14ac:dyDescent="0.3">
      <c r="A18" s="563"/>
      <c r="B18" s="542"/>
      <c r="C18" s="525"/>
      <c r="D18" s="17" t="s">
        <v>64</v>
      </c>
      <c r="E18" s="28">
        <f t="shared" ref="E18" si="4">E21</f>
        <v>251554.76699999999</v>
      </c>
      <c r="F18" s="29">
        <f>SUM(G18:K18)</f>
        <v>1528305.09</v>
      </c>
      <c r="G18" s="28">
        <f>G21</f>
        <v>291320.32000000001</v>
      </c>
      <c r="H18" s="30">
        <f>H21</f>
        <v>310673.81</v>
      </c>
      <c r="I18" s="28">
        <f t="shared" ref="I18:K18" si="5">I21</f>
        <v>308770.32</v>
      </c>
      <c r="J18" s="28">
        <f t="shared" si="5"/>
        <v>308770.32</v>
      </c>
      <c r="K18" s="28">
        <f t="shared" si="5"/>
        <v>308770.32</v>
      </c>
      <c r="L18" s="548"/>
      <c r="M18" s="560"/>
      <c r="N18" s="358"/>
      <c r="O18" s="358"/>
      <c r="P18" s="358"/>
      <c r="S18" s="35"/>
      <c r="T18" s="35"/>
      <c r="U18" s="35"/>
    </row>
    <row r="19" spans="1:23" ht="66" customHeight="1" x14ac:dyDescent="0.25">
      <c r="A19" s="498" t="s">
        <v>100</v>
      </c>
      <c r="B19" s="475" t="s">
        <v>65</v>
      </c>
      <c r="C19" s="479" t="s">
        <v>156</v>
      </c>
      <c r="D19" s="36" t="s">
        <v>12</v>
      </c>
      <c r="E19" s="37">
        <v>607188.58499999996</v>
      </c>
      <c r="F19" s="38">
        <f>SUM(G19:K19)</f>
        <v>2966721.5420000004</v>
      </c>
      <c r="G19" s="37">
        <v>587406.33700000006</v>
      </c>
      <c r="H19" s="419">
        <v>587126.05299999996</v>
      </c>
      <c r="I19" s="37">
        <v>597396.38399999996</v>
      </c>
      <c r="J19" s="37">
        <v>597396.38399999996</v>
      </c>
      <c r="K19" s="37">
        <v>597396.38399999996</v>
      </c>
      <c r="L19" s="565" t="s">
        <v>11</v>
      </c>
      <c r="M19" s="564" t="s">
        <v>66</v>
      </c>
      <c r="N19" s="28">
        <f>('[1]Лист 1'!$F$315+'[1]Лист 1'!$F$316+'[1]Лист 1'!$F$317+'[1]Лист 1'!$F$318+'[1]Лист 1'!$F$319)/1000</f>
        <v>586716.05299999996</v>
      </c>
      <c r="O19" s="379">
        <v>590642.84799999988</v>
      </c>
      <c r="P19" s="379">
        <f>N19-O19</f>
        <v>-3926.7949999999255</v>
      </c>
      <c r="Q19" s="391" t="s">
        <v>324</v>
      </c>
      <c r="R19" s="7" t="s">
        <v>348</v>
      </c>
    </row>
    <row r="20" spans="1:23" ht="75" x14ac:dyDescent="0.25">
      <c r="A20" s="503"/>
      <c r="B20" s="489"/>
      <c r="C20" s="497"/>
      <c r="D20" s="41" t="s">
        <v>51</v>
      </c>
      <c r="E20" s="42">
        <v>25069.506000000001</v>
      </c>
      <c r="F20" s="38">
        <f t="shared" ref="F20:F48" si="6">SUM(G20:K20)</f>
        <v>170883.24</v>
      </c>
      <c r="G20" s="42">
        <v>31072.702000000001</v>
      </c>
      <c r="H20" s="419">
        <f>30488.556+5013.918-2452.968+253.61</f>
        <v>33303.116000000002</v>
      </c>
      <c r="I20" s="42">
        <v>35502.474000000002</v>
      </c>
      <c r="J20" s="42">
        <v>35502.474000000002</v>
      </c>
      <c r="K20" s="42">
        <v>35502.474000000002</v>
      </c>
      <c r="L20" s="565"/>
      <c r="M20" s="564"/>
      <c r="N20" s="28">
        <v>33049.506000000001</v>
      </c>
      <c r="O20" s="379">
        <v>33049.506000000001</v>
      </c>
      <c r="P20" s="379">
        <f t="shared" ref="P20:P67" si="7">N20-O20</f>
        <v>0</v>
      </c>
      <c r="Q20" s="254" t="s">
        <v>331</v>
      </c>
      <c r="R20" s="44" t="s">
        <v>361</v>
      </c>
      <c r="S20" s="44"/>
      <c r="T20" s="44"/>
    </row>
    <row r="21" spans="1:23" ht="56.25" x14ac:dyDescent="0.25">
      <c r="A21" s="499"/>
      <c r="B21" s="476"/>
      <c r="C21" s="497"/>
      <c r="D21" s="41" t="s">
        <v>64</v>
      </c>
      <c r="E21" s="42">
        <v>251554.76699999999</v>
      </c>
      <c r="F21" s="38">
        <f t="shared" si="6"/>
        <v>1528305.09</v>
      </c>
      <c r="G21" s="42">
        <f>286338.82+4981.5</f>
        <v>291320.32000000001</v>
      </c>
      <c r="H21" s="39">
        <f>308770.32+1903.49</f>
        <v>310673.81</v>
      </c>
      <c r="I21" s="42">
        <v>308770.32</v>
      </c>
      <c r="J21" s="42">
        <v>308770.32</v>
      </c>
      <c r="K21" s="42">
        <v>308770.32</v>
      </c>
      <c r="L21" s="565"/>
      <c r="M21" s="564"/>
      <c r="N21" s="28">
        <f>314335.695+1903.49</f>
        <v>316239.185</v>
      </c>
      <c r="O21" s="379">
        <v>308770.32</v>
      </c>
      <c r="P21" s="379">
        <f t="shared" si="7"/>
        <v>7468.8649999999907</v>
      </c>
      <c r="Q21" s="390" t="s">
        <v>343</v>
      </c>
      <c r="R21" s="44"/>
      <c r="S21" s="44"/>
      <c r="T21" s="44"/>
    </row>
    <row r="22" spans="1:23" ht="99" customHeight="1" x14ac:dyDescent="0.3">
      <c r="A22" s="400" t="s">
        <v>101</v>
      </c>
      <c r="B22" s="45" t="s">
        <v>71</v>
      </c>
      <c r="C22" s="41" t="s">
        <v>156</v>
      </c>
      <c r="D22" s="41" t="s">
        <v>12</v>
      </c>
      <c r="E22" s="42">
        <v>97943.71</v>
      </c>
      <c r="F22" s="38">
        <f t="shared" si="6"/>
        <v>467393.36299999995</v>
      </c>
      <c r="G22" s="42">
        <v>123994.07</v>
      </c>
      <c r="H22" s="43">
        <v>73401.635999999999</v>
      </c>
      <c r="I22" s="42">
        <v>89999.218999999997</v>
      </c>
      <c r="J22" s="42">
        <v>89999.218999999997</v>
      </c>
      <c r="K22" s="42">
        <v>89999.218999999997</v>
      </c>
      <c r="L22" s="404" t="s">
        <v>11</v>
      </c>
      <c r="M22" s="46" t="s">
        <v>66</v>
      </c>
      <c r="N22" s="28">
        <f>('[1]Лист 1'!$F$320+'[1]Лист 1'!$F$321+'[1]Лист 1'!$F$322)/1000</f>
        <v>73401.635999999999</v>
      </c>
      <c r="O22" s="379">
        <v>84512.56</v>
      </c>
      <c r="P22" s="379">
        <f t="shared" si="7"/>
        <v>-11110.923999999999</v>
      </c>
      <c r="Q22" s="40"/>
      <c r="R22" s="44"/>
      <c r="S22" s="44"/>
      <c r="T22" s="44"/>
    </row>
    <row r="23" spans="1:23" ht="223.5" customHeight="1" x14ac:dyDescent="0.25">
      <c r="A23" s="47" t="s">
        <v>102</v>
      </c>
      <c r="B23" s="48" t="s">
        <v>67</v>
      </c>
      <c r="C23" s="41" t="s">
        <v>156</v>
      </c>
      <c r="D23" s="36" t="s">
        <v>5</v>
      </c>
      <c r="E23" s="42">
        <v>1114065</v>
      </c>
      <c r="F23" s="38">
        <f t="shared" si="6"/>
        <v>5511628</v>
      </c>
      <c r="G23" s="37">
        <v>1330105</v>
      </c>
      <c r="H23" s="43">
        <v>1441905</v>
      </c>
      <c r="I23" s="42">
        <v>1369809</v>
      </c>
      <c r="J23" s="42">
        <v>1369809</v>
      </c>
      <c r="K23" s="42">
        <v>0</v>
      </c>
      <c r="L23" s="404" t="s">
        <v>11</v>
      </c>
      <c r="M23" s="394" t="s">
        <v>228</v>
      </c>
      <c r="N23" s="28">
        <v>1441905</v>
      </c>
      <c r="O23" s="379">
        <v>1369809</v>
      </c>
      <c r="P23" s="379">
        <f t="shared" si="7"/>
        <v>72096</v>
      </c>
      <c r="R23" s="49"/>
      <c r="S23" s="49"/>
      <c r="T23" s="44"/>
      <c r="U23" s="44"/>
      <c r="V23" s="50"/>
      <c r="W23" s="50"/>
    </row>
    <row r="24" spans="1:23" ht="183.75" customHeight="1" x14ac:dyDescent="0.25">
      <c r="A24" s="400" t="s">
        <v>103</v>
      </c>
      <c r="B24" s="48" t="s">
        <v>68</v>
      </c>
      <c r="C24" s="41" t="s">
        <v>156</v>
      </c>
      <c r="D24" s="41" t="s">
        <v>5</v>
      </c>
      <c r="E24" s="42">
        <v>76694</v>
      </c>
      <c r="F24" s="38">
        <f t="shared" si="6"/>
        <v>308817</v>
      </c>
      <c r="G24" s="42">
        <v>64520</v>
      </c>
      <c r="H24" s="43">
        <v>92501</v>
      </c>
      <c r="I24" s="42">
        <v>75898</v>
      </c>
      <c r="J24" s="42">
        <v>75898</v>
      </c>
      <c r="K24" s="42">
        <v>0</v>
      </c>
      <c r="L24" s="398" t="s">
        <v>11</v>
      </c>
      <c r="M24" s="397" t="s">
        <v>224</v>
      </c>
      <c r="N24" s="28">
        <f>'[2]Лист 1'!$J$327/1000</f>
        <v>92501</v>
      </c>
      <c r="O24" s="379">
        <v>75898</v>
      </c>
      <c r="P24" s="379">
        <f t="shared" si="7"/>
        <v>16603</v>
      </c>
      <c r="R24" s="50"/>
      <c r="S24" s="50"/>
      <c r="T24" s="50"/>
    </row>
    <row r="25" spans="1:23" ht="63.75" customHeight="1" x14ac:dyDescent="0.25">
      <c r="A25" s="498" t="s">
        <v>104</v>
      </c>
      <c r="B25" s="475" t="s">
        <v>160</v>
      </c>
      <c r="C25" s="479" t="s">
        <v>156</v>
      </c>
      <c r="D25" s="41" t="s">
        <v>5</v>
      </c>
      <c r="E25" s="42">
        <v>31013</v>
      </c>
      <c r="F25" s="38">
        <f t="shared" si="6"/>
        <v>108994</v>
      </c>
      <c r="G25" s="42">
        <v>28213</v>
      </c>
      <c r="H25" s="43">
        <v>26927</v>
      </c>
      <c r="I25" s="42">
        <v>26927</v>
      </c>
      <c r="J25" s="42">
        <v>26927</v>
      </c>
      <c r="K25" s="42">
        <v>0</v>
      </c>
      <c r="L25" s="460" t="s">
        <v>11</v>
      </c>
      <c r="M25" s="463" t="s">
        <v>219</v>
      </c>
      <c r="N25" s="28">
        <f>'[1]Лист 1'!$F$328/1000</f>
        <v>26927</v>
      </c>
      <c r="O25" s="379">
        <v>26927</v>
      </c>
      <c r="P25" s="379">
        <f t="shared" si="7"/>
        <v>0</v>
      </c>
      <c r="R25" s="44"/>
      <c r="S25" s="44"/>
      <c r="T25" s="44"/>
    </row>
    <row r="26" spans="1:23" ht="63.75" customHeight="1" x14ac:dyDescent="0.25">
      <c r="A26" s="503"/>
      <c r="B26" s="489"/>
      <c r="C26" s="497"/>
      <c r="D26" s="41" t="s">
        <v>12</v>
      </c>
      <c r="E26" s="42">
        <v>6352</v>
      </c>
      <c r="F26" s="38">
        <f t="shared" si="6"/>
        <v>58704</v>
      </c>
      <c r="G26" s="42">
        <v>9405</v>
      </c>
      <c r="H26" s="43">
        <v>16433</v>
      </c>
      <c r="I26" s="42">
        <v>16433</v>
      </c>
      <c r="J26" s="42">
        <v>16433</v>
      </c>
      <c r="K26" s="42">
        <v>0</v>
      </c>
      <c r="L26" s="461"/>
      <c r="M26" s="464"/>
      <c r="N26" s="28">
        <f>'[1]Лист 1'!$F$329/1000</f>
        <v>16433</v>
      </c>
      <c r="O26" s="379">
        <v>16433</v>
      </c>
      <c r="P26" s="379">
        <f t="shared" si="7"/>
        <v>0</v>
      </c>
    </row>
    <row r="27" spans="1:23" ht="93.75" x14ac:dyDescent="0.25">
      <c r="A27" s="499"/>
      <c r="B27" s="476"/>
      <c r="C27" s="480"/>
      <c r="D27" s="36" t="s">
        <v>311</v>
      </c>
      <c r="E27" s="42">
        <v>0</v>
      </c>
      <c r="F27" s="38">
        <f t="shared" si="6"/>
        <v>16433</v>
      </c>
      <c r="G27" s="42">
        <v>0</v>
      </c>
      <c r="H27" s="43">
        <v>16433</v>
      </c>
      <c r="I27" s="42">
        <v>0</v>
      </c>
      <c r="J27" s="42">
        <v>0</v>
      </c>
      <c r="K27" s="42">
        <v>0</v>
      </c>
      <c r="L27" s="462"/>
      <c r="M27" s="465"/>
      <c r="N27" s="28">
        <v>16433</v>
      </c>
      <c r="O27" s="379">
        <v>16433</v>
      </c>
      <c r="P27" s="379">
        <f t="shared" si="7"/>
        <v>0</v>
      </c>
    </row>
    <row r="28" spans="1:23" ht="68.25" customHeight="1" x14ac:dyDescent="0.25">
      <c r="A28" s="498" t="s">
        <v>105</v>
      </c>
      <c r="B28" s="504" t="s">
        <v>161</v>
      </c>
      <c r="C28" s="479" t="s">
        <v>156</v>
      </c>
      <c r="D28" s="36" t="s">
        <v>12</v>
      </c>
      <c r="E28" s="42">
        <v>2739.2159999999999</v>
      </c>
      <c r="F28" s="38">
        <f t="shared" si="6"/>
        <v>18847.306</v>
      </c>
      <c r="G28" s="42">
        <f>4200+185+2601+236.5+2237+1000</f>
        <v>10459.5</v>
      </c>
      <c r="H28" s="43">
        <v>8387.8060000000005</v>
      </c>
      <c r="I28" s="42">
        <v>0</v>
      </c>
      <c r="J28" s="42">
        <v>0</v>
      </c>
      <c r="K28" s="42">
        <v>0</v>
      </c>
      <c r="L28" s="460" t="s">
        <v>41</v>
      </c>
      <c r="M28" s="470" t="s">
        <v>339</v>
      </c>
      <c r="N28" s="28">
        <f>('[1]Лист 1'!$F$330)/1000</f>
        <v>8387.8060000000005</v>
      </c>
      <c r="O28" s="379">
        <v>421.036</v>
      </c>
      <c r="P28" s="379">
        <f t="shared" si="7"/>
        <v>7966.77</v>
      </c>
      <c r="Q28" s="342" t="s">
        <v>342</v>
      </c>
      <c r="R28" s="49"/>
      <c r="S28" s="49"/>
      <c r="T28" s="49"/>
      <c r="U28" s="49"/>
    </row>
    <row r="29" spans="1:23" ht="117.75" customHeight="1" x14ac:dyDescent="0.25">
      <c r="A29" s="503"/>
      <c r="B29" s="505"/>
      <c r="C29" s="497"/>
      <c r="D29" s="36" t="s">
        <v>93</v>
      </c>
      <c r="E29" s="42">
        <f>6845.601+4543.233</f>
        <v>11388.833999999999</v>
      </c>
      <c r="F29" s="38">
        <f t="shared" si="6"/>
        <v>9886.44</v>
      </c>
      <c r="G29" s="42">
        <f>4426.868+1634.4+300</f>
        <v>6361.268</v>
      </c>
      <c r="H29" s="420">
        <f>652.921+1920+952.251</f>
        <v>3525.1720000000005</v>
      </c>
      <c r="I29" s="42">
        <v>0</v>
      </c>
      <c r="J29" s="42">
        <v>0</v>
      </c>
      <c r="K29" s="42">
        <v>0</v>
      </c>
      <c r="L29" s="461"/>
      <c r="M29" s="471"/>
      <c r="N29" s="28">
        <f>'[1]Лист 1'!$F$331/1000</f>
        <v>2572.9209999999998</v>
      </c>
      <c r="O29" s="379">
        <v>2572.9210000000003</v>
      </c>
      <c r="P29" s="379">
        <f t="shared" si="7"/>
        <v>0</v>
      </c>
      <c r="Q29" s="51"/>
      <c r="R29" s="49" t="s">
        <v>347</v>
      </c>
      <c r="S29" s="49"/>
      <c r="T29" s="49"/>
      <c r="U29" s="49"/>
      <c r="V29" s="49"/>
    </row>
    <row r="30" spans="1:23" ht="75" customHeight="1" x14ac:dyDescent="0.25">
      <c r="A30" s="499"/>
      <c r="B30" s="506"/>
      <c r="C30" s="480"/>
      <c r="D30" s="41" t="s">
        <v>51</v>
      </c>
      <c r="E30" s="42">
        <v>11724.42</v>
      </c>
      <c r="F30" s="38">
        <f t="shared" si="6"/>
        <v>46661.766999999993</v>
      </c>
      <c r="G30" s="42">
        <f>8743.755-931.031</f>
        <v>7812.7239999999993</v>
      </c>
      <c r="H30" s="420">
        <f>8743.755+6351.893-2220.023-257.847</f>
        <v>12617.778</v>
      </c>
      <c r="I30" s="42">
        <v>8743.7549999999992</v>
      </c>
      <c r="J30" s="42">
        <v>8743.7549999999992</v>
      </c>
      <c r="K30" s="42">
        <v>8743.7549999999992</v>
      </c>
      <c r="L30" s="462"/>
      <c r="M30" s="472"/>
      <c r="N30" s="28">
        <v>12875.625</v>
      </c>
      <c r="O30" s="379">
        <v>12875.625</v>
      </c>
      <c r="P30" s="379">
        <f t="shared" si="7"/>
        <v>0</v>
      </c>
      <c r="Q30" s="31" t="s">
        <v>331</v>
      </c>
      <c r="R30" s="52" t="s">
        <v>362</v>
      </c>
      <c r="S30" s="44"/>
      <c r="T30" s="44"/>
    </row>
    <row r="31" spans="1:23" ht="117" customHeight="1" x14ac:dyDescent="0.25">
      <c r="A31" s="53" t="s">
        <v>106</v>
      </c>
      <c r="B31" s="54" t="s">
        <v>166</v>
      </c>
      <c r="C31" s="41" t="s">
        <v>156</v>
      </c>
      <c r="D31" s="36" t="s">
        <v>12</v>
      </c>
      <c r="E31" s="42">
        <v>4800</v>
      </c>
      <c r="F31" s="38">
        <f t="shared" si="6"/>
        <v>2925.3140000000003</v>
      </c>
      <c r="G31" s="42">
        <f>1135.422-184.356</f>
        <v>951.06600000000003</v>
      </c>
      <c r="H31" s="43">
        <v>1974.248</v>
      </c>
      <c r="I31" s="42">
        <v>0</v>
      </c>
      <c r="J31" s="42">
        <v>0</v>
      </c>
      <c r="K31" s="42">
        <v>0</v>
      </c>
      <c r="L31" s="395" t="s">
        <v>8</v>
      </c>
      <c r="M31" s="396" t="s">
        <v>223</v>
      </c>
      <c r="N31" s="28">
        <f>('[1]Лист 1'!$F$332+'[1]Лист 1'!$F$333)/1000</f>
        <v>1974.248</v>
      </c>
      <c r="O31" s="379">
        <v>1974.248</v>
      </c>
      <c r="P31" s="379">
        <f t="shared" si="7"/>
        <v>0</v>
      </c>
      <c r="Q31" s="31"/>
    </row>
    <row r="32" spans="1:23" ht="89.25" customHeight="1" x14ac:dyDescent="0.25">
      <c r="A32" s="399" t="s">
        <v>107</v>
      </c>
      <c r="B32" s="401" t="s">
        <v>167</v>
      </c>
      <c r="C32" s="41" t="s">
        <v>156</v>
      </c>
      <c r="D32" s="36" t="s">
        <v>12</v>
      </c>
      <c r="E32" s="37">
        <v>490</v>
      </c>
      <c r="F32" s="38">
        <f t="shared" si="6"/>
        <v>0</v>
      </c>
      <c r="G32" s="37">
        <f>1000-1000</f>
        <v>0</v>
      </c>
      <c r="H32" s="39">
        <v>0</v>
      </c>
      <c r="I32" s="37">
        <v>0</v>
      </c>
      <c r="J32" s="37">
        <v>0</v>
      </c>
      <c r="K32" s="37">
        <v>0</v>
      </c>
      <c r="L32" s="403" t="s">
        <v>11</v>
      </c>
      <c r="M32" s="396" t="s">
        <v>220</v>
      </c>
      <c r="N32" s="28"/>
      <c r="O32" s="379">
        <v>0</v>
      </c>
      <c r="P32" s="379">
        <f t="shared" si="7"/>
        <v>0</v>
      </c>
      <c r="R32" s="44"/>
      <c r="S32" s="44"/>
      <c r="T32" s="44"/>
    </row>
    <row r="33" spans="1:23" ht="97.5" customHeight="1" x14ac:dyDescent="0.25">
      <c r="A33" s="498" t="s">
        <v>108</v>
      </c>
      <c r="B33" s="475" t="s">
        <v>286</v>
      </c>
      <c r="C33" s="479" t="s">
        <v>156</v>
      </c>
      <c r="D33" s="36" t="s">
        <v>12</v>
      </c>
      <c r="E33" s="37">
        <v>500</v>
      </c>
      <c r="F33" s="38">
        <f t="shared" si="6"/>
        <v>500</v>
      </c>
      <c r="G33" s="37">
        <f>1000-500</f>
        <v>500</v>
      </c>
      <c r="H33" s="39">
        <v>0</v>
      </c>
      <c r="I33" s="37">
        <v>0</v>
      </c>
      <c r="J33" s="37">
        <v>0</v>
      </c>
      <c r="K33" s="37">
        <v>0</v>
      </c>
      <c r="L33" s="468" t="s">
        <v>11</v>
      </c>
      <c r="M33" s="463" t="s">
        <v>221</v>
      </c>
      <c r="N33" s="28"/>
      <c r="O33" s="379">
        <v>0</v>
      </c>
      <c r="P33" s="379">
        <f t="shared" si="7"/>
        <v>0</v>
      </c>
      <c r="R33" s="44"/>
      <c r="S33" s="44"/>
      <c r="T33" s="44"/>
    </row>
    <row r="34" spans="1:23" ht="80.25" customHeight="1" x14ac:dyDescent="0.25">
      <c r="A34" s="499"/>
      <c r="B34" s="476"/>
      <c r="C34" s="480"/>
      <c r="D34" s="36" t="s">
        <v>5</v>
      </c>
      <c r="E34" s="37">
        <v>500</v>
      </c>
      <c r="F34" s="38">
        <f t="shared" si="6"/>
        <v>500</v>
      </c>
      <c r="G34" s="37">
        <f>500</f>
        <v>500</v>
      </c>
      <c r="H34" s="39">
        <v>0</v>
      </c>
      <c r="I34" s="37">
        <v>0</v>
      </c>
      <c r="J34" s="37">
        <v>0</v>
      </c>
      <c r="K34" s="37">
        <v>0</v>
      </c>
      <c r="L34" s="469"/>
      <c r="M34" s="465"/>
      <c r="N34" s="28"/>
      <c r="O34" s="379">
        <v>0</v>
      </c>
      <c r="P34" s="379">
        <f t="shared" si="7"/>
        <v>0</v>
      </c>
      <c r="Q34" s="49"/>
    </row>
    <row r="35" spans="1:23" ht="56.25" x14ac:dyDescent="0.25">
      <c r="A35" s="498" t="s">
        <v>109</v>
      </c>
      <c r="B35" s="500" t="s">
        <v>168</v>
      </c>
      <c r="C35" s="479" t="s">
        <v>156</v>
      </c>
      <c r="D35" s="36" t="s">
        <v>12</v>
      </c>
      <c r="E35" s="42">
        <f>389.25+1263.75</f>
        <v>1653</v>
      </c>
      <c r="F35" s="38">
        <f t="shared" si="6"/>
        <v>1642.23</v>
      </c>
      <c r="G35" s="42">
        <v>800</v>
      </c>
      <c r="H35" s="43">
        <v>842.23</v>
      </c>
      <c r="I35" s="42">
        <v>0</v>
      </c>
      <c r="J35" s="42">
        <v>0</v>
      </c>
      <c r="K35" s="42">
        <v>0</v>
      </c>
      <c r="L35" s="483" t="s">
        <v>8</v>
      </c>
      <c r="M35" s="463" t="s">
        <v>222</v>
      </c>
      <c r="N35" s="28">
        <f>('[2]Лист 1'!$F$334+'[2]Лист 1'!$F$335+'[2]Лист 1'!$F$336+'[2]Лист 1'!$F$337)/1000</f>
        <v>842.23</v>
      </c>
      <c r="O35" s="379">
        <v>842.23</v>
      </c>
      <c r="P35" s="379">
        <f t="shared" si="7"/>
        <v>0</v>
      </c>
      <c r="R35" s="49"/>
      <c r="S35" s="49"/>
      <c r="T35" s="49"/>
      <c r="U35" s="49"/>
      <c r="V35" s="49"/>
      <c r="W35" s="49"/>
    </row>
    <row r="36" spans="1:23" ht="119.25" customHeight="1" x14ac:dyDescent="0.25">
      <c r="A36" s="499"/>
      <c r="B36" s="501"/>
      <c r="C36" s="480"/>
      <c r="D36" s="36" t="s">
        <v>93</v>
      </c>
      <c r="E36" s="42">
        <v>0</v>
      </c>
      <c r="F36" s="38">
        <f t="shared" si="6"/>
        <v>399.10399999999998</v>
      </c>
      <c r="G36" s="42">
        <v>0</v>
      </c>
      <c r="H36" s="43">
        <v>399.10399999999998</v>
      </c>
      <c r="I36" s="42">
        <v>0</v>
      </c>
      <c r="J36" s="42">
        <v>0</v>
      </c>
      <c r="K36" s="42">
        <v>0</v>
      </c>
      <c r="L36" s="484"/>
      <c r="M36" s="465"/>
      <c r="N36" s="28">
        <f>('[2]Лист 1'!$F$338)/1000</f>
        <v>399.10399999999998</v>
      </c>
      <c r="O36" s="379">
        <v>399.10399999999998</v>
      </c>
      <c r="P36" s="379">
        <f t="shared" si="7"/>
        <v>0</v>
      </c>
      <c r="R36" s="49"/>
      <c r="S36" s="49"/>
      <c r="T36" s="49"/>
      <c r="U36" s="49"/>
      <c r="V36" s="49"/>
      <c r="W36" s="49"/>
    </row>
    <row r="37" spans="1:23" ht="61.5" customHeight="1" x14ac:dyDescent="0.25">
      <c r="A37" s="473" t="s">
        <v>110</v>
      </c>
      <c r="B37" s="475" t="s">
        <v>169</v>
      </c>
      <c r="C37" s="479" t="s">
        <v>156</v>
      </c>
      <c r="D37" s="36" t="s">
        <v>12</v>
      </c>
      <c r="E37" s="37">
        <v>3722.1550000000002</v>
      </c>
      <c r="F37" s="38">
        <f t="shared" si="6"/>
        <v>7862.66</v>
      </c>
      <c r="G37" s="37">
        <f>7366.42+496.24</f>
        <v>7862.66</v>
      </c>
      <c r="H37" s="39">
        <v>0</v>
      </c>
      <c r="I37" s="37">
        <v>0</v>
      </c>
      <c r="J37" s="37">
        <v>0</v>
      </c>
      <c r="K37" s="37">
        <v>0</v>
      </c>
      <c r="L37" s="481" t="s">
        <v>150</v>
      </c>
      <c r="M37" s="463" t="s">
        <v>225</v>
      </c>
      <c r="N37" s="28"/>
      <c r="O37" s="379">
        <v>0</v>
      </c>
      <c r="P37" s="379">
        <f t="shared" si="7"/>
        <v>0</v>
      </c>
      <c r="Q37" s="49"/>
    </row>
    <row r="38" spans="1:23" ht="40.5" customHeight="1" x14ac:dyDescent="0.25">
      <c r="A38" s="502"/>
      <c r="B38" s="489"/>
      <c r="C38" s="497"/>
      <c r="D38" s="36" t="s">
        <v>5</v>
      </c>
      <c r="E38" s="37">
        <v>0</v>
      </c>
      <c r="F38" s="38">
        <f t="shared" si="6"/>
        <v>0</v>
      </c>
      <c r="G38" s="37">
        <v>0</v>
      </c>
      <c r="H38" s="39">
        <v>0</v>
      </c>
      <c r="I38" s="37">
        <v>0</v>
      </c>
      <c r="J38" s="37">
        <v>0</v>
      </c>
      <c r="K38" s="37">
        <v>0</v>
      </c>
      <c r="L38" s="494"/>
      <c r="M38" s="464"/>
      <c r="N38" s="28"/>
      <c r="O38" s="379">
        <v>0</v>
      </c>
      <c r="P38" s="379">
        <f t="shared" si="7"/>
        <v>0</v>
      </c>
      <c r="Q38" s="51"/>
    </row>
    <row r="39" spans="1:23" ht="113.25" customHeight="1" x14ac:dyDescent="0.25">
      <c r="A39" s="474"/>
      <c r="B39" s="476"/>
      <c r="C39" s="480"/>
      <c r="D39" s="36" t="s">
        <v>93</v>
      </c>
      <c r="E39" s="37">
        <f>2400-110</f>
        <v>2290</v>
      </c>
      <c r="F39" s="38">
        <f t="shared" si="6"/>
        <v>1355.499</v>
      </c>
      <c r="G39" s="37">
        <v>1355.499</v>
      </c>
      <c r="H39" s="39">
        <v>0</v>
      </c>
      <c r="I39" s="37">
        <v>0</v>
      </c>
      <c r="J39" s="37">
        <v>0</v>
      </c>
      <c r="K39" s="37">
        <v>0</v>
      </c>
      <c r="L39" s="482"/>
      <c r="M39" s="465"/>
      <c r="N39" s="28"/>
      <c r="O39" s="379">
        <v>0</v>
      </c>
      <c r="P39" s="379">
        <f t="shared" si="7"/>
        <v>0</v>
      </c>
      <c r="Q39" s="55"/>
      <c r="R39" s="49"/>
      <c r="S39" s="49"/>
      <c r="T39" s="49"/>
    </row>
    <row r="40" spans="1:23" ht="55.5" customHeight="1" x14ac:dyDescent="0.25">
      <c r="A40" s="473" t="s">
        <v>111</v>
      </c>
      <c r="B40" s="475" t="s">
        <v>170</v>
      </c>
      <c r="C40" s="479" t="s">
        <v>156</v>
      </c>
      <c r="D40" s="36" t="s">
        <v>12</v>
      </c>
      <c r="E40" s="37">
        <v>0</v>
      </c>
      <c r="F40" s="38">
        <f t="shared" si="6"/>
        <v>0</v>
      </c>
      <c r="G40" s="37">
        <v>0</v>
      </c>
      <c r="H40" s="39">
        <v>0</v>
      </c>
      <c r="I40" s="37">
        <v>0</v>
      </c>
      <c r="J40" s="37">
        <v>0</v>
      </c>
      <c r="K40" s="37">
        <v>0</v>
      </c>
      <c r="L40" s="481" t="s">
        <v>150</v>
      </c>
      <c r="M40" s="463" t="s">
        <v>285</v>
      </c>
      <c r="N40" s="28"/>
      <c r="O40" s="379">
        <v>0</v>
      </c>
      <c r="P40" s="379">
        <f t="shared" si="7"/>
        <v>0</v>
      </c>
      <c r="Q40" s="49"/>
      <c r="R40" s="49"/>
      <c r="S40" s="49"/>
      <c r="T40" s="49"/>
    </row>
    <row r="41" spans="1:23" ht="121.5" customHeight="1" x14ac:dyDescent="0.25">
      <c r="A41" s="474"/>
      <c r="B41" s="476"/>
      <c r="C41" s="480"/>
      <c r="D41" s="36" t="s">
        <v>93</v>
      </c>
      <c r="E41" s="37">
        <v>0</v>
      </c>
      <c r="F41" s="38">
        <f t="shared" si="6"/>
        <v>0</v>
      </c>
      <c r="G41" s="37">
        <v>0</v>
      </c>
      <c r="H41" s="39">
        <f>20000-20000</f>
        <v>0</v>
      </c>
      <c r="I41" s="37">
        <v>0</v>
      </c>
      <c r="J41" s="37">
        <f>20000-20000</f>
        <v>0</v>
      </c>
      <c r="K41" s="37">
        <v>0</v>
      </c>
      <c r="L41" s="482"/>
      <c r="M41" s="465"/>
      <c r="N41" s="28"/>
      <c r="O41" s="379">
        <v>0</v>
      </c>
      <c r="P41" s="379">
        <f t="shared" si="7"/>
        <v>0</v>
      </c>
      <c r="Q41" s="49"/>
      <c r="R41" s="49"/>
      <c r="S41" s="49"/>
      <c r="T41" s="49"/>
    </row>
    <row r="42" spans="1:23" ht="198" customHeight="1" x14ac:dyDescent="0.25">
      <c r="A42" s="47" t="s">
        <v>112</v>
      </c>
      <c r="B42" s="56" t="s">
        <v>171</v>
      </c>
      <c r="C42" s="41" t="s">
        <v>156</v>
      </c>
      <c r="D42" s="41" t="s">
        <v>5</v>
      </c>
      <c r="E42" s="42">
        <f>5440+250+100</f>
        <v>5790</v>
      </c>
      <c r="F42" s="38">
        <f t="shared" si="6"/>
        <v>4338</v>
      </c>
      <c r="G42" s="42">
        <f>900+500+100+100+319+20+600+271+150+128</f>
        <v>3088</v>
      </c>
      <c r="H42" s="420">
        <f>1000+150+100</f>
        <v>1250</v>
      </c>
      <c r="I42" s="42">
        <v>0</v>
      </c>
      <c r="J42" s="42">
        <v>0</v>
      </c>
      <c r="K42" s="42">
        <v>0</v>
      </c>
      <c r="L42" s="57" t="s">
        <v>8</v>
      </c>
      <c r="M42" s="394" t="s">
        <v>281</v>
      </c>
      <c r="N42" s="28">
        <f>('[2]Лист 1'!$F$339+'[2]Лист 1'!$F$340)/1000</f>
        <v>1150</v>
      </c>
      <c r="O42" s="379">
        <v>1150</v>
      </c>
      <c r="P42" s="379">
        <f t="shared" si="7"/>
        <v>0</v>
      </c>
      <c r="Q42" s="44"/>
      <c r="R42" s="7" t="s">
        <v>346</v>
      </c>
    </row>
    <row r="43" spans="1:23" ht="164.25" customHeight="1" x14ac:dyDescent="0.25">
      <c r="A43" s="58" t="s">
        <v>113</v>
      </c>
      <c r="B43" s="59" t="s">
        <v>186</v>
      </c>
      <c r="C43" s="60" t="s">
        <v>156</v>
      </c>
      <c r="D43" s="61" t="s">
        <v>5</v>
      </c>
      <c r="E43" s="37">
        <v>74718</v>
      </c>
      <c r="F43" s="38">
        <f t="shared" si="6"/>
        <v>465988</v>
      </c>
      <c r="G43" s="62">
        <f>101366+4199</f>
        <v>105565</v>
      </c>
      <c r="H43" s="39">
        <f>115822+4319</f>
        <v>120141</v>
      </c>
      <c r="I43" s="37">
        <f t="shared" ref="I43:J43" si="8">115822+4319</f>
        <v>120141</v>
      </c>
      <c r="J43" s="37">
        <f t="shared" si="8"/>
        <v>120141</v>
      </c>
      <c r="K43" s="37">
        <v>0</v>
      </c>
      <c r="L43" s="63" t="s">
        <v>44</v>
      </c>
      <c r="M43" s="394" t="s">
        <v>82</v>
      </c>
      <c r="N43" s="28">
        <f>('[2]Лист 1'!$F$524+'[2]Лист 1'!$F$525+'[2]Лист 1'!$F$543+'[2]Лист 1'!$F$544)/1000</f>
        <v>120141</v>
      </c>
      <c r="O43" s="379">
        <v>120141</v>
      </c>
      <c r="P43" s="379">
        <f t="shared" si="7"/>
        <v>0</v>
      </c>
      <c r="R43" s="44"/>
      <c r="S43" s="44"/>
    </row>
    <row r="44" spans="1:23" ht="45" customHeight="1" x14ac:dyDescent="0.25">
      <c r="A44" s="521" t="s">
        <v>114</v>
      </c>
      <c r="B44" s="490" t="s">
        <v>187</v>
      </c>
      <c r="C44" s="507" t="s">
        <v>156</v>
      </c>
      <c r="D44" s="64" t="s">
        <v>5</v>
      </c>
      <c r="E44" s="65">
        <v>0</v>
      </c>
      <c r="F44" s="38">
        <f t="shared" si="6"/>
        <v>0</v>
      </c>
      <c r="G44" s="65">
        <v>0</v>
      </c>
      <c r="H44" s="67">
        <v>0</v>
      </c>
      <c r="I44" s="65">
        <v>0</v>
      </c>
      <c r="J44" s="65">
        <v>0</v>
      </c>
      <c r="K44" s="65">
        <v>0</v>
      </c>
      <c r="L44" s="492" t="s">
        <v>11</v>
      </c>
      <c r="M44" s="466" t="s">
        <v>83</v>
      </c>
      <c r="N44" s="28"/>
      <c r="O44" s="379">
        <v>0</v>
      </c>
      <c r="P44" s="379">
        <f t="shared" si="7"/>
        <v>0</v>
      </c>
    </row>
    <row r="45" spans="1:23" ht="63" customHeight="1" x14ac:dyDescent="0.25">
      <c r="A45" s="522"/>
      <c r="B45" s="491"/>
      <c r="C45" s="508"/>
      <c r="D45" s="64" t="s">
        <v>23</v>
      </c>
      <c r="E45" s="68">
        <v>4445.7</v>
      </c>
      <c r="F45" s="38">
        <f t="shared" si="6"/>
        <v>23772.128000000004</v>
      </c>
      <c r="G45" s="68">
        <f>4398.288+286.4</f>
        <v>4684.6879999999992</v>
      </c>
      <c r="H45" s="69">
        <f>4777.56-22.8</f>
        <v>4754.76</v>
      </c>
      <c r="I45" s="68">
        <v>4777.5600000000004</v>
      </c>
      <c r="J45" s="68">
        <v>4777.5600000000004</v>
      </c>
      <c r="K45" s="68">
        <v>4777.5600000000004</v>
      </c>
      <c r="L45" s="493"/>
      <c r="M45" s="467"/>
      <c r="N45" s="28">
        <f>('[1]Лист 1'!$F$341+'[1]Лист 1'!$F$342+'[1]Лист 1'!$F$343)/1000</f>
        <v>4754.76</v>
      </c>
      <c r="O45" s="379">
        <v>4754.76</v>
      </c>
      <c r="P45" s="379">
        <f t="shared" si="7"/>
        <v>0</v>
      </c>
      <c r="Q45" s="49"/>
    </row>
    <row r="46" spans="1:23" ht="87.75" customHeight="1" x14ac:dyDescent="0.25">
      <c r="A46" s="415" t="s">
        <v>115</v>
      </c>
      <c r="B46" s="417" t="s">
        <v>188</v>
      </c>
      <c r="C46" s="416" t="s">
        <v>156</v>
      </c>
      <c r="D46" s="64" t="s">
        <v>12</v>
      </c>
      <c r="E46" s="68">
        <v>1500</v>
      </c>
      <c r="F46" s="38">
        <f t="shared" si="6"/>
        <v>1087.5</v>
      </c>
      <c r="G46" s="68">
        <v>387.5</v>
      </c>
      <c r="H46" s="69">
        <v>700</v>
      </c>
      <c r="I46" s="68">
        <v>0</v>
      </c>
      <c r="J46" s="68">
        <v>0</v>
      </c>
      <c r="K46" s="68">
        <v>0</v>
      </c>
      <c r="L46" s="418" t="s">
        <v>11</v>
      </c>
      <c r="M46" s="70" t="s">
        <v>233</v>
      </c>
      <c r="N46" s="28">
        <f>('[2]Лист 1'!$F$344+'[2]Лист 1'!$F$345)/1000</f>
        <v>700</v>
      </c>
      <c r="O46" s="379">
        <v>700</v>
      </c>
      <c r="P46" s="379">
        <f t="shared" si="7"/>
        <v>0</v>
      </c>
      <c r="Q46" s="49"/>
    </row>
    <row r="47" spans="1:23" ht="121.5" customHeight="1" x14ac:dyDescent="0.25">
      <c r="A47" s="71" t="s">
        <v>116</v>
      </c>
      <c r="B47" s="72" t="s">
        <v>273</v>
      </c>
      <c r="C47" s="64" t="s">
        <v>156</v>
      </c>
      <c r="D47" s="64" t="s">
        <v>93</v>
      </c>
      <c r="E47" s="68">
        <v>0</v>
      </c>
      <c r="F47" s="38">
        <f t="shared" si="6"/>
        <v>500</v>
      </c>
      <c r="G47" s="68">
        <f>450+50</f>
        <v>500</v>
      </c>
      <c r="H47" s="69">
        <v>0</v>
      </c>
      <c r="I47" s="68">
        <v>0</v>
      </c>
      <c r="J47" s="68">
        <v>0</v>
      </c>
      <c r="K47" s="68">
        <v>0</v>
      </c>
      <c r="L47" s="418" t="s">
        <v>11</v>
      </c>
      <c r="M47" s="73" t="s">
        <v>280</v>
      </c>
      <c r="N47" s="28"/>
      <c r="O47" s="379">
        <v>0</v>
      </c>
      <c r="P47" s="379">
        <f t="shared" si="7"/>
        <v>0</v>
      </c>
      <c r="Q47" s="49"/>
    </row>
    <row r="48" spans="1:23" ht="120.75" customHeight="1" x14ac:dyDescent="0.25">
      <c r="A48" s="71" t="s">
        <v>117</v>
      </c>
      <c r="B48" s="72" t="s">
        <v>296</v>
      </c>
      <c r="C48" s="64" t="s">
        <v>156</v>
      </c>
      <c r="D48" s="64" t="s">
        <v>12</v>
      </c>
      <c r="E48" s="68">
        <v>0</v>
      </c>
      <c r="F48" s="38">
        <f t="shared" si="6"/>
        <v>380880</v>
      </c>
      <c r="G48" s="68">
        <v>0</v>
      </c>
      <c r="H48" s="69">
        <v>95760</v>
      </c>
      <c r="I48" s="68">
        <v>95040</v>
      </c>
      <c r="J48" s="68">
        <v>95040</v>
      </c>
      <c r="K48" s="68">
        <v>95040</v>
      </c>
      <c r="L48" s="418" t="s">
        <v>11</v>
      </c>
      <c r="M48" s="73" t="s">
        <v>297</v>
      </c>
      <c r="N48" s="28">
        <f>'[1]Лист 1'!$F$346/1000</f>
        <v>95760</v>
      </c>
      <c r="O48" s="379">
        <v>95040</v>
      </c>
      <c r="P48" s="379">
        <f t="shared" si="7"/>
        <v>720</v>
      </c>
      <c r="Q48" s="49"/>
    </row>
    <row r="49" spans="1:18" ht="27" customHeight="1" x14ac:dyDescent="0.25">
      <c r="A49" s="518"/>
      <c r="B49" s="526" t="s">
        <v>332</v>
      </c>
      <c r="C49" s="523" t="s">
        <v>156</v>
      </c>
      <c r="D49" s="23" t="s">
        <v>10</v>
      </c>
      <c r="E49" s="24">
        <f>SUM(E50:E54)</f>
        <v>22347.584999999999</v>
      </c>
      <c r="F49" s="24">
        <f>SUM(F50:F54)</f>
        <v>777634.68700000003</v>
      </c>
      <c r="G49" s="24">
        <f>SUM(G50:G54)</f>
        <v>298753.99200000003</v>
      </c>
      <c r="H49" s="24">
        <f>SUM(H50:H54)</f>
        <v>476880.69500000001</v>
      </c>
      <c r="I49" s="24">
        <f>SUM(I50:I54)</f>
        <v>2000</v>
      </c>
      <c r="J49" s="24">
        <f t="shared" ref="J49:K49" si="9">SUM(J50:J54)</f>
        <v>0</v>
      </c>
      <c r="K49" s="24">
        <f t="shared" si="9"/>
        <v>0</v>
      </c>
      <c r="L49" s="486"/>
      <c r="M49" s="457"/>
      <c r="N49" s="28"/>
      <c r="O49" s="379">
        <v>503399.7</v>
      </c>
      <c r="P49" s="379">
        <f t="shared" si="7"/>
        <v>-503399.7</v>
      </c>
    </row>
    <row r="50" spans="1:18" ht="39.6" customHeight="1" x14ac:dyDescent="0.25">
      <c r="A50" s="519"/>
      <c r="B50" s="527"/>
      <c r="C50" s="524"/>
      <c r="D50" s="27" t="s">
        <v>333</v>
      </c>
      <c r="E50" s="24">
        <f>E58</f>
        <v>0</v>
      </c>
      <c r="F50" s="29">
        <f>SUM(G50:K50)</f>
        <v>49896</v>
      </c>
      <c r="G50" s="24">
        <f>G58</f>
        <v>0</v>
      </c>
      <c r="H50" s="24">
        <f>H58</f>
        <v>49896</v>
      </c>
      <c r="I50" s="24">
        <f t="shared" ref="I50:K50" si="10">I58</f>
        <v>0</v>
      </c>
      <c r="J50" s="24">
        <f t="shared" si="10"/>
        <v>0</v>
      </c>
      <c r="K50" s="24">
        <f t="shared" si="10"/>
        <v>0</v>
      </c>
      <c r="L50" s="487"/>
      <c r="M50" s="458"/>
      <c r="N50" s="28">
        <v>0</v>
      </c>
      <c r="O50" s="379">
        <v>49896</v>
      </c>
      <c r="P50" s="379">
        <f t="shared" si="7"/>
        <v>-49896</v>
      </c>
    </row>
    <row r="51" spans="1:18" ht="36.75" customHeight="1" x14ac:dyDescent="0.25">
      <c r="A51" s="519"/>
      <c r="B51" s="527"/>
      <c r="C51" s="524"/>
      <c r="D51" s="27" t="s">
        <v>5</v>
      </c>
      <c r="E51" s="34">
        <f>E57+E59+E62+E65</f>
        <v>0</v>
      </c>
      <c r="F51" s="29">
        <f t="shared" ref="F51:F54" si="11">SUM(G51:K51)</f>
        <v>42504</v>
      </c>
      <c r="G51" s="34">
        <f>G57+G59+G62+G65</f>
        <v>0</v>
      </c>
      <c r="H51" s="34">
        <f>H57+H59+H62+H65</f>
        <v>42504</v>
      </c>
      <c r="I51" s="34">
        <f t="shared" ref="I51:K51" si="12">I57+I59+I62+I65</f>
        <v>0</v>
      </c>
      <c r="J51" s="34">
        <f t="shared" si="12"/>
        <v>0</v>
      </c>
      <c r="K51" s="34">
        <f t="shared" si="12"/>
        <v>0</v>
      </c>
      <c r="L51" s="487"/>
      <c r="M51" s="458"/>
      <c r="N51" s="28">
        <v>67697</v>
      </c>
      <c r="O51" s="379">
        <v>67697</v>
      </c>
      <c r="P51" s="379">
        <f t="shared" si="7"/>
        <v>0</v>
      </c>
    </row>
    <row r="52" spans="1:18" ht="57" customHeight="1" x14ac:dyDescent="0.25">
      <c r="A52" s="519"/>
      <c r="B52" s="527"/>
      <c r="C52" s="524"/>
      <c r="D52" s="27" t="s">
        <v>12</v>
      </c>
      <c r="E52" s="28">
        <f>E55+E60+E63+E66</f>
        <v>0</v>
      </c>
      <c r="F52" s="29">
        <f t="shared" si="11"/>
        <v>0</v>
      </c>
      <c r="G52" s="28">
        <f>G55+G60+G63+G66</f>
        <v>0</v>
      </c>
      <c r="H52" s="28">
        <f>H55+H60+H63+H66</f>
        <v>0</v>
      </c>
      <c r="I52" s="28">
        <f t="shared" ref="I52:K52" si="13">I55+I60+I63+I66</f>
        <v>0</v>
      </c>
      <c r="J52" s="28">
        <f t="shared" si="13"/>
        <v>0</v>
      </c>
      <c r="K52" s="28">
        <f t="shared" si="13"/>
        <v>0</v>
      </c>
      <c r="L52" s="487"/>
      <c r="M52" s="458"/>
      <c r="N52" s="28">
        <v>1326</v>
      </c>
      <c r="O52" s="379">
        <v>1326</v>
      </c>
      <c r="P52" s="379">
        <f t="shared" si="7"/>
        <v>0</v>
      </c>
    </row>
    <row r="53" spans="1:18" ht="117" customHeight="1" x14ac:dyDescent="0.25">
      <c r="A53" s="519"/>
      <c r="B53" s="527"/>
      <c r="C53" s="524"/>
      <c r="D53" s="405" t="s">
        <v>93</v>
      </c>
      <c r="E53" s="74">
        <f>E56+E61</f>
        <v>2347.585</v>
      </c>
      <c r="F53" s="29">
        <f t="shared" si="11"/>
        <v>397234.68700000003</v>
      </c>
      <c r="G53" s="74">
        <f>G56+G61</f>
        <v>10753.992</v>
      </c>
      <c r="H53" s="74">
        <f t="shared" ref="H53:K53" si="14">H56+H61</f>
        <v>384480.69500000001</v>
      </c>
      <c r="I53" s="74">
        <f t="shared" si="14"/>
        <v>2000</v>
      </c>
      <c r="J53" s="74">
        <f t="shared" si="14"/>
        <v>0</v>
      </c>
      <c r="K53" s="74">
        <f t="shared" si="14"/>
        <v>0</v>
      </c>
      <c r="L53" s="487"/>
      <c r="M53" s="458"/>
      <c r="N53" s="28">
        <f>H56+I56+H61</f>
        <v>386480.69500000001</v>
      </c>
      <c r="O53" s="379">
        <v>384480.7</v>
      </c>
      <c r="P53" s="379">
        <f t="shared" si="7"/>
        <v>1999.9949999999953</v>
      </c>
      <c r="Q53" s="380" t="s">
        <v>338</v>
      </c>
    </row>
    <row r="54" spans="1:18" ht="18.75" x14ac:dyDescent="0.25">
      <c r="A54" s="520"/>
      <c r="B54" s="528"/>
      <c r="C54" s="525"/>
      <c r="D54" s="405" t="s">
        <v>4</v>
      </c>
      <c r="E54" s="74">
        <f>E67</f>
        <v>20000</v>
      </c>
      <c r="F54" s="29">
        <f t="shared" si="11"/>
        <v>288000</v>
      </c>
      <c r="G54" s="76">
        <f>G67</f>
        <v>288000</v>
      </c>
      <c r="H54" s="75">
        <f>H67</f>
        <v>0</v>
      </c>
      <c r="I54" s="74">
        <v>0</v>
      </c>
      <c r="J54" s="74">
        <v>0</v>
      </c>
      <c r="K54" s="74">
        <v>0</v>
      </c>
      <c r="L54" s="488"/>
      <c r="M54" s="459"/>
      <c r="N54" s="28"/>
      <c r="O54" s="379">
        <v>0</v>
      </c>
      <c r="P54" s="379">
        <f t="shared" si="7"/>
        <v>0</v>
      </c>
    </row>
    <row r="55" spans="1:18" ht="56.25" customHeight="1" x14ac:dyDescent="0.25">
      <c r="A55" s="531" t="s">
        <v>118</v>
      </c>
      <c r="B55" s="532" t="s">
        <v>278</v>
      </c>
      <c r="C55" s="536" t="s">
        <v>334</v>
      </c>
      <c r="D55" s="410" t="s">
        <v>9</v>
      </c>
      <c r="E55" s="77">
        <v>0</v>
      </c>
      <c r="F55" s="78">
        <f>SUM(G55:K55)</f>
        <v>0</v>
      </c>
      <c r="G55" s="77">
        <v>0</v>
      </c>
      <c r="H55" s="79">
        <v>0</v>
      </c>
      <c r="I55" s="80">
        <v>0</v>
      </c>
      <c r="J55" s="80">
        <v>0</v>
      </c>
      <c r="K55" s="80">
        <v>0</v>
      </c>
      <c r="L55" s="568" t="s">
        <v>43</v>
      </c>
      <c r="M55" s="571" t="s">
        <v>341</v>
      </c>
      <c r="N55" s="28"/>
      <c r="O55" s="379">
        <v>0</v>
      </c>
      <c r="P55" s="379">
        <f t="shared" si="7"/>
        <v>0</v>
      </c>
      <c r="Q55" s="31"/>
      <c r="R55" s="31"/>
    </row>
    <row r="56" spans="1:18" ht="115.5" customHeight="1" x14ac:dyDescent="0.25">
      <c r="A56" s="531"/>
      <c r="B56" s="532"/>
      <c r="C56" s="536"/>
      <c r="D56" s="410" t="s">
        <v>93</v>
      </c>
      <c r="E56" s="77">
        <v>2347.585</v>
      </c>
      <c r="F56" s="78">
        <f t="shared" ref="F56:F67" si="15">SUM(G56:K56)</f>
        <v>188882.68700000001</v>
      </c>
      <c r="G56" s="77">
        <v>10753.992</v>
      </c>
      <c r="H56" s="79">
        <v>176128.69500000001</v>
      </c>
      <c r="I56" s="77">
        <v>2000</v>
      </c>
      <c r="J56" s="80">
        <v>0</v>
      </c>
      <c r="K56" s="80">
        <v>0</v>
      </c>
      <c r="L56" s="569"/>
      <c r="M56" s="572"/>
      <c r="N56" s="28">
        <f>N53</f>
        <v>386480.69500000001</v>
      </c>
      <c r="O56" s="379">
        <v>176128.7</v>
      </c>
      <c r="P56" s="379">
        <f t="shared" si="7"/>
        <v>210351.995</v>
      </c>
      <c r="Q56" s="31"/>
      <c r="R56" s="31"/>
    </row>
    <row r="57" spans="1:18" ht="37.5" x14ac:dyDescent="0.25">
      <c r="A57" s="531"/>
      <c r="B57" s="532"/>
      <c r="C57" s="536"/>
      <c r="D57" s="410" t="s">
        <v>5</v>
      </c>
      <c r="E57" s="77">
        <f>55440-55440</f>
        <v>0</v>
      </c>
      <c r="F57" s="78">
        <f t="shared" si="15"/>
        <v>0</v>
      </c>
      <c r="G57" s="77">
        <v>0</v>
      </c>
      <c r="H57" s="79">
        <v>0</v>
      </c>
      <c r="I57" s="77">
        <v>0</v>
      </c>
      <c r="J57" s="80">
        <v>0</v>
      </c>
      <c r="K57" s="80">
        <v>0</v>
      </c>
      <c r="L57" s="569"/>
      <c r="M57" s="572"/>
      <c r="N57" s="28">
        <v>0</v>
      </c>
      <c r="O57" s="379">
        <v>0</v>
      </c>
      <c r="P57" s="379">
        <f t="shared" si="7"/>
        <v>0</v>
      </c>
      <c r="Q57" s="31" t="s">
        <v>313</v>
      </c>
      <c r="R57" s="31"/>
    </row>
    <row r="58" spans="1:18" ht="37.5" x14ac:dyDescent="0.25">
      <c r="A58" s="515" t="s">
        <v>119</v>
      </c>
      <c r="B58" s="512" t="s">
        <v>335</v>
      </c>
      <c r="C58" s="509" t="s">
        <v>340</v>
      </c>
      <c r="D58" s="410" t="s">
        <v>333</v>
      </c>
      <c r="E58" s="77">
        <v>0</v>
      </c>
      <c r="F58" s="78">
        <f t="shared" si="15"/>
        <v>49896</v>
      </c>
      <c r="G58" s="77">
        <v>0</v>
      </c>
      <c r="H58" s="79">
        <v>49896</v>
      </c>
      <c r="I58" s="77">
        <v>0</v>
      </c>
      <c r="J58" s="77">
        <v>0</v>
      </c>
      <c r="K58" s="77">
        <v>0</v>
      </c>
      <c r="L58" s="569"/>
      <c r="M58" s="572"/>
      <c r="N58" s="28">
        <v>0</v>
      </c>
      <c r="O58" s="379">
        <v>49896</v>
      </c>
      <c r="P58" s="379">
        <f t="shared" si="7"/>
        <v>-49896</v>
      </c>
      <c r="Q58" s="31"/>
      <c r="R58" s="31"/>
    </row>
    <row r="59" spans="1:18" ht="37.5" x14ac:dyDescent="0.25">
      <c r="A59" s="516"/>
      <c r="B59" s="513"/>
      <c r="C59" s="510"/>
      <c r="D59" s="410" t="s">
        <v>5</v>
      </c>
      <c r="E59" s="77">
        <v>0</v>
      </c>
      <c r="F59" s="78">
        <f t="shared" si="15"/>
        <v>42504</v>
      </c>
      <c r="G59" s="77">
        <v>0</v>
      </c>
      <c r="H59" s="79">
        <v>42504</v>
      </c>
      <c r="I59" s="77">
        <v>0</v>
      </c>
      <c r="J59" s="77">
        <v>0</v>
      </c>
      <c r="K59" s="77">
        <v>0</v>
      </c>
      <c r="L59" s="569"/>
      <c r="M59" s="572"/>
      <c r="N59" s="28">
        <v>42504</v>
      </c>
      <c r="O59" s="379">
        <v>42504</v>
      </c>
      <c r="P59" s="379">
        <f t="shared" si="7"/>
        <v>0</v>
      </c>
      <c r="Q59" s="31"/>
      <c r="R59" s="31"/>
    </row>
    <row r="60" spans="1:18" ht="56.25" x14ac:dyDescent="0.25">
      <c r="A60" s="516"/>
      <c r="B60" s="513"/>
      <c r="C60" s="510"/>
      <c r="D60" s="410" t="s">
        <v>9</v>
      </c>
      <c r="E60" s="77">
        <v>0</v>
      </c>
      <c r="F60" s="78">
        <f t="shared" si="15"/>
        <v>0</v>
      </c>
      <c r="G60" s="77">
        <v>0</v>
      </c>
      <c r="H60" s="79">
        <v>0</v>
      </c>
      <c r="I60" s="77">
        <v>0</v>
      </c>
      <c r="J60" s="77">
        <v>0</v>
      </c>
      <c r="K60" s="77">
        <v>0</v>
      </c>
      <c r="L60" s="569"/>
      <c r="M60" s="572"/>
      <c r="N60" s="28">
        <v>0</v>
      </c>
      <c r="O60" s="379">
        <v>0</v>
      </c>
      <c r="P60" s="379">
        <f t="shared" si="7"/>
        <v>0</v>
      </c>
      <c r="Q60" s="31"/>
      <c r="R60" s="31"/>
    </row>
    <row r="61" spans="1:18" ht="131.25" x14ac:dyDescent="0.25">
      <c r="A61" s="517"/>
      <c r="B61" s="514"/>
      <c r="C61" s="511"/>
      <c r="D61" s="410" t="s">
        <v>93</v>
      </c>
      <c r="E61" s="77">
        <v>0</v>
      </c>
      <c r="F61" s="78">
        <f t="shared" si="15"/>
        <v>208352</v>
      </c>
      <c r="G61" s="77">
        <v>0</v>
      </c>
      <c r="H61" s="79">
        <v>208352</v>
      </c>
      <c r="I61" s="77">
        <v>0</v>
      </c>
      <c r="J61" s="77">
        <v>0</v>
      </c>
      <c r="K61" s="77">
        <v>0</v>
      </c>
      <c r="L61" s="569"/>
      <c r="M61" s="572"/>
      <c r="N61" s="28">
        <v>0</v>
      </c>
      <c r="O61" s="379">
        <v>208352</v>
      </c>
      <c r="P61" s="379">
        <f t="shared" si="7"/>
        <v>-208352</v>
      </c>
      <c r="Q61" s="31"/>
      <c r="R61" s="31"/>
    </row>
    <row r="62" spans="1:18" ht="42.75" customHeight="1" x14ac:dyDescent="0.25">
      <c r="A62" s="531" t="s">
        <v>120</v>
      </c>
      <c r="B62" s="532" t="s">
        <v>298</v>
      </c>
      <c r="C62" s="574" t="s">
        <v>299</v>
      </c>
      <c r="D62" s="410" t="s">
        <v>5</v>
      </c>
      <c r="E62" s="77">
        <v>0</v>
      </c>
      <c r="F62" s="78">
        <f t="shared" si="15"/>
        <v>0</v>
      </c>
      <c r="G62" s="81">
        <v>0</v>
      </c>
      <c r="H62" s="79">
        <v>0</v>
      </c>
      <c r="I62" s="77">
        <v>0</v>
      </c>
      <c r="J62" s="77">
        <v>0</v>
      </c>
      <c r="K62" s="77">
        <v>0</v>
      </c>
      <c r="L62" s="569"/>
      <c r="M62" s="572"/>
      <c r="N62" s="28">
        <f>'[2]Лист 1'!$F$276</f>
        <v>25193000</v>
      </c>
      <c r="O62" s="379">
        <v>25193</v>
      </c>
      <c r="P62" s="379">
        <f t="shared" si="7"/>
        <v>25167807</v>
      </c>
    </row>
    <row r="63" spans="1:18" ht="60" customHeight="1" x14ac:dyDescent="0.25">
      <c r="A63" s="531"/>
      <c r="B63" s="532"/>
      <c r="C63" s="574"/>
      <c r="D63" s="410" t="s">
        <v>9</v>
      </c>
      <c r="E63" s="77">
        <v>0</v>
      </c>
      <c r="F63" s="78">
        <f t="shared" si="15"/>
        <v>0</v>
      </c>
      <c r="G63" s="81">
        <v>0</v>
      </c>
      <c r="H63" s="79">
        <v>0</v>
      </c>
      <c r="I63" s="77">
        <v>0</v>
      </c>
      <c r="J63" s="77">
        <v>0</v>
      </c>
      <c r="K63" s="77">
        <v>0</v>
      </c>
      <c r="L63" s="569"/>
      <c r="M63" s="572"/>
      <c r="N63" s="28">
        <f>'[2]Лист 1'!$F$277</f>
        <v>1326000</v>
      </c>
      <c r="O63" s="379">
        <v>1326</v>
      </c>
      <c r="P63" s="379">
        <f t="shared" si="7"/>
        <v>1324674</v>
      </c>
    </row>
    <row r="64" spans="1:18" ht="93.75" x14ac:dyDescent="0.25">
      <c r="A64" s="531"/>
      <c r="B64" s="532"/>
      <c r="C64" s="574"/>
      <c r="D64" s="410" t="s">
        <v>311</v>
      </c>
      <c r="E64" s="77">
        <v>0</v>
      </c>
      <c r="F64" s="78">
        <f t="shared" si="15"/>
        <v>0</v>
      </c>
      <c r="G64" s="81">
        <v>0</v>
      </c>
      <c r="H64" s="79">
        <v>0</v>
      </c>
      <c r="I64" s="77">
        <v>0</v>
      </c>
      <c r="J64" s="77">
        <v>0</v>
      </c>
      <c r="K64" s="77">
        <v>0</v>
      </c>
      <c r="L64" s="569"/>
      <c r="M64" s="572"/>
      <c r="N64" s="28"/>
      <c r="O64" s="379">
        <v>1326</v>
      </c>
      <c r="P64" s="379">
        <f t="shared" si="7"/>
        <v>-1326</v>
      </c>
    </row>
    <row r="65" spans="1:17" ht="37.5" customHeight="1" x14ac:dyDescent="0.25">
      <c r="A65" s="531" t="s">
        <v>121</v>
      </c>
      <c r="B65" s="532" t="s">
        <v>300</v>
      </c>
      <c r="C65" s="574" t="s">
        <v>301</v>
      </c>
      <c r="D65" s="410" t="s">
        <v>5</v>
      </c>
      <c r="E65" s="77">
        <v>0</v>
      </c>
      <c r="F65" s="78">
        <f t="shared" si="15"/>
        <v>0</v>
      </c>
      <c r="G65" s="81">
        <v>0</v>
      </c>
      <c r="H65" s="79">
        <v>0</v>
      </c>
      <c r="I65" s="77">
        <v>0</v>
      </c>
      <c r="J65" s="77">
        <v>0</v>
      </c>
      <c r="K65" s="77">
        <v>0</v>
      </c>
      <c r="L65" s="569"/>
      <c r="M65" s="572"/>
      <c r="N65" s="28"/>
      <c r="O65" s="379">
        <v>0</v>
      </c>
      <c r="P65" s="379">
        <f t="shared" si="7"/>
        <v>0</v>
      </c>
    </row>
    <row r="66" spans="1:17" ht="56.25" x14ac:dyDescent="0.25">
      <c r="A66" s="531"/>
      <c r="B66" s="532"/>
      <c r="C66" s="574"/>
      <c r="D66" s="410" t="s">
        <v>9</v>
      </c>
      <c r="E66" s="77">
        <v>0</v>
      </c>
      <c r="F66" s="78">
        <f t="shared" si="15"/>
        <v>0</v>
      </c>
      <c r="G66" s="81">
        <v>0</v>
      </c>
      <c r="H66" s="79">
        <v>0</v>
      </c>
      <c r="I66" s="77">
        <v>0</v>
      </c>
      <c r="J66" s="77">
        <v>0</v>
      </c>
      <c r="K66" s="77">
        <v>0</v>
      </c>
      <c r="L66" s="569"/>
      <c r="M66" s="572"/>
      <c r="N66" s="28"/>
      <c r="O66" s="379">
        <v>0</v>
      </c>
      <c r="P66" s="379">
        <f t="shared" si="7"/>
        <v>0</v>
      </c>
    </row>
    <row r="67" spans="1:17" ht="56.25" x14ac:dyDescent="0.25">
      <c r="A67" s="406" t="s">
        <v>122</v>
      </c>
      <c r="B67" s="407" t="s">
        <v>302</v>
      </c>
      <c r="C67" s="82" t="s">
        <v>262</v>
      </c>
      <c r="D67" s="410" t="s">
        <v>4</v>
      </c>
      <c r="E67" s="77">
        <v>20000</v>
      </c>
      <c r="F67" s="78">
        <f t="shared" si="15"/>
        <v>288000</v>
      </c>
      <c r="G67" s="81">
        <v>288000</v>
      </c>
      <c r="H67" s="79">
        <v>0</v>
      </c>
      <c r="I67" s="77">
        <v>0</v>
      </c>
      <c r="J67" s="77">
        <v>0</v>
      </c>
      <c r="K67" s="84">
        <v>0</v>
      </c>
      <c r="L67" s="570"/>
      <c r="M67" s="573"/>
      <c r="N67" s="28"/>
      <c r="O67" s="379">
        <v>0</v>
      </c>
      <c r="P67" s="379">
        <f t="shared" si="7"/>
        <v>0</v>
      </c>
      <c r="Q67" s="31"/>
    </row>
    <row r="68" spans="1:17" ht="18.75" x14ac:dyDescent="0.3">
      <c r="A68" s="495" t="s">
        <v>56</v>
      </c>
      <c r="B68" s="496"/>
      <c r="C68" s="496"/>
      <c r="D68" s="496"/>
      <c r="E68" s="85">
        <f>E69+E70+E71+E73+E74+E75+E76</f>
        <v>2358489.4780000001</v>
      </c>
      <c r="F68" s="89">
        <f>F69+F70+F71+F73+F74+F75+F76</f>
        <v>12866226.870000001</v>
      </c>
      <c r="G68" s="85">
        <f t="shared" ref="G68" si="16">G69+G70+G71+G73+G74+G75+G76</f>
        <v>2915618.3259999999</v>
      </c>
      <c r="H68" s="85">
        <f>H69+H70+H71+H73+H74+H75+H76</f>
        <v>3309503.4079999998</v>
      </c>
      <c r="I68" s="85">
        <f t="shared" ref="I68:K68" si="17">I69+I70+I71+I73+I74+I75+I76</f>
        <v>2751437.7119999998</v>
      </c>
      <c r="J68" s="85">
        <f t="shared" si="17"/>
        <v>2749437.7119999998</v>
      </c>
      <c r="K68" s="85">
        <f t="shared" si="17"/>
        <v>1140229.7120000001</v>
      </c>
      <c r="L68" s="87"/>
      <c r="M68" s="88"/>
      <c r="N68" s="361"/>
      <c r="O68" s="361"/>
      <c r="P68" s="361"/>
    </row>
    <row r="69" spans="1:17" ht="18" customHeight="1" x14ac:dyDescent="0.3">
      <c r="A69" s="485" t="s">
        <v>333</v>
      </c>
      <c r="B69" s="485"/>
      <c r="C69" s="485"/>
      <c r="D69" s="485"/>
      <c r="E69" s="387">
        <f>E58</f>
        <v>0</v>
      </c>
      <c r="F69" s="85">
        <f>G69+H69+I69+J69+K69</f>
        <v>49896</v>
      </c>
      <c r="G69" s="387">
        <f>G50</f>
        <v>0</v>
      </c>
      <c r="H69" s="86">
        <f>H50</f>
        <v>49896</v>
      </c>
      <c r="I69" s="387">
        <f t="shared" ref="I69:K69" si="18">I50</f>
        <v>0</v>
      </c>
      <c r="J69" s="387">
        <f t="shared" si="18"/>
        <v>0</v>
      </c>
      <c r="K69" s="387">
        <f t="shared" si="18"/>
        <v>0</v>
      </c>
      <c r="L69" s="388"/>
      <c r="M69" s="389"/>
      <c r="N69" s="359"/>
      <c r="O69" s="359"/>
      <c r="P69" s="359"/>
      <c r="Q69" s="31"/>
    </row>
    <row r="70" spans="1:17" ht="18.75" x14ac:dyDescent="0.3">
      <c r="A70" s="485" t="s">
        <v>5</v>
      </c>
      <c r="B70" s="485"/>
      <c r="C70" s="485"/>
      <c r="D70" s="485"/>
      <c r="E70" s="89">
        <f>E14+E51</f>
        <v>1302780</v>
      </c>
      <c r="F70" s="85">
        <f t="shared" ref="F70:F75" si="19">G70+H70+I70+J70+K70</f>
        <v>6442769</v>
      </c>
      <c r="G70" s="89">
        <f>G14+G51</f>
        <v>1531991</v>
      </c>
      <c r="H70" s="86">
        <f>H14+H51</f>
        <v>1725228</v>
      </c>
      <c r="I70" s="89">
        <f t="shared" ref="I70:K70" si="20">I14+I51</f>
        <v>1592775</v>
      </c>
      <c r="J70" s="89">
        <f t="shared" si="20"/>
        <v>1592775</v>
      </c>
      <c r="K70" s="89">
        <f t="shared" si="20"/>
        <v>0</v>
      </c>
      <c r="L70" s="90"/>
      <c r="M70" s="91"/>
      <c r="N70" s="384">
        <f>G23+G24+G25+G34+G42+G43+G44</f>
        <v>1531991</v>
      </c>
      <c r="O70" s="384">
        <f>H23+H24+H25+H34+H38+H42+H43+H44+H59+H62</f>
        <v>1725228</v>
      </c>
      <c r="P70" s="384">
        <f>I23+I24+I25+I34+I38+I42+I43+I44+I57+I59+I62+I65</f>
        <v>1592775</v>
      </c>
      <c r="Q70" s="31">
        <f>J23+J24+J25+J34+J42+J43+J44+J57+J59+J62+J65</f>
        <v>1592775</v>
      </c>
    </row>
    <row r="71" spans="1:17" ht="18.75" x14ac:dyDescent="0.3">
      <c r="A71" s="485" t="s">
        <v>9</v>
      </c>
      <c r="B71" s="485"/>
      <c r="C71" s="485"/>
      <c r="D71" s="485"/>
      <c r="E71" s="92">
        <f>E15+E52</f>
        <v>731334.36599999992</v>
      </c>
      <c r="F71" s="85">
        <f t="shared" si="19"/>
        <v>3930336.0430000005</v>
      </c>
      <c r="G71" s="92">
        <f>G15+G52</f>
        <v>746450.82100000011</v>
      </c>
      <c r="H71" s="86">
        <f>H15+H52</f>
        <v>789379.73300000001</v>
      </c>
      <c r="I71" s="92">
        <f t="shared" ref="I71:K71" si="21">I15+I52</f>
        <v>803646.16300000006</v>
      </c>
      <c r="J71" s="92">
        <f t="shared" si="21"/>
        <v>803646.16300000006</v>
      </c>
      <c r="K71" s="92">
        <f t="shared" si="21"/>
        <v>787213.16300000006</v>
      </c>
      <c r="L71" s="90"/>
      <c r="M71" s="91"/>
      <c r="N71" s="385">
        <f>G19+G22+G26+G28+G31+G32+G33+G35+G37+G40+G45+G46+G48+G55+G60+G63+G66</f>
        <v>746450.82100000011</v>
      </c>
      <c r="O71" s="385">
        <f t="shared" ref="O71:Q71" si="22">H19+H22+H26+H28+H31+H32+H33+H35+H37+H40+H45+H46+H48+H55+H60+H63+H66</f>
        <v>789379.73300000001</v>
      </c>
      <c r="P71" s="385">
        <f t="shared" si="22"/>
        <v>803646.16300000006</v>
      </c>
      <c r="Q71" s="385">
        <f t="shared" si="22"/>
        <v>803646.16300000006</v>
      </c>
    </row>
    <row r="72" spans="1:17" ht="18.75" x14ac:dyDescent="0.3">
      <c r="A72" s="485" t="s">
        <v>311</v>
      </c>
      <c r="B72" s="485"/>
      <c r="C72" s="485"/>
      <c r="D72" s="485"/>
      <c r="E72" s="92">
        <f>E27+E64</f>
        <v>0</v>
      </c>
      <c r="F72" s="85">
        <f t="shared" si="19"/>
        <v>16433</v>
      </c>
      <c r="G72" s="92">
        <f>G64+G27</f>
        <v>0</v>
      </c>
      <c r="H72" s="86">
        <f>H27+H64</f>
        <v>16433</v>
      </c>
      <c r="I72" s="92">
        <f t="shared" ref="I72:K72" si="23">I27+I64</f>
        <v>0</v>
      </c>
      <c r="J72" s="92">
        <f t="shared" si="23"/>
        <v>0</v>
      </c>
      <c r="K72" s="92">
        <f t="shared" si="23"/>
        <v>0</v>
      </c>
      <c r="L72" s="90"/>
      <c r="M72" s="91"/>
      <c r="N72" s="385">
        <f>G27++G64</f>
        <v>0</v>
      </c>
      <c r="O72" s="385">
        <f t="shared" ref="O72:Q72" si="24">H27++H64</f>
        <v>16433</v>
      </c>
      <c r="P72" s="385">
        <f t="shared" si="24"/>
        <v>0</v>
      </c>
      <c r="Q72" s="385">
        <f t="shared" si="24"/>
        <v>0</v>
      </c>
    </row>
    <row r="73" spans="1:17" ht="36" customHeight="1" x14ac:dyDescent="0.3">
      <c r="A73" s="535" t="s">
        <v>93</v>
      </c>
      <c r="B73" s="535"/>
      <c r="C73" s="535"/>
      <c r="D73" s="535"/>
      <c r="E73" s="92">
        <f>E16+E53</f>
        <v>16026.418999999998</v>
      </c>
      <c r="F73" s="85">
        <f t="shared" si="19"/>
        <v>409375.73000000004</v>
      </c>
      <c r="G73" s="92">
        <f>G16+G53</f>
        <v>18970.758999999998</v>
      </c>
      <c r="H73" s="86">
        <f t="shared" ref="H73:K73" si="25">H16+H53</f>
        <v>388404.97100000002</v>
      </c>
      <c r="I73" s="92">
        <f t="shared" si="25"/>
        <v>2000</v>
      </c>
      <c r="J73" s="92">
        <f t="shared" si="25"/>
        <v>0</v>
      </c>
      <c r="K73" s="92">
        <f t="shared" si="25"/>
        <v>0</v>
      </c>
      <c r="L73" s="90"/>
      <c r="M73" s="91"/>
      <c r="N73" s="385">
        <f>G29+G36+G39+G41+G47+G56+G61</f>
        <v>18970.758999999998</v>
      </c>
      <c r="O73" s="385">
        <f t="shared" ref="O73:Q73" si="26">H29+H36+H39+H41+H47+H56+H61</f>
        <v>388404.97100000002</v>
      </c>
      <c r="P73" s="385">
        <f t="shared" si="26"/>
        <v>2000</v>
      </c>
      <c r="Q73" s="385">
        <f t="shared" si="26"/>
        <v>0</v>
      </c>
    </row>
    <row r="74" spans="1:17" ht="18.75" x14ac:dyDescent="0.3">
      <c r="A74" s="485" t="s">
        <v>51</v>
      </c>
      <c r="B74" s="485"/>
      <c r="C74" s="485"/>
      <c r="D74" s="485"/>
      <c r="E74" s="92">
        <f>E17</f>
        <v>36793.925999999999</v>
      </c>
      <c r="F74" s="85">
        <f t="shared" si="19"/>
        <v>217545.00699999998</v>
      </c>
      <c r="G74" s="92">
        <f>G17</f>
        <v>38885.425999999999</v>
      </c>
      <c r="H74" s="93">
        <f>H17</f>
        <v>45920.894</v>
      </c>
      <c r="I74" s="92">
        <f t="shared" ref="I74:K74" si="27">I17</f>
        <v>44246.228999999999</v>
      </c>
      <c r="J74" s="92">
        <f t="shared" si="27"/>
        <v>44246.228999999999</v>
      </c>
      <c r="K74" s="92">
        <f t="shared" si="27"/>
        <v>44246.228999999999</v>
      </c>
      <c r="L74" s="90"/>
      <c r="M74" s="91"/>
      <c r="N74" s="385">
        <f>G20+G30</f>
        <v>38885.425999999999</v>
      </c>
      <c r="O74" s="385">
        <f t="shared" ref="O74:Q74" si="28">H20+H30</f>
        <v>45920.894</v>
      </c>
      <c r="P74" s="385">
        <f t="shared" si="28"/>
        <v>44246.228999999999</v>
      </c>
      <c r="Q74" s="385">
        <f t="shared" si="28"/>
        <v>44246.228999999999</v>
      </c>
    </row>
    <row r="75" spans="1:17" ht="18.75" x14ac:dyDescent="0.3">
      <c r="A75" s="485" t="s">
        <v>64</v>
      </c>
      <c r="B75" s="485"/>
      <c r="C75" s="485"/>
      <c r="D75" s="485"/>
      <c r="E75" s="92">
        <f>E18</f>
        <v>251554.76699999999</v>
      </c>
      <c r="F75" s="85">
        <f t="shared" si="19"/>
        <v>1528305.09</v>
      </c>
      <c r="G75" s="92">
        <f>G18</f>
        <v>291320.32000000001</v>
      </c>
      <c r="H75" s="93">
        <f>H18</f>
        <v>310673.81</v>
      </c>
      <c r="I75" s="92">
        <f t="shared" ref="I75:K75" si="29">I18</f>
        <v>308770.32</v>
      </c>
      <c r="J75" s="92">
        <f t="shared" si="29"/>
        <v>308770.32</v>
      </c>
      <c r="K75" s="92">
        <f t="shared" si="29"/>
        <v>308770.32</v>
      </c>
      <c r="L75" s="90"/>
      <c r="M75" s="91"/>
      <c r="N75" s="385">
        <f>G21</f>
        <v>291320.32000000001</v>
      </c>
      <c r="O75" s="385">
        <f t="shared" ref="O75:Q75" si="30">H21</f>
        <v>310673.81</v>
      </c>
      <c r="P75" s="385">
        <f t="shared" si="30"/>
        <v>308770.32</v>
      </c>
      <c r="Q75" s="385">
        <f t="shared" si="30"/>
        <v>308770.32</v>
      </c>
    </row>
    <row r="76" spans="1:17" ht="18.75" x14ac:dyDescent="0.3">
      <c r="A76" s="485" t="s">
        <v>4</v>
      </c>
      <c r="B76" s="485"/>
      <c r="C76" s="485"/>
      <c r="D76" s="485"/>
      <c r="E76" s="89">
        <f>E54</f>
        <v>20000</v>
      </c>
      <c r="F76" s="85">
        <f>G76+H76+I76+J76+K76</f>
        <v>288000</v>
      </c>
      <c r="G76" s="89">
        <f>G54</f>
        <v>288000</v>
      </c>
      <c r="H76" s="86">
        <f>H54</f>
        <v>0</v>
      </c>
      <c r="I76" s="89">
        <f t="shared" ref="I76:K76" si="31">I54</f>
        <v>0</v>
      </c>
      <c r="J76" s="89">
        <f t="shared" si="31"/>
        <v>0</v>
      </c>
      <c r="K76" s="89">
        <f t="shared" si="31"/>
        <v>0</v>
      </c>
      <c r="L76" s="90"/>
      <c r="M76" s="91"/>
      <c r="N76" s="360"/>
      <c r="O76" s="360"/>
      <c r="P76" s="360"/>
    </row>
    <row r="78" spans="1:17" ht="18.75" x14ac:dyDescent="0.3">
      <c r="B78" s="477" t="s">
        <v>360</v>
      </c>
      <c r="C78" s="478"/>
      <c r="D78" s="478"/>
      <c r="E78" s="94">
        <v>0</v>
      </c>
      <c r="F78" s="95">
        <f>SUM(G78:K78)</f>
        <v>49896</v>
      </c>
      <c r="G78" s="94">
        <v>0</v>
      </c>
      <c r="H78" s="94">
        <f>H69</f>
        <v>49896</v>
      </c>
      <c r="I78" s="94">
        <v>0</v>
      </c>
      <c r="J78" s="94">
        <v>0</v>
      </c>
      <c r="K78" s="94">
        <v>0</v>
      </c>
      <c r="L78" s="96"/>
    </row>
    <row r="79" spans="1:17" ht="18.75" x14ac:dyDescent="0.3">
      <c r="B79" s="477" t="s">
        <v>94</v>
      </c>
      <c r="C79" s="478"/>
      <c r="D79" s="478"/>
      <c r="E79" s="94">
        <f>E52</f>
        <v>0</v>
      </c>
      <c r="F79" s="95">
        <f>SUM(G79:K79)</f>
        <v>0</v>
      </c>
      <c r="G79" s="94">
        <f>G52</f>
        <v>0</v>
      </c>
      <c r="H79" s="94">
        <f>H52</f>
        <v>0</v>
      </c>
      <c r="I79" s="94">
        <v>0</v>
      </c>
      <c r="J79" s="94">
        <f>J52</f>
        <v>0</v>
      </c>
      <c r="K79" s="94">
        <f>K52</f>
        <v>0</v>
      </c>
      <c r="L79" s="96"/>
    </row>
    <row r="80" spans="1:17" ht="18.75" x14ac:dyDescent="0.3">
      <c r="B80" s="477" t="s">
        <v>86</v>
      </c>
      <c r="C80" s="478"/>
      <c r="D80" s="478"/>
      <c r="E80" s="94">
        <f>E51+4190</f>
        <v>4190</v>
      </c>
      <c r="F80" s="95">
        <f t="shared" ref="F80:F81" si="32">SUM(G80:K80)</f>
        <v>59660</v>
      </c>
      <c r="G80" s="94">
        <f>G51+4199</f>
        <v>4199</v>
      </c>
      <c r="H80" s="94">
        <f>H51+4319</f>
        <v>46823</v>
      </c>
      <c r="I80" s="94">
        <f>I51+4319</f>
        <v>4319</v>
      </c>
      <c r="J80" s="94">
        <f>J51+4319</f>
        <v>4319</v>
      </c>
      <c r="K80" s="94">
        <f>K51</f>
        <v>0</v>
      </c>
      <c r="L80" s="96"/>
    </row>
    <row r="81" spans="2:12" ht="39" customHeight="1" x14ac:dyDescent="0.3">
      <c r="B81" s="533" t="s">
        <v>93</v>
      </c>
      <c r="C81" s="534"/>
      <c r="D81" s="534"/>
      <c r="E81" s="94">
        <f>E53</f>
        <v>2347.585</v>
      </c>
      <c r="F81" s="95">
        <f t="shared" si="32"/>
        <v>397234.68700000003</v>
      </c>
      <c r="G81" s="94">
        <f>G53</f>
        <v>10753.992</v>
      </c>
      <c r="H81" s="94">
        <f>H53</f>
        <v>384480.69500000001</v>
      </c>
      <c r="I81" s="94">
        <f>I56</f>
        <v>2000</v>
      </c>
      <c r="J81" s="94">
        <v>0</v>
      </c>
      <c r="K81" s="94">
        <f>K53</f>
        <v>0</v>
      </c>
      <c r="L81" s="96"/>
    </row>
    <row r="82" spans="2:12" ht="18.75" x14ac:dyDescent="0.3">
      <c r="B82" s="529" t="s">
        <v>87</v>
      </c>
      <c r="C82" s="530"/>
      <c r="D82" s="530"/>
      <c r="E82" s="97">
        <f>SUM(E78:E81)</f>
        <v>6537.585</v>
      </c>
      <c r="F82" s="95">
        <f>SUM(F78:F81)</f>
        <v>506790.68700000003</v>
      </c>
      <c r="G82" s="97">
        <f>SUM(G78:G81)</f>
        <v>14952.992</v>
      </c>
      <c r="H82" s="97">
        <f t="shared" ref="H82:K82" si="33">SUM(H78:H81)</f>
        <v>481199.69500000001</v>
      </c>
      <c r="I82" s="97">
        <f t="shared" si="33"/>
        <v>6319</v>
      </c>
      <c r="J82" s="97">
        <f t="shared" si="33"/>
        <v>4319</v>
      </c>
      <c r="K82" s="97">
        <f t="shared" si="33"/>
        <v>0</v>
      </c>
      <c r="L82" s="96"/>
    </row>
    <row r="83" spans="2:12" ht="18.75" x14ac:dyDescent="0.3">
      <c r="B83" s="477" t="s">
        <v>95</v>
      </c>
      <c r="C83" s="478"/>
      <c r="D83" s="478"/>
      <c r="E83" s="94">
        <f>E71-E79</f>
        <v>731334.36599999992</v>
      </c>
      <c r="F83" s="95">
        <f t="shared" ref="F83:F88" si="34">SUM(G83:K83)</f>
        <v>3930336.0430000005</v>
      </c>
      <c r="G83" s="94">
        <f>G71-G79</f>
        <v>746450.82100000011</v>
      </c>
      <c r="H83" s="94">
        <f>H71-H79</f>
        <v>789379.73300000001</v>
      </c>
      <c r="I83" s="94">
        <f>I71-I79</f>
        <v>803646.16300000006</v>
      </c>
      <c r="J83" s="94">
        <f>J71-J79</f>
        <v>803646.16300000006</v>
      </c>
      <c r="K83" s="94">
        <f>K71-K79</f>
        <v>787213.16300000006</v>
      </c>
      <c r="L83" s="96"/>
    </row>
    <row r="84" spans="2:12" ht="18.75" x14ac:dyDescent="0.3">
      <c r="B84" s="477" t="s">
        <v>96</v>
      </c>
      <c r="C84" s="478"/>
      <c r="D84" s="478"/>
      <c r="E84" s="94">
        <f>E70-E80</f>
        <v>1298590</v>
      </c>
      <c r="F84" s="95">
        <f t="shared" si="34"/>
        <v>6383109</v>
      </c>
      <c r="G84" s="94">
        <f>G70-G80</f>
        <v>1527792</v>
      </c>
      <c r="H84" s="94">
        <f>H70-H80</f>
        <v>1678405</v>
      </c>
      <c r="I84" s="94">
        <f>I70-I80</f>
        <v>1588456</v>
      </c>
      <c r="J84" s="94">
        <f>J70-J80</f>
        <v>1588456</v>
      </c>
      <c r="K84" s="94">
        <f>K70-K80</f>
        <v>0</v>
      </c>
      <c r="L84" s="96"/>
    </row>
    <row r="85" spans="2:12" ht="35.25" customHeight="1" x14ac:dyDescent="0.3">
      <c r="B85" s="533" t="s">
        <v>93</v>
      </c>
      <c r="C85" s="534"/>
      <c r="D85" s="534"/>
      <c r="E85" s="94">
        <f>E73-E81</f>
        <v>13678.833999999999</v>
      </c>
      <c r="F85" s="95">
        <f t="shared" si="34"/>
        <v>12141.043000000011</v>
      </c>
      <c r="G85" s="94">
        <f>G73-G81</f>
        <v>8216.766999999998</v>
      </c>
      <c r="H85" s="94">
        <f>H73-H81</f>
        <v>3924.2760000000126</v>
      </c>
      <c r="I85" s="94">
        <f>I73-I81</f>
        <v>0</v>
      </c>
      <c r="J85" s="94">
        <f>J73-J81</f>
        <v>0</v>
      </c>
      <c r="K85" s="94">
        <f>K73</f>
        <v>0</v>
      </c>
      <c r="L85" s="96"/>
    </row>
    <row r="86" spans="2:12" ht="18.75" x14ac:dyDescent="0.3">
      <c r="B86" s="533" t="s">
        <v>51</v>
      </c>
      <c r="C86" s="534"/>
      <c r="D86" s="534"/>
      <c r="E86" s="94">
        <f>E74</f>
        <v>36793.925999999999</v>
      </c>
      <c r="F86" s="95">
        <f t="shared" si="34"/>
        <v>217545.00699999998</v>
      </c>
      <c r="G86" s="94">
        <f t="shared" ref="G86:J87" si="35">G74</f>
        <v>38885.425999999999</v>
      </c>
      <c r="H86" s="94">
        <f t="shared" si="35"/>
        <v>45920.894</v>
      </c>
      <c r="I86" s="94">
        <f t="shared" si="35"/>
        <v>44246.228999999999</v>
      </c>
      <c r="J86" s="94">
        <f t="shared" si="35"/>
        <v>44246.228999999999</v>
      </c>
      <c r="K86" s="94">
        <f>K74</f>
        <v>44246.228999999999</v>
      </c>
      <c r="L86" s="96"/>
    </row>
    <row r="87" spans="2:12" ht="18.75" x14ac:dyDescent="0.3">
      <c r="B87" s="533" t="s">
        <v>64</v>
      </c>
      <c r="C87" s="534"/>
      <c r="D87" s="534"/>
      <c r="E87" s="94">
        <f>E75</f>
        <v>251554.76699999999</v>
      </c>
      <c r="F87" s="95">
        <f t="shared" si="34"/>
        <v>1528305.09</v>
      </c>
      <c r="G87" s="94">
        <f t="shared" si="35"/>
        <v>291320.32000000001</v>
      </c>
      <c r="H87" s="94">
        <f t="shared" si="35"/>
        <v>310673.81</v>
      </c>
      <c r="I87" s="94">
        <f t="shared" si="35"/>
        <v>308770.32</v>
      </c>
      <c r="J87" s="94">
        <f t="shared" si="35"/>
        <v>308770.32</v>
      </c>
      <c r="K87" s="94">
        <f>K75</f>
        <v>308770.32</v>
      </c>
      <c r="L87" s="96"/>
    </row>
    <row r="88" spans="2:12" ht="18.75" x14ac:dyDescent="0.3">
      <c r="B88" s="408"/>
      <c r="C88" s="409"/>
      <c r="D88" s="409" t="s">
        <v>4</v>
      </c>
      <c r="E88" s="94">
        <f>E76</f>
        <v>20000</v>
      </c>
      <c r="F88" s="95">
        <f t="shared" si="34"/>
        <v>288000</v>
      </c>
      <c r="G88" s="94">
        <f>G76</f>
        <v>288000</v>
      </c>
      <c r="H88" s="94">
        <f t="shared" ref="H88:K88" si="36">H76</f>
        <v>0</v>
      </c>
      <c r="I88" s="94">
        <f t="shared" si="36"/>
        <v>0</v>
      </c>
      <c r="J88" s="94">
        <f t="shared" si="36"/>
        <v>0</v>
      </c>
      <c r="K88" s="94">
        <f t="shared" si="36"/>
        <v>0</v>
      </c>
      <c r="L88" s="96"/>
    </row>
    <row r="89" spans="2:12" ht="18.75" x14ac:dyDescent="0.3">
      <c r="B89" s="529" t="s">
        <v>97</v>
      </c>
      <c r="C89" s="530"/>
      <c r="D89" s="530"/>
      <c r="E89" s="97">
        <f>SUM(E83:E88)</f>
        <v>2351951.8930000002</v>
      </c>
      <c r="F89" s="97">
        <f>SUM(F83:F88)</f>
        <v>12359436.183</v>
      </c>
      <c r="G89" s="97">
        <f>SUM(G83:G88)</f>
        <v>2900665.3339999998</v>
      </c>
      <c r="H89" s="97">
        <f t="shared" ref="H89:K89" si="37">SUM(H83:H88)</f>
        <v>2828303.713</v>
      </c>
      <c r="I89" s="97">
        <f t="shared" si="37"/>
        <v>2745118.7119999998</v>
      </c>
      <c r="J89" s="97">
        <f t="shared" si="37"/>
        <v>2745118.7119999998</v>
      </c>
      <c r="K89" s="97">
        <f t="shared" si="37"/>
        <v>1140229.7120000001</v>
      </c>
      <c r="L89" s="96"/>
    </row>
    <row r="90" spans="2:12" x14ac:dyDescent="0.25">
      <c r="E90" s="31"/>
      <c r="F90" s="98"/>
      <c r="G90" s="31"/>
      <c r="H90" s="99"/>
      <c r="I90" s="99"/>
      <c r="J90" s="51"/>
      <c r="K90" s="51"/>
    </row>
    <row r="91" spans="2:12" ht="15.75" x14ac:dyDescent="0.25">
      <c r="E91" s="100"/>
      <c r="F91" s="101"/>
      <c r="G91" s="100"/>
      <c r="H91" s="100"/>
      <c r="I91" s="100"/>
      <c r="J91" s="100"/>
      <c r="K91" s="100"/>
    </row>
    <row r="92" spans="2:12" ht="15.75" x14ac:dyDescent="0.25">
      <c r="F92" s="98"/>
      <c r="G92" s="31"/>
      <c r="H92" s="100"/>
      <c r="I92" s="99"/>
      <c r="J92" s="31"/>
      <c r="K92" s="31"/>
    </row>
    <row r="93" spans="2:12" ht="15.75" x14ac:dyDescent="0.25">
      <c r="G93" s="31"/>
      <c r="H93" s="100"/>
      <c r="I93" s="99"/>
      <c r="J93" s="31"/>
      <c r="K93" s="31"/>
    </row>
    <row r="94" spans="2:12" ht="15.75" x14ac:dyDescent="0.25">
      <c r="H94" s="100"/>
      <c r="I94" s="99"/>
      <c r="J94" s="31"/>
    </row>
    <row r="95" spans="2:12" x14ac:dyDescent="0.25">
      <c r="G95" s="31"/>
      <c r="H95" s="99"/>
      <c r="I95" s="99"/>
      <c r="J95" s="31"/>
      <c r="K95" s="31"/>
    </row>
    <row r="102" spans="5:11" x14ac:dyDescent="0.25">
      <c r="E102" s="31">
        <f t="shared" ref="E102:K102" si="38">E68-E91</f>
        <v>2358489.4780000001</v>
      </c>
      <c r="F102" s="98">
        <f t="shared" si="38"/>
        <v>12866226.870000001</v>
      </c>
      <c r="G102" s="31">
        <f t="shared" si="38"/>
        <v>2915618.3259999999</v>
      </c>
      <c r="H102" s="31">
        <f t="shared" si="38"/>
        <v>3309503.4079999998</v>
      </c>
      <c r="I102" s="99">
        <f t="shared" si="38"/>
        <v>2751437.7119999998</v>
      </c>
      <c r="J102" s="31">
        <f t="shared" si="38"/>
        <v>2749437.7119999998</v>
      </c>
      <c r="K102" s="31">
        <f t="shared" si="38"/>
        <v>1140229.7120000001</v>
      </c>
    </row>
    <row r="104" spans="5:11" x14ac:dyDescent="0.25">
      <c r="H104" s="99">
        <f>H71-H93</f>
        <v>789379.73300000001</v>
      </c>
    </row>
    <row r="105" spans="5:11" x14ac:dyDescent="0.25">
      <c r="H105" s="99">
        <f>H73-H95</f>
        <v>388404.97100000002</v>
      </c>
    </row>
  </sheetData>
  <sheetProtection formatCells="0" formatColumns="0" formatRows="0" insertColumns="0" insertRows="0" insertHyperlinks="0" deleteColumns="0" deleteRows="0" sort="0" autoFilter="0" pivotTables="0"/>
  <mergeCells count="99">
    <mergeCell ref="K1:M3"/>
    <mergeCell ref="K4:M4"/>
    <mergeCell ref="E3:G3"/>
    <mergeCell ref="A55:A57"/>
    <mergeCell ref="L55:L67"/>
    <mergeCell ref="M55:M67"/>
    <mergeCell ref="A62:A64"/>
    <mergeCell ref="B62:B64"/>
    <mergeCell ref="C62:C64"/>
    <mergeCell ref="C65:C66"/>
    <mergeCell ref="G6:M6"/>
    <mergeCell ref="B5:M5"/>
    <mergeCell ref="F7:F10"/>
    <mergeCell ref="A19:A21"/>
    <mergeCell ref="M7:M10"/>
    <mergeCell ref="A7:A10"/>
    <mergeCell ref="B7:B10"/>
    <mergeCell ref="B19:B21"/>
    <mergeCell ref="B13:B18"/>
    <mergeCell ref="A12:M12"/>
    <mergeCell ref="L13:L18"/>
    <mergeCell ref="L7:L10"/>
    <mergeCell ref="E7:E10"/>
    <mergeCell ref="D7:D10"/>
    <mergeCell ref="G7:K9"/>
    <mergeCell ref="C7:C10"/>
    <mergeCell ref="M13:M18"/>
    <mergeCell ref="A13:A18"/>
    <mergeCell ref="C13:C18"/>
    <mergeCell ref="C19:C21"/>
    <mergeCell ref="M19:M21"/>
    <mergeCell ref="L19:L21"/>
    <mergeCell ref="B89:D89"/>
    <mergeCell ref="B86:D86"/>
    <mergeCell ref="B87:D87"/>
    <mergeCell ref="B85:D85"/>
    <mergeCell ref="B84:D84"/>
    <mergeCell ref="B83:D83"/>
    <mergeCell ref="C37:C39"/>
    <mergeCell ref="C49:C54"/>
    <mergeCell ref="B49:B54"/>
    <mergeCell ref="A76:D76"/>
    <mergeCell ref="B82:D82"/>
    <mergeCell ref="A65:A66"/>
    <mergeCell ref="B65:B66"/>
    <mergeCell ref="B79:D79"/>
    <mergeCell ref="B80:D80"/>
    <mergeCell ref="B81:D81"/>
    <mergeCell ref="A70:D70"/>
    <mergeCell ref="A71:D71"/>
    <mergeCell ref="A73:D73"/>
    <mergeCell ref="B55:B57"/>
    <mergeCell ref="C55:C57"/>
    <mergeCell ref="C44:C45"/>
    <mergeCell ref="C58:C61"/>
    <mergeCell ref="B58:B61"/>
    <mergeCell ref="A69:D69"/>
    <mergeCell ref="A58:A61"/>
    <mergeCell ref="A49:A54"/>
    <mergeCell ref="A44:A45"/>
    <mergeCell ref="B25:B27"/>
    <mergeCell ref="C25:C27"/>
    <mergeCell ref="A35:A36"/>
    <mergeCell ref="B35:B36"/>
    <mergeCell ref="A37:A39"/>
    <mergeCell ref="A25:A27"/>
    <mergeCell ref="B28:B30"/>
    <mergeCell ref="A28:A30"/>
    <mergeCell ref="A33:A34"/>
    <mergeCell ref="B33:B34"/>
    <mergeCell ref="C33:C34"/>
    <mergeCell ref="C28:C30"/>
    <mergeCell ref="A40:A41"/>
    <mergeCell ref="B40:B41"/>
    <mergeCell ref="B78:D78"/>
    <mergeCell ref="C35:C36"/>
    <mergeCell ref="L40:L41"/>
    <mergeCell ref="L35:L36"/>
    <mergeCell ref="A75:D75"/>
    <mergeCell ref="A74:D74"/>
    <mergeCell ref="A72:D72"/>
    <mergeCell ref="L49:L54"/>
    <mergeCell ref="C40:C41"/>
    <mergeCell ref="B37:B39"/>
    <mergeCell ref="B44:B45"/>
    <mergeCell ref="L44:L45"/>
    <mergeCell ref="L37:L39"/>
    <mergeCell ref="A68:D68"/>
    <mergeCell ref="M49:M54"/>
    <mergeCell ref="L25:L27"/>
    <mergeCell ref="M25:M27"/>
    <mergeCell ref="M44:M45"/>
    <mergeCell ref="M40:M41"/>
    <mergeCell ref="M37:M39"/>
    <mergeCell ref="M33:M34"/>
    <mergeCell ref="L33:L34"/>
    <mergeCell ref="L28:L30"/>
    <mergeCell ref="M28:M30"/>
    <mergeCell ref="M35:M36"/>
  </mergeCells>
  <pageMargins left="0.19685039370078741" right="0.19685039370078741" top="0.19685039370078741" bottom="0.19685039370078741" header="0" footer="0"/>
  <pageSetup paperSize="9" scale="48" fitToHeight="0" orientation="landscape" r:id="rId1"/>
  <rowBreaks count="4" manualBreakCount="4">
    <brk id="23" max="12" man="1"/>
    <brk id="34" max="16383" man="1"/>
    <brk id="45" max="12" man="1"/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34"/>
  <sheetViews>
    <sheetView view="pageBreakPreview" zoomScale="70" zoomScaleNormal="70" zoomScaleSheetLayoutView="70" workbookViewId="0">
      <pane ySplit="8" topLeftCell="A99" activePane="bottomLeft" state="frozen"/>
      <selection activeCell="F60" sqref="F60"/>
      <selection pane="bottomLeft" activeCell="D15" sqref="D15"/>
    </sheetView>
  </sheetViews>
  <sheetFormatPr defaultColWidth="9.140625" defaultRowHeight="15" x14ac:dyDescent="0.25"/>
  <cols>
    <col min="1" max="1" width="9.140625" style="7"/>
    <col min="2" max="2" width="59.7109375" style="7" customWidth="1"/>
    <col min="3" max="3" width="17.85546875" style="7" customWidth="1"/>
    <col min="4" max="4" width="31.5703125" style="7" customWidth="1"/>
    <col min="5" max="5" width="19.28515625" style="7" customWidth="1"/>
    <col min="6" max="6" width="19.28515625" style="102" customWidth="1"/>
    <col min="7" max="7" width="19.28515625" style="7" customWidth="1"/>
    <col min="8" max="9" width="19.28515625" style="103" customWidth="1"/>
    <col min="10" max="11" width="19.28515625" style="7" customWidth="1"/>
    <col min="12" max="12" width="21.140625" style="7" customWidth="1"/>
    <col min="13" max="13" width="24.5703125" style="7" customWidth="1"/>
    <col min="14" max="14" width="24.5703125" style="7" hidden="1" customWidth="1"/>
    <col min="15" max="15" width="32.28515625" style="7" hidden="1" customWidth="1"/>
    <col min="16" max="16" width="24.5703125" style="7" hidden="1" customWidth="1"/>
    <col min="17" max="17" width="18.140625" style="7" hidden="1" customWidth="1"/>
    <col min="18" max="18" width="14.28515625" style="7" customWidth="1"/>
    <col min="19" max="21" width="14.7109375" style="7" customWidth="1"/>
    <col min="22" max="22" width="13" style="7" customWidth="1"/>
    <col min="23" max="25" width="9.140625" style="7" customWidth="1"/>
    <col min="26" max="16384" width="9.140625" style="7"/>
  </cols>
  <sheetData>
    <row r="1" spans="1:22" ht="15.75" x14ac:dyDescent="0.25">
      <c r="A1" s="1"/>
      <c r="B1" s="2"/>
      <c r="C1" s="3"/>
      <c r="D1" s="2"/>
      <c r="E1" s="687"/>
      <c r="F1" s="687"/>
      <c r="G1" s="687"/>
      <c r="H1" s="5"/>
      <c r="I1" s="5"/>
      <c r="J1" s="6"/>
      <c r="K1" s="6"/>
      <c r="L1" s="6"/>
      <c r="M1" s="6"/>
      <c r="N1" s="6"/>
      <c r="O1" s="6"/>
      <c r="P1" s="6"/>
    </row>
    <row r="2" spans="1:22" ht="15.75" customHeight="1" x14ac:dyDescent="0.25">
      <c r="A2" s="1"/>
      <c r="B2" s="8"/>
      <c r="C2" s="9"/>
      <c r="D2" s="10"/>
      <c r="E2" s="687"/>
      <c r="F2" s="687"/>
      <c r="G2" s="687"/>
      <c r="H2" s="13"/>
      <c r="I2" s="13"/>
      <c r="J2" s="12"/>
      <c r="K2" s="12"/>
      <c r="L2" s="566"/>
      <c r="M2" s="566"/>
      <c r="N2" s="422"/>
      <c r="O2" s="422"/>
      <c r="P2" s="422"/>
    </row>
    <row r="3" spans="1:22" ht="15.75" customHeight="1" thickBot="1" x14ac:dyDescent="0.3">
      <c r="A3" s="1"/>
      <c r="B3" s="8"/>
      <c r="C3" s="9"/>
      <c r="D3" s="10"/>
      <c r="E3" s="10"/>
      <c r="F3" s="105"/>
      <c r="G3" s="12"/>
      <c r="H3" s="13"/>
      <c r="I3" s="13"/>
      <c r="J3" s="12"/>
      <c r="K3" s="12"/>
      <c r="L3" s="422"/>
      <c r="M3" s="422"/>
      <c r="N3" s="422"/>
      <c r="O3" s="422"/>
      <c r="P3" s="422"/>
    </row>
    <row r="4" spans="1:22" ht="15" customHeight="1" x14ac:dyDescent="0.25">
      <c r="A4" s="633" t="s">
        <v>13</v>
      </c>
      <c r="B4" s="630" t="s">
        <v>14</v>
      </c>
      <c r="C4" s="630" t="s">
        <v>0</v>
      </c>
      <c r="D4" s="630" t="s">
        <v>15</v>
      </c>
      <c r="E4" s="630" t="s">
        <v>155</v>
      </c>
      <c r="F4" s="636" t="s">
        <v>16</v>
      </c>
      <c r="G4" s="642" t="s">
        <v>49</v>
      </c>
      <c r="H4" s="643"/>
      <c r="I4" s="643"/>
      <c r="J4" s="643"/>
      <c r="K4" s="644"/>
      <c r="L4" s="624" t="s">
        <v>17</v>
      </c>
      <c r="M4" s="639" t="s">
        <v>7</v>
      </c>
      <c r="N4" s="362"/>
      <c r="O4" s="362"/>
      <c r="P4" s="362"/>
    </row>
    <row r="5" spans="1:22" ht="18.75" x14ac:dyDescent="0.25">
      <c r="A5" s="634"/>
      <c r="B5" s="631"/>
      <c r="C5" s="631"/>
      <c r="D5" s="631"/>
      <c r="E5" s="631"/>
      <c r="F5" s="637"/>
      <c r="G5" s="645"/>
      <c r="H5" s="646"/>
      <c r="I5" s="646"/>
      <c r="J5" s="646"/>
      <c r="K5" s="647"/>
      <c r="L5" s="625"/>
      <c r="M5" s="640"/>
      <c r="N5" s="362"/>
      <c r="O5" s="362"/>
      <c r="P5" s="362"/>
    </row>
    <row r="6" spans="1:22" ht="45.75" customHeight="1" x14ac:dyDescent="0.25">
      <c r="A6" s="635"/>
      <c r="B6" s="632"/>
      <c r="C6" s="632"/>
      <c r="D6" s="632"/>
      <c r="E6" s="632"/>
      <c r="F6" s="638"/>
      <c r="G6" s="106" t="s">
        <v>46</v>
      </c>
      <c r="H6" s="107" t="s">
        <v>47</v>
      </c>
      <c r="I6" s="106" t="s">
        <v>157</v>
      </c>
      <c r="J6" s="106" t="s">
        <v>158</v>
      </c>
      <c r="K6" s="106" t="s">
        <v>159</v>
      </c>
      <c r="L6" s="626"/>
      <c r="M6" s="641"/>
      <c r="N6" s="362" t="s">
        <v>336</v>
      </c>
      <c r="O6" s="362" t="s">
        <v>337</v>
      </c>
      <c r="P6" s="362"/>
    </row>
    <row r="7" spans="1:22" ht="17.25" customHeight="1" x14ac:dyDescent="0.25">
      <c r="A7" s="18" t="s">
        <v>29</v>
      </c>
      <c r="B7" s="19">
        <v>2</v>
      </c>
      <c r="C7" s="19" t="s">
        <v>18</v>
      </c>
      <c r="D7" s="19" t="s">
        <v>144</v>
      </c>
      <c r="E7" s="19" t="s">
        <v>19</v>
      </c>
      <c r="F7" s="20" t="s">
        <v>141</v>
      </c>
      <c r="G7" s="19" t="s">
        <v>20</v>
      </c>
      <c r="H7" s="21" t="s">
        <v>142</v>
      </c>
      <c r="I7" s="19" t="s">
        <v>21</v>
      </c>
      <c r="J7" s="19" t="s">
        <v>22</v>
      </c>
      <c r="K7" s="19" t="s">
        <v>30</v>
      </c>
      <c r="L7" s="19" t="s">
        <v>31</v>
      </c>
      <c r="M7" s="22" t="s">
        <v>50</v>
      </c>
      <c r="N7" s="357"/>
      <c r="O7" s="357"/>
      <c r="P7" s="357"/>
    </row>
    <row r="8" spans="1:22" ht="10.5" hidden="1" customHeight="1" x14ac:dyDescent="0.3">
      <c r="A8" s="627"/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9"/>
      <c r="N8" s="363"/>
      <c r="O8" s="363"/>
      <c r="P8" s="363"/>
    </row>
    <row r="9" spans="1:22" s="109" customFormat="1" ht="25.5" customHeight="1" x14ac:dyDescent="0.25">
      <c r="A9" s="627" t="s">
        <v>62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9"/>
      <c r="N9" s="363"/>
      <c r="O9" s="363"/>
      <c r="P9" s="363"/>
      <c r="Q9" s="108"/>
      <c r="R9" s="108"/>
    </row>
    <row r="10" spans="1:22" ht="37.5" customHeight="1" x14ac:dyDescent="0.25">
      <c r="A10" s="648"/>
      <c r="B10" s="651" t="s">
        <v>146</v>
      </c>
      <c r="C10" s="651" t="s">
        <v>156</v>
      </c>
      <c r="D10" s="110" t="s">
        <v>10</v>
      </c>
      <c r="E10" s="111">
        <f>SUM(E11:E15)</f>
        <v>3599009.6299999994</v>
      </c>
      <c r="F10" s="66">
        <f>SUM(G10:K10)</f>
        <v>17851535.83075</v>
      </c>
      <c r="G10" s="111">
        <f>SUM(G11:G15)</f>
        <v>4134110.0259999996</v>
      </c>
      <c r="H10" s="67">
        <f>SUM(H11:H15)</f>
        <v>4617503.5207500001</v>
      </c>
      <c r="I10" s="111">
        <f>SUM(I11:I15)</f>
        <v>4058590.6079999995</v>
      </c>
      <c r="J10" s="111">
        <f>SUM(J11:J15)</f>
        <v>4058590.6079999995</v>
      </c>
      <c r="K10" s="111">
        <f>SUM(K11:K15)</f>
        <v>982741.06799999997</v>
      </c>
      <c r="L10" s="654"/>
      <c r="M10" s="657"/>
      <c r="N10" s="364"/>
      <c r="O10" s="364"/>
      <c r="P10" s="364"/>
    </row>
    <row r="11" spans="1:22" ht="39.75" customHeight="1" x14ac:dyDescent="0.25">
      <c r="A11" s="649"/>
      <c r="B11" s="652"/>
      <c r="C11" s="652"/>
      <c r="D11" s="445" t="s">
        <v>5</v>
      </c>
      <c r="E11" s="112">
        <f>E24+E25+E26+E28+E29+E31+E36+E38+E40+E42+E44+E63+E64+E65+E69</f>
        <v>2579269.7999999998</v>
      </c>
      <c r="F11" s="66">
        <f>SUM(G11:K11)</f>
        <v>12664698.43049</v>
      </c>
      <c r="G11" s="112">
        <f>G24+G25+G26+G28+G29+G31+G36+G38+G40+G42+G44+G63+G64+G65+G69+G53+G72</f>
        <v>3092216.1409999998</v>
      </c>
      <c r="H11" s="113">
        <f>H24+H25+H26+H28+H29+H31+H36+H38+H40+H42+H44+H63+H64+H65+H69+H53+H72</f>
        <v>3437584.2894899999</v>
      </c>
      <c r="I11" s="112">
        <f t="shared" ref="I11:K11" si="0">I24+I25+I26+I28+I29+I31+I36+I38+I40+I42+I44+I63+I64+I65+I69+I53</f>
        <v>3067449</v>
      </c>
      <c r="J11" s="112">
        <f t="shared" si="0"/>
        <v>3067449</v>
      </c>
      <c r="K11" s="112">
        <f t="shared" si="0"/>
        <v>0</v>
      </c>
      <c r="L11" s="655"/>
      <c r="M11" s="658"/>
      <c r="N11" s="364"/>
      <c r="O11" s="364"/>
      <c r="P11" s="364"/>
    </row>
    <row r="12" spans="1:22" ht="58.5" customHeight="1" x14ac:dyDescent="0.25">
      <c r="A12" s="649"/>
      <c r="B12" s="652"/>
      <c r="C12" s="652"/>
      <c r="D12" s="110" t="s">
        <v>9</v>
      </c>
      <c r="E12" s="114">
        <f>E16+E19+E21+E23+E30+E32+E37+E39+E41+E43+E45+E46+E47+E50+E54+E66+E67+E68+E70</f>
        <v>834761.21700000006</v>
      </c>
      <c r="F12" s="66">
        <f t="shared" ref="F12:F15" si="1">SUM(G12:K12)</f>
        <v>4042270.5642599994</v>
      </c>
      <c r="G12" s="114">
        <f>G16+G19+G21+G23+G30+G32+G37+G39+G41+G43+G45+G46+G47+G50+G54+G66+G67+G68+G70+G73+G27+G76</f>
        <v>818200.09799999988</v>
      </c>
      <c r="H12" s="115">
        <f>H16+H19+H21+H23+H30+H32+H37+H39+H41+H43+H45+H46+H47+H50+H54+H66+H67+H68+H70+H73+H27+H76</f>
        <v>916683.46626000002</v>
      </c>
      <c r="I12" s="114">
        <f>I16+I19+I21+I23+I30+I32+I37+I39+I41+I43+I45+I46+I47+I50+I54+I66+I67+I68+I70+I73+I27+I76</f>
        <v>771929.17999999993</v>
      </c>
      <c r="J12" s="114">
        <f>J16+J19+J21+J23+J30+J32+J37+J39+J41+J43+J45+J46+J47+J50+J54+J66+J67+J68+J70+J73+J27+J76</f>
        <v>771929.17999999993</v>
      </c>
      <c r="K12" s="114">
        <f>K16+K19+K21+K23+K30+K32+K37+K39+K41+K43+K45+K46+K47+K50+K54+K66+K67+K68+K70+K73+K27+K76</f>
        <v>763528.6399999999</v>
      </c>
      <c r="L12" s="655"/>
      <c r="M12" s="658"/>
      <c r="N12" s="364"/>
      <c r="O12" s="364"/>
      <c r="P12" s="364"/>
    </row>
    <row r="13" spans="1:22" ht="127.5" customHeight="1" x14ac:dyDescent="0.25">
      <c r="A13" s="649"/>
      <c r="B13" s="652"/>
      <c r="C13" s="652"/>
      <c r="D13" s="425" t="s">
        <v>93</v>
      </c>
      <c r="E13" s="28">
        <f>E34+E52+E56+E75</f>
        <v>11834.492999999999</v>
      </c>
      <c r="F13" s="66">
        <f t="shared" si="1"/>
        <v>32051.312000000002</v>
      </c>
      <c r="G13" s="28">
        <f>G34+G52+G56+G75+G20+G49</f>
        <v>20005.952000000001</v>
      </c>
      <c r="H13" s="30">
        <f>H34+H52+H56+H75+H20+H49</f>
        <v>12045.36</v>
      </c>
      <c r="I13" s="28">
        <f>I34+I52+I56+I75+I20+I49</f>
        <v>0</v>
      </c>
      <c r="J13" s="28">
        <f>J34+J52+J56+J75+J20+J49</f>
        <v>0</v>
      </c>
      <c r="K13" s="28">
        <f>K34+K52+K56+K75+K20+K49</f>
        <v>0</v>
      </c>
      <c r="L13" s="655"/>
      <c r="M13" s="658"/>
      <c r="N13" s="364"/>
      <c r="O13" s="364"/>
      <c r="P13" s="364"/>
    </row>
    <row r="14" spans="1:22" ht="81" customHeight="1" x14ac:dyDescent="0.25">
      <c r="A14" s="649"/>
      <c r="B14" s="652"/>
      <c r="C14" s="652"/>
      <c r="D14" s="425" t="s">
        <v>51</v>
      </c>
      <c r="E14" s="28">
        <f>E17+E35</f>
        <v>168767.12400000001</v>
      </c>
      <c r="F14" s="66">
        <f t="shared" si="1"/>
        <v>1085032.8990000002</v>
      </c>
      <c r="G14" s="28">
        <f>G17+G35</f>
        <v>198466.71000000002</v>
      </c>
      <c r="H14" s="30">
        <f>H17+H35</f>
        <v>245625.03</v>
      </c>
      <c r="I14" s="28">
        <f>I17+I35</f>
        <v>213647.05300000001</v>
      </c>
      <c r="J14" s="28">
        <f>J17+J35</f>
        <v>213647.05300000001</v>
      </c>
      <c r="K14" s="28">
        <f>K17+K35</f>
        <v>213647.05300000001</v>
      </c>
      <c r="L14" s="655"/>
      <c r="M14" s="658"/>
      <c r="N14" s="364"/>
      <c r="O14" s="364"/>
      <c r="P14" s="364"/>
      <c r="V14" s="31"/>
    </row>
    <row r="15" spans="1:22" ht="68.25" customHeight="1" x14ac:dyDescent="0.25">
      <c r="A15" s="650"/>
      <c r="B15" s="653"/>
      <c r="C15" s="653"/>
      <c r="D15" s="425" t="s">
        <v>64</v>
      </c>
      <c r="E15" s="28">
        <f>E18</f>
        <v>4376.9960000000001</v>
      </c>
      <c r="F15" s="66">
        <f t="shared" si="1"/>
        <v>27482.625</v>
      </c>
      <c r="G15" s="28">
        <f t="shared" ref="G15:K15" si="2">G18</f>
        <v>5221.125</v>
      </c>
      <c r="H15" s="30">
        <f t="shared" si="2"/>
        <v>5565.375</v>
      </c>
      <c r="I15" s="28">
        <f t="shared" si="2"/>
        <v>5565.375</v>
      </c>
      <c r="J15" s="28">
        <f t="shared" si="2"/>
        <v>5565.375</v>
      </c>
      <c r="K15" s="28">
        <f t="shared" si="2"/>
        <v>5565.375</v>
      </c>
      <c r="L15" s="656"/>
      <c r="M15" s="659"/>
      <c r="N15" s="364"/>
      <c r="O15" s="364"/>
      <c r="P15" s="364"/>
      <c r="V15" s="31"/>
    </row>
    <row r="16" spans="1:22" ht="67.5" customHeight="1" x14ac:dyDescent="0.25">
      <c r="A16" s="660" t="s">
        <v>100</v>
      </c>
      <c r="B16" s="490" t="s">
        <v>69</v>
      </c>
      <c r="C16" s="507" t="s">
        <v>156</v>
      </c>
      <c r="D16" s="64" t="s">
        <v>24</v>
      </c>
      <c r="E16" s="65">
        <v>438987.25900000002</v>
      </c>
      <c r="F16" s="66">
        <f>SUM(G16:K16)</f>
        <v>1891643.6160000002</v>
      </c>
      <c r="G16" s="65">
        <v>465168</v>
      </c>
      <c r="H16" s="67">
        <f>354533.023+2343.524</f>
        <v>356876.54699999996</v>
      </c>
      <c r="I16" s="65">
        <v>356533.02299999999</v>
      </c>
      <c r="J16" s="65">
        <v>356533.02299999999</v>
      </c>
      <c r="K16" s="65">
        <v>356533.02299999999</v>
      </c>
      <c r="L16" s="665" t="s">
        <v>11</v>
      </c>
      <c r="M16" s="664" t="s">
        <v>72</v>
      </c>
      <c r="N16" s="28">
        <f>('[2]Лист 1'!$F$356+'[2]Лист 1'!$F$357+'[2]Лист 1'!$F$358+'[2]Лист 1'!$F$359)/1000</f>
        <v>354533.02299999999</v>
      </c>
      <c r="O16" s="67">
        <v>354533.02299999999</v>
      </c>
      <c r="P16" s="381">
        <f>N16-O16</f>
        <v>0</v>
      </c>
      <c r="R16" s="49" t="s">
        <v>349</v>
      </c>
      <c r="S16" s="49"/>
      <c r="T16" s="49"/>
    </row>
    <row r="17" spans="1:25" ht="83.25" customHeight="1" x14ac:dyDescent="0.25">
      <c r="A17" s="661"/>
      <c r="B17" s="663"/>
      <c r="C17" s="600"/>
      <c r="D17" s="428" t="s">
        <v>51</v>
      </c>
      <c r="E17" s="65">
        <v>119767.406</v>
      </c>
      <c r="F17" s="66">
        <f t="shared" ref="F17:F63" si="3">SUM(G17:K17)</f>
        <v>888954.04200000013</v>
      </c>
      <c r="G17" s="65">
        <f>175878.271+67.2-12504.798</f>
        <v>163440.67300000001</v>
      </c>
      <c r="H17" s="67">
        <f>175878.271+67.2+38152.273-16332.52-88.268</f>
        <v>197676.95600000001</v>
      </c>
      <c r="I17" s="65">
        <f>175878.271+67.2</f>
        <v>175945.47100000002</v>
      </c>
      <c r="J17" s="65">
        <f>175878.271+67.2</f>
        <v>175945.47100000002</v>
      </c>
      <c r="K17" s="65">
        <f>175878.271+67.2</f>
        <v>175945.47100000002</v>
      </c>
      <c r="L17" s="665"/>
      <c r="M17" s="664"/>
      <c r="N17" s="28">
        <v>197765.22399999999</v>
      </c>
      <c r="O17" s="67">
        <f>175878.271+67.2+38152.273-16332.52</f>
        <v>197765.22400000002</v>
      </c>
      <c r="P17" s="381">
        <f t="shared" ref="P17:P79" si="4">N17-O17</f>
        <v>0</v>
      </c>
      <c r="Q17" s="7" t="s">
        <v>331</v>
      </c>
      <c r="R17" s="44" t="s">
        <v>363</v>
      </c>
      <c r="S17" s="44"/>
      <c r="T17" s="44"/>
    </row>
    <row r="18" spans="1:25" ht="61.5" customHeight="1" x14ac:dyDescent="0.25">
      <c r="A18" s="662"/>
      <c r="B18" s="491"/>
      <c r="C18" s="508"/>
      <c r="D18" s="428" t="s">
        <v>64</v>
      </c>
      <c r="E18" s="65">
        <v>4376.9960000000001</v>
      </c>
      <c r="F18" s="66">
        <f t="shared" si="3"/>
        <v>27482.625</v>
      </c>
      <c r="G18" s="65">
        <v>5221.125</v>
      </c>
      <c r="H18" s="67">
        <v>5565.375</v>
      </c>
      <c r="I18" s="65">
        <v>5565.375</v>
      </c>
      <c r="J18" s="65">
        <v>5565.375</v>
      </c>
      <c r="K18" s="65">
        <v>5565.375</v>
      </c>
      <c r="L18" s="665"/>
      <c r="M18" s="664"/>
      <c r="N18" s="28">
        <v>5565.375</v>
      </c>
      <c r="O18" s="67">
        <v>5565.375</v>
      </c>
      <c r="P18" s="381">
        <f t="shared" si="4"/>
        <v>0</v>
      </c>
      <c r="R18" s="44"/>
      <c r="S18" s="44"/>
      <c r="T18" s="44"/>
    </row>
    <row r="19" spans="1:25" ht="65.25" customHeight="1" x14ac:dyDescent="0.25">
      <c r="A19" s="660" t="s">
        <v>101</v>
      </c>
      <c r="B19" s="490" t="s">
        <v>70</v>
      </c>
      <c r="C19" s="507" t="s">
        <v>156</v>
      </c>
      <c r="D19" s="428" t="s">
        <v>24</v>
      </c>
      <c r="E19" s="65">
        <v>128460.2</v>
      </c>
      <c r="F19" s="66">
        <f t="shared" si="3"/>
        <v>626863.75399999996</v>
      </c>
      <c r="G19" s="65">
        <v>173058.86</v>
      </c>
      <c r="H19" s="67">
        <f>114995.386-6176.65</f>
        <v>108818.736</v>
      </c>
      <c r="I19" s="65">
        <v>114995.386</v>
      </c>
      <c r="J19" s="65">
        <v>114995.386</v>
      </c>
      <c r="K19" s="65">
        <v>114995.386</v>
      </c>
      <c r="L19" s="492" t="s">
        <v>11</v>
      </c>
      <c r="M19" s="592" t="s">
        <v>72</v>
      </c>
      <c r="N19" s="28">
        <f>('[2]Лист 1'!$F$360+'[2]Лист 1'!$F$361)/1000</f>
        <v>108818.736</v>
      </c>
      <c r="O19" s="67">
        <f>114995.386-6176.65</f>
        <v>108818.736</v>
      </c>
      <c r="P19" s="381">
        <f t="shared" si="4"/>
        <v>0</v>
      </c>
      <c r="Q19" s="116"/>
      <c r="R19" s="44"/>
      <c r="S19" s="44"/>
      <c r="T19" s="44"/>
    </row>
    <row r="20" spans="1:25" ht="116.25" customHeight="1" x14ac:dyDescent="0.25">
      <c r="A20" s="662"/>
      <c r="B20" s="491"/>
      <c r="C20" s="508"/>
      <c r="D20" s="428" t="s">
        <v>93</v>
      </c>
      <c r="E20" s="65">
        <v>0</v>
      </c>
      <c r="F20" s="66">
        <f t="shared" si="3"/>
        <v>798.59</v>
      </c>
      <c r="G20" s="65">
        <v>798.59</v>
      </c>
      <c r="H20" s="67">
        <v>0</v>
      </c>
      <c r="I20" s="65">
        <v>0</v>
      </c>
      <c r="J20" s="65">
        <v>0</v>
      </c>
      <c r="K20" s="65">
        <v>0</v>
      </c>
      <c r="L20" s="493"/>
      <c r="M20" s="593"/>
      <c r="N20" s="28">
        <v>0</v>
      </c>
      <c r="O20" s="67">
        <v>0</v>
      </c>
      <c r="P20" s="381">
        <f t="shared" si="4"/>
        <v>0</v>
      </c>
      <c r="R20" s="44"/>
      <c r="S20" s="44"/>
      <c r="T20" s="44"/>
    </row>
    <row r="21" spans="1:25" ht="75" x14ac:dyDescent="0.25">
      <c r="A21" s="660" t="s">
        <v>102</v>
      </c>
      <c r="B21" s="666" t="s">
        <v>98</v>
      </c>
      <c r="C21" s="507" t="s">
        <v>156</v>
      </c>
      <c r="D21" s="428" t="s">
        <v>24</v>
      </c>
      <c r="E21" s="65">
        <v>61325.218999999997</v>
      </c>
      <c r="F21" s="66">
        <f t="shared" si="3"/>
        <v>251255.83699999994</v>
      </c>
      <c r="G21" s="65">
        <v>60665.144</v>
      </c>
      <c r="H21" s="67">
        <f>46979.284+746.384+490+50+0.35-75.657+89.657+812.109+560.714</f>
        <v>49652.840999999993</v>
      </c>
      <c r="I21" s="65">
        <v>46979.284</v>
      </c>
      <c r="J21" s="65">
        <v>46979.284</v>
      </c>
      <c r="K21" s="65">
        <v>46979.284</v>
      </c>
      <c r="L21" s="492" t="s">
        <v>11</v>
      </c>
      <c r="M21" s="585" t="s">
        <v>137</v>
      </c>
      <c r="N21" s="28">
        <f>SUM('[2]Лист 1'!$F$362:$F$368)/1000</f>
        <v>48280.017999999996</v>
      </c>
      <c r="O21" s="67">
        <f>46979.284+746.384+490+50+0.35-75.657+89.657</f>
        <v>48280.017999999996</v>
      </c>
      <c r="P21" s="381">
        <f t="shared" si="4"/>
        <v>0</v>
      </c>
      <c r="Q21" s="7" t="s">
        <v>329</v>
      </c>
      <c r="R21" s="49"/>
      <c r="S21" s="49"/>
      <c r="T21" s="49"/>
    </row>
    <row r="22" spans="1:25" ht="99.75" customHeight="1" x14ac:dyDescent="0.25">
      <c r="A22" s="662"/>
      <c r="B22" s="667"/>
      <c r="C22" s="508"/>
      <c r="D22" s="428" t="s">
        <v>311</v>
      </c>
      <c r="E22" s="65">
        <v>0</v>
      </c>
      <c r="F22" s="66">
        <f t="shared" si="3"/>
        <v>560.71400000000006</v>
      </c>
      <c r="G22" s="65">
        <v>0</v>
      </c>
      <c r="H22" s="67">
        <v>560.71400000000006</v>
      </c>
      <c r="I22" s="65">
        <v>0</v>
      </c>
      <c r="J22" s="65">
        <v>0</v>
      </c>
      <c r="K22" s="65">
        <v>0</v>
      </c>
      <c r="L22" s="493"/>
      <c r="M22" s="586"/>
      <c r="N22" s="28"/>
      <c r="O22" s="67"/>
      <c r="P22" s="381"/>
      <c r="R22" s="49"/>
      <c r="S22" s="49"/>
      <c r="T22" s="49"/>
    </row>
    <row r="23" spans="1:25" ht="136.5" customHeight="1" x14ac:dyDescent="0.25">
      <c r="A23" s="117" t="s">
        <v>103</v>
      </c>
      <c r="B23" s="118" t="s">
        <v>172</v>
      </c>
      <c r="C23" s="428" t="s">
        <v>156</v>
      </c>
      <c r="D23" s="64" t="s">
        <v>24</v>
      </c>
      <c r="E23" s="65">
        <v>13103.741</v>
      </c>
      <c r="F23" s="66">
        <f t="shared" si="3"/>
        <v>49727.635999999984</v>
      </c>
      <c r="G23" s="65">
        <f>16604.172+267.62</f>
        <v>16871.791999999998</v>
      </c>
      <c r="H23" s="67">
        <v>8213.9609999999993</v>
      </c>
      <c r="I23" s="65">
        <v>8213.9609999999993</v>
      </c>
      <c r="J23" s="65">
        <v>8213.9609999999993</v>
      </c>
      <c r="K23" s="65">
        <v>8213.9609999999993</v>
      </c>
      <c r="L23" s="444" t="s">
        <v>11</v>
      </c>
      <c r="M23" s="447" t="s">
        <v>137</v>
      </c>
      <c r="N23" s="28">
        <f>SUM('[2]Лист 1'!$F$369:$F$375)/1000</f>
        <v>8213.9609999999993</v>
      </c>
      <c r="O23" s="67">
        <v>8213.9609999999993</v>
      </c>
      <c r="P23" s="381">
        <f t="shared" si="4"/>
        <v>0</v>
      </c>
      <c r="R23" s="49"/>
      <c r="S23" s="49"/>
      <c r="T23" s="49"/>
      <c r="Y23" s="31"/>
    </row>
    <row r="24" spans="1:25" ht="251.25" customHeight="1" x14ac:dyDescent="0.25">
      <c r="A24" s="119" t="s">
        <v>104</v>
      </c>
      <c r="B24" s="118" t="s">
        <v>267</v>
      </c>
      <c r="C24" s="428" t="s">
        <v>156</v>
      </c>
      <c r="D24" s="64" t="s">
        <v>5</v>
      </c>
      <c r="E24" s="65">
        <v>2270359</v>
      </c>
      <c r="F24" s="66">
        <f>SUM(G24:K24)</f>
        <v>10779896</v>
      </c>
      <c r="G24" s="65">
        <v>2673101</v>
      </c>
      <c r="H24" s="67">
        <v>2795447</v>
      </c>
      <c r="I24" s="65">
        <v>2655674</v>
      </c>
      <c r="J24" s="65">
        <v>2655674</v>
      </c>
      <c r="K24" s="65">
        <v>0</v>
      </c>
      <c r="L24" s="444" t="s">
        <v>11</v>
      </c>
      <c r="M24" s="446" t="s">
        <v>143</v>
      </c>
      <c r="N24" s="28">
        <f>'[2]Лист 1'!$K$376/1000</f>
        <v>2795447</v>
      </c>
      <c r="O24" s="365">
        <v>2655674</v>
      </c>
      <c r="P24" s="381">
        <f t="shared" si="4"/>
        <v>139773</v>
      </c>
      <c r="R24" s="44"/>
      <c r="S24" s="44"/>
      <c r="T24" s="44"/>
    </row>
    <row r="25" spans="1:25" ht="262.5" x14ac:dyDescent="0.25">
      <c r="A25" s="117" t="s">
        <v>105</v>
      </c>
      <c r="B25" s="433" t="s">
        <v>194</v>
      </c>
      <c r="C25" s="427" t="s">
        <v>156</v>
      </c>
      <c r="D25" s="427" t="s">
        <v>5</v>
      </c>
      <c r="E25" s="120">
        <f>175303-13633</f>
        <v>161670</v>
      </c>
      <c r="F25" s="66">
        <f t="shared" si="3"/>
        <v>848144</v>
      </c>
      <c r="G25" s="120">
        <v>187702</v>
      </c>
      <c r="H25" s="67">
        <v>231622</v>
      </c>
      <c r="I25" s="120">
        <v>214410</v>
      </c>
      <c r="J25" s="120">
        <v>214410</v>
      </c>
      <c r="K25" s="120">
        <v>0</v>
      </c>
      <c r="L25" s="431" t="s">
        <v>11</v>
      </c>
      <c r="M25" s="432" t="s">
        <v>226</v>
      </c>
      <c r="N25" s="28">
        <f>'[2]Лист 1'!$J$385/1000</f>
        <v>231622</v>
      </c>
      <c r="O25" s="366">
        <v>214410</v>
      </c>
      <c r="P25" s="381">
        <f t="shared" si="4"/>
        <v>17212</v>
      </c>
      <c r="R25" s="49"/>
      <c r="S25" s="49"/>
      <c r="T25" s="49"/>
      <c r="U25" s="44"/>
    </row>
    <row r="26" spans="1:25" ht="73.5" customHeight="1" x14ac:dyDescent="0.25">
      <c r="A26" s="521" t="s">
        <v>106</v>
      </c>
      <c r="B26" s="587" t="s">
        <v>195</v>
      </c>
      <c r="C26" s="507" t="s">
        <v>156</v>
      </c>
      <c r="D26" s="64" t="s">
        <v>5</v>
      </c>
      <c r="E26" s="120">
        <v>116517</v>
      </c>
      <c r="F26" s="66">
        <f t="shared" si="3"/>
        <v>714240</v>
      </c>
      <c r="G26" s="120">
        <v>159822</v>
      </c>
      <c r="H26" s="121">
        <v>184806</v>
      </c>
      <c r="I26" s="120">
        <v>184806</v>
      </c>
      <c r="J26" s="120">
        <v>184806</v>
      </c>
      <c r="K26" s="120">
        <v>0</v>
      </c>
      <c r="L26" s="492" t="s">
        <v>11</v>
      </c>
      <c r="M26" s="466" t="s">
        <v>25</v>
      </c>
      <c r="N26" s="28">
        <f>('[2]Лист 1'!$F$388+'[2]Лист 1'!$F$389+'[2]Лист 1'!$F$390)/1000</f>
        <v>184806</v>
      </c>
      <c r="O26" s="121">
        <v>184806</v>
      </c>
      <c r="P26" s="381">
        <f t="shared" si="4"/>
        <v>0</v>
      </c>
      <c r="R26" s="44"/>
      <c r="S26" s="44"/>
      <c r="T26" s="44"/>
    </row>
    <row r="27" spans="1:25" ht="58.5" customHeight="1" x14ac:dyDescent="0.25">
      <c r="A27" s="522"/>
      <c r="B27" s="588"/>
      <c r="C27" s="508"/>
      <c r="D27" s="64" t="s">
        <v>24</v>
      </c>
      <c r="E27" s="120">
        <v>0</v>
      </c>
      <c r="F27" s="66">
        <f t="shared" si="3"/>
        <v>220634.989</v>
      </c>
      <c r="G27" s="120">
        <v>0</v>
      </c>
      <c r="H27" s="121">
        <f>52575.644+10332.413</f>
        <v>62908.057000000001</v>
      </c>
      <c r="I27" s="120">
        <v>52575.644</v>
      </c>
      <c r="J27" s="120">
        <v>52575.644</v>
      </c>
      <c r="K27" s="120">
        <v>52575.644</v>
      </c>
      <c r="L27" s="493"/>
      <c r="M27" s="467"/>
      <c r="N27" s="28">
        <f>('[2]Лист 1'!$F$386+'[2]Лист 1'!$F$387)/1000</f>
        <v>62908.057000000001</v>
      </c>
      <c r="O27" s="121">
        <f>52575.644+10332.413</f>
        <v>62908.057000000001</v>
      </c>
      <c r="P27" s="381">
        <f t="shared" si="4"/>
        <v>0</v>
      </c>
      <c r="R27" s="44"/>
      <c r="S27" s="44"/>
      <c r="T27" s="44"/>
    </row>
    <row r="28" spans="1:25" ht="115.5" customHeight="1" x14ac:dyDescent="0.25">
      <c r="A28" s="117" t="s">
        <v>107</v>
      </c>
      <c r="B28" s="72" t="s">
        <v>196</v>
      </c>
      <c r="C28" s="64" t="s">
        <v>156</v>
      </c>
      <c r="D28" s="64" t="s">
        <v>5</v>
      </c>
      <c r="E28" s="65">
        <v>40</v>
      </c>
      <c r="F28" s="66">
        <f t="shared" ref="F28" si="5">SUM(G28:K28)</f>
        <v>395</v>
      </c>
      <c r="G28" s="65">
        <v>80</v>
      </c>
      <c r="H28" s="67">
        <v>105</v>
      </c>
      <c r="I28" s="65">
        <v>105</v>
      </c>
      <c r="J28" s="65">
        <v>105</v>
      </c>
      <c r="K28" s="65">
        <v>0</v>
      </c>
      <c r="L28" s="444" t="s">
        <v>11</v>
      </c>
      <c r="M28" s="122" t="s">
        <v>52</v>
      </c>
      <c r="N28" s="28">
        <f>'[2]Лист 1'!$F$391/1000</f>
        <v>105</v>
      </c>
      <c r="O28" s="67">
        <v>105</v>
      </c>
      <c r="P28" s="381">
        <f t="shared" si="4"/>
        <v>0</v>
      </c>
      <c r="R28" s="44"/>
      <c r="S28" s="44"/>
      <c r="T28" s="44"/>
    </row>
    <row r="29" spans="1:25" ht="68.25" customHeight="1" x14ac:dyDescent="0.25">
      <c r="A29" s="521" t="s">
        <v>108</v>
      </c>
      <c r="B29" s="490" t="s">
        <v>268</v>
      </c>
      <c r="C29" s="507" t="s">
        <v>156</v>
      </c>
      <c r="D29" s="64" t="s">
        <v>5</v>
      </c>
      <c r="E29" s="120">
        <v>212</v>
      </c>
      <c r="F29" s="66">
        <f t="shared" si="3"/>
        <v>466</v>
      </c>
      <c r="G29" s="120">
        <v>118</v>
      </c>
      <c r="H29" s="121">
        <v>116</v>
      </c>
      <c r="I29" s="120">
        <v>116</v>
      </c>
      <c r="J29" s="120">
        <v>116</v>
      </c>
      <c r="K29" s="120">
        <v>0</v>
      </c>
      <c r="L29" s="492" t="s">
        <v>11</v>
      </c>
      <c r="M29" s="466" t="s">
        <v>162</v>
      </c>
      <c r="N29" s="28">
        <f>'[2]Лист 1'!$F$393/1000</f>
        <v>116</v>
      </c>
      <c r="O29" s="121">
        <v>116</v>
      </c>
      <c r="P29" s="381">
        <f t="shared" si="4"/>
        <v>0</v>
      </c>
      <c r="R29" s="44"/>
      <c r="S29" s="44"/>
      <c r="T29" s="44"/>
    </row>
    <row r="30" spans="1:25" ht="146.25" customHeight="1" x14ac:dyDescent="0.25">
      <c r="A30" s="522"/>
      <c r="B30" s="491"/>
      <c r="C30" s="508"/>
      <c r="D30" s="64" t="s">
        <v>23</v>
      </c>
      <c r="E30" s="68">
        <v>9188.7000000000007</v>
      </c>
      <c r="F30" s="66">
        <f t="shared" si="3"/>
        <v>32938.342000000004</v>
      </c>
      <c r="G30" s="68">
        <v>7736.7219999999998</v>
      </c>
      <c r="H30" s="69">
        <v>8400.5400000000009</v>
      </c>
      <c r="I30" s="68">
        <v>8400.5400000000009</v>
      </c>
      <c r="J30" s="68">
        <v>8400.5400000000009</v>
      </c>
      <c r="K30" s="68">
        <v>0</v>
      </c>
      <c r="L30" s="493"/>
      <c r="M30" s="467"/>
      <c r="N30" s="28">
        <f>('[2]Лист 1'!$F$392+'[2]Лист 1'!$F$394)/1000</f>
        <v>8400.5400000000009</v>
      </c>
      <c r="O30" s="69">
        <v>8400.5400000000009</v>
      </c>
      <c r="P30" s="381">
        <f t="shared" si="4"/>
        <v>0</v>
      </c>
    </row>
    <row r="31" spans="1:25" ht="37.5" customHeight="1" x14ac:dyDescent="0.25">
      <c r="A31" s="521" t="s">
        <v>109</v>
      </c>
      <c r="B31" s="587" t="s">
        <v>197</v>
      </c>
      <c r="C31" s="507" t="s">
        <v>156</v>
      </c>
      <c r="D31" s="64" t="s">
        <v>5</v>
      </c>
      <c r="E31" s="123">
        <v>0</v>
      </c>
      <c r="F31" s="66">
        <f t="shared" ref="F31" si="6">SUM(G31:K31)</f>
        <v>0</v>
      </c>
      <c r="G31" s="123">
        <v>0</v>
      </c>
      <c r="H31" s="124">
        <v>0</v>
      </c>
      <c r="I31" s="123">
        <v>0</v>
      </c>
      <c r="J31" s="123">
        <v>0</v>
      </c>
      <c r="K31" s="123">
        <v>0</v>
      </c>
      <c r="L31" s="621" t="s">
        <v>41</v>
      </c>
      <c r="M31" s="592" t="s">
        <v>227</v>
      </c>
      <c r="N31" s="28">
        <v>0</v>
      </c>
      <c r="O31" s="124">
        <v>0</v>
      </c>
      <c r="P31" s="381">
        <f t="shared" si="4"/>
        <v>0</v>
      </c>
      <c r="Q31" s="49"/>
      <c r="R31" s="49"/>
      <c r="S31" s="49"/>
      <c r="T31" s="49"/>
      <c r="U31" s="49"/>
    </row>
    <row r="32" spans="1:25" ht="59.25" customHeight="1" x14ac:dyDescent="0.25">
      <c r="A32" s="595"/>
      <c r="B32" s="668"/>
      <c r="C32" s="600"/>
      <c r="D32" s="64" t="s">
        <v>23</v>
      </c>
      <c r="E32" s="68">
        <v>94414.815000000002</v>
      </c>
      <c r="F32" s="66">
        <f t="shared" si="3"/>
        <v>3960.6639999999998</v>
      </c>
      <c r="G32" s="68">
        <f>115.914+122.975</f>
        <v>238.88900000000001</v>
      </c>
      <c r="H32" s="69">
        <f>2174.747+802.1+167.928+577</f>
        <v>3721.7749999999996</v>
      </c>
      <c r="I32" s="68">
        <v>0</v>
      </c>
      <c r="J32" s="68">
        <f>5000-400-1000-1350-2250</f>
        <v>0</v>
      </c>
      <c r="K32" s="68">
        <f>5000-400-1000-1350-2250</f>
        <v>0</v>
      </c>
      <c r="L32" s="622"/>
      <c r="M32" s="593"/>
      <c r="N32" s="28">
        <f>('[2]Лист 1'!$F$395+'[2]Лист 1'!$F$396+'[2]Лист 1'!$F$397+'[2]Лист 1'!$F$400)/1000</f>
        <v>3721.7750000000001</v>
      </c>
      <c r="O32" s="69">
        <f>2174.747+802.1+167.928+577</f>
        <v>3721.7749999999996</v>
      </c>
      <c r="P32" s="381">
        <f t="shared" si="4"/>
        <v>0</v>
      </c>
      <c r="Q32" s="49"/>
      <c r="R32" s="44"/>
      <c r="S32" s="44"/>
    </row>
    <row r="33" spans="1:22" ht="93.75" x14ac:dyDescent="0.25">
      <c r="A33" s="595"/>
      <c r="B33" s="668"/>
      <c r="C33" s="600"/>
      <c r="D33" s="428" t="s">
        <v>311</v>
      </c>
      <c r="E33" s="125">
        <v>0</v>
      </c>
      <c r="F33" s="66">
        <f t="shared" si="3"/>
        <v>577</v>
      </c>
      <c r="G33" s="125">
        <v>0</v>
      </c>
      <c r="H33" s="126">
        <v>577</v>
      </c>
      <c r="I33" s="125">
        <v>0</v>
      </c>
      <c r="J33" s="125">
        <v>0</v>
      </c>
      <c r="K33" s="125">
        <v>0</v>
      </c>
      <c r="L33" s="622"/>
      <c r="M33" s="593"/>
      <c r="N33" s="28">
        <v>577</v>
      </c>
      <c r="O33" s="126">
        <v>577</v>
      </c>
      <c r="P33" s="381">
        <f t="shared" si="4"/>
        <v>0</v>
      </c>
      <c r="Q33" s="49"/>
      <c r="R33" s="44"/>
      <c r="S33" s="44"/>
    </row>
    <row r="34" spans="1:22" ht="117.75" customHeight="1" x14ac:dyDescent="0.25">
      <c r="A34" s="595"/>
      <c r="B34" s="668"/>
      <c r="C34" s="600"/>
      <c r="D34" s="127" t="s">
        <v>93</v>
      </c>
      <c r="E34" s="128">
        <v>11214.246999999999</v>
      </c>
      <c r="F34" s="66">
        <f t="shared" si="3"/>
        <v>27367.625</v>
      </c>
      <c r="G34" s="128">
        <f>13232.584+4590.387+302.494</f>
        <v>18125.465</v>
      </c>
      <c r="H34" s="129">
        <f>805.556+3706.736+369.16+3988+372.708</f>
        <v>9242.16</v>
      </c>
      <c r="I34" s="128">
        <v>0</v>
      </c>
      <c r="J34" s="128">
        <v>0</v>
      </c>
      <c r="K34" s="128">
        <v>0</v>
      </c>
      <c r="L34" s="622"/>
      <c r="M34" s="593"/>
      <c r="N34" s="28">
        <f>('[2]Лист 1'!$F$398+'[2]Лист 1'!$F$399)/1000</f>
        <v>8869.4519999999993</v>
      </c>
      <c r="O34" s="129">
        <f>805.556+3706.736+369.16+3988</f>
        <v>8869.4519999999993</v>
      </c>
      <c r="P34" s="381">
        <f t="shared" si="4"/>
        <v>0</v>
      </c>
      <c r="R34" s="7" t="s">
        <v>350</v>
      </c>
    </row>
    <row r="35" spans="1:22" ht="76.5" customHeight="1" x14ac:dyDescent="0.25">
      <c r="A35" s="522"/>
      <c r="B35" s="588"/>
      <c r="C35" s="508"/>
      <c r="D35" s="428" t="s">
        <v>51</v>
      </c>
      <c r="E35" s="130">
        <v>48999.718000000001</v>
      </c>
      <c r="F35" s="131">
        <f t="shared" si="3"/>
        <v>196078.85699999999</v>
      </c>
      <c r="G35" s="130">
        <f>37701.582-2675.545</f>
        <v>35026.037000000004</v>
      </c>
      <c r="H35" s="129">
        <f>37701.582+19500.593-7963.627-1290.474</f>
        <v>47948.074000000001</v>
      </c>
      <c r="I35" s="130">
        <v>37701.582000000002</v>
      </c>
      <c r="J35" s="130">
        <v>37701.582000000002</v>
      </c>
      <c r="K35" s="130">
        <v>37701.582000000002</v>
      </c>
      <c r="L35" s="623"/>
      <c r="M35" s="594"/>
      <c r="N35" s="28">
        <v>49238.548000000003</v>
      </c>
      <c r="O35" s="129">
        <f>37701.582+19500.593-7963.627</f>
        <v>49238.548000000003</v>
      </c>
      <c r="P35" s="381">
        <f t="shared" si="4"/>
        <v>0</v>
      </c>
      <c r="Q35" s="7" t="s">
        <v>331</v>
      </c>
      <c r="R35" s="44" t="s">
        <v>364</v>
      </c>
      <c r="S35" s="44"/>
      <c r="T35" s="44"/>
    </row>
    <row r="36" spans="1:22" ht="78" customHeight="1" x14ac:dyDescent="0.25">
      <c r="A36" s="521" t="s">
        <v>110</v>
      </c>
      <c r="B36" s="587" t="s">
        <v>287</v>
      </c>
      <c r="C36" s="507" t="s">
        <v>156</v>
      </c>
      <c r="D36" s="64" t="s">
        <v>5</v>
      </c>
      <c r="E36" s="65">
        <v>1000</v>
      </c>
      <c r="F36" s="66">
        <f t="shared" ref="F36:F37" si="7">SUM(G36:K36)</f>
        <v>3000</v>
      </c>
      <c r="G36" s="65">
        <f>2000</f>
        <v>2000</v>
      </c>
      <c r="H36" s="67">
        <v>1000</v>
      </c>
      <c r="I36" s="65">
        <v>0</v>
      </c>
      <c r="J36" s="65">
        <v>0</v>
      </c>
      <c r="K36" s="65">
        <v>0</v>
      </c>
      <c r="L36" s="492" t="s">
        <v>11</v>
      </c>
      <c r="M36" s="463" t="s">
        <v>229</v>
      </c>
      <c r="N36" s="28">
        <f>'[2]Лист 1'!$F$401/1000</f>
        <v>1000</v>
      </c>
      <c r="O36" s="67">
        <v>1000</v>
      </c>
      <c r="P36" s="381">
        <f t="shared" si="4"/>
        <v>0</v>
      </c>
      <c r="R36" s="44"/>
      <c r="S36" s="44"/>
      <c r="T36" s="44"/>
    </row>
    <row r="37" spans="1:22" ht="76.5" customHeight="1" x14ac:dyDescent="0.25">
      <c r="A37" s="522"/>
      <c r="B37" s="588"/>
      <c r="C37" s="508"/>
      <c r="D37" s="64" t="s">
        <v>23</v>
      </c>
      <c r="E37" s="68">
        <f>262-162</f>
        <v>100</v>
      </c>
      <c r="F37" s="66">
        <f t="shared" si="7"/>
        <v>300</v>
      </c>
      <c r="G37" s="68">
        <v>200</v>
      </c>
      <c r="H37" s="69">
        <f>1300-1200</f>
        <v>100</v>
      </c>
      <c r="I37" s="68">
        <v>0</v>
      </c>
      <c r="J37" s="68">
        <v>0</v>
      </c>
      <c r="K37" s="68">
        <v>0</v>
      </c>
      <c r="L37" s="493"/>
      <c r="M37" s="465"/>
      <c r="N37" s="28">
        <f>'[2]Лист 1'!$F$402/1000</f>
        <v>100</v>
      </c>
      <c r="O37" s="69">
        <f>1300-1200</f>
        <v>100</v>
      </c>
      <c r="P37" s="381">
        <f t="shared" si="4"/>
        <v>0</v>
      </c>
      <c r="Q37" s="49"/>
    </row>
    <row r="38" spans="1:22" ht="126.75" customHeight="1" x14ac:dyDescent="0.25">
      <c r="A38" s="521" t="s">
        <v>111</v>
      </c>
      <c r="B38" s="587" t="s">
        <v>288</v>
      </c>
      <c r="C38" s="507" t="s">
        <v>156</v>
      </c>
      <c r="D38" s="64" t="s">
        <v>5</v>
      </c>
      <c r="E38" s="65">
        <v>0</v>
      </c>
      <c r="F38" s="66">
        <f t="shared" ref="F38:F39" si="8">SUM(G38:K38)</f>
        <v>0</v>
      </c>
      <c r="G38" s="65">
        <v>0</v>
      </c>
      <c r="H38" s="67">
        <v>0</v>
      </c>
      <c r="I38" s="65">
        <v>0</v>
      </c>
      <c r="J38" s="65">
        <v>0</v>
      </c>
      <c r="K38" s="65">
        <v>0</v>
      </c>
      <c r="L38" s="492" t="s">
        <v>11</v>
      </c>
      <c r="M38" s="463" t="s">
        <v>230</v>
      </c>
      <c r="N38" s="28">
        <v>0</v>
      </c>
      <c r="O38" s="67">
        <v>0</v>
      </c>
      <c r="P38" s="381">
        <f t="shared" si="4"/>
        <v>0</v>
      </c>
      <c r="R38" s="44"/>
      <c r="S38" s="44"/>
      <c r="T38" s="44"/>
    </row>
    <row r="39" spans="1:22" ht="123" customHeight="1" x14ac:dyDescent="0.25">
      <c r="A39" s="522"/>
      <c r="B39" s="588"/>
      <c r="C39" s="508"/>
      <c r="D39" s="64" t="s">
        <v>23</v>
      </c>
      <c r="E39" s="68">
        <v>0</v>
      </c>
      <c r="F39" s="66">
        <f t="shared" si="8"/>
        <v>0</v>
      </c>
      <c r="G39" s="68">
        <v>0</v>
      </c>
      <c r="H39" s="69">
        <v>0</v>
      </c>
      <c r="I39" s="68">
        <v>0</v>
      </c>
      <c r="J39" s="68">
        <v>0</v>
      </c>
      <c r="K39" s="68">
        <v>0</v>
      </c>
      <c r="L39" s="493"/>
      <c r="M39" s="465"/>
      <c r="N39" s="28">
        <v>0</v>
      </c>
      <c r="O39" s="69">
        <v>0</v>
      </c>
      <c r="P39" s="381">
        <f t="shared" si="4"/>
        <v>0</v>
      </c>
      <c r="Q39" s="49"/>
    </row>
    <row r="40" spans="1:22" ht="81" customHeight="1" x14ac:dyDescent="0.25">
      <c r="A40" s="521" t="s">
        <v>112</v>
      </c>
      <c r="B40" s="587" t="s">
        <v>289</v>
      </c>
      <c r="C40" s="507" t="s">
        <v>156</v>
      </c>
      <c r="D40" s="64" t="s">
        <v>5</v>
      </c>
      <c r="E40" s="65">
        <v>0</v>
      </c>
      <c r="F40" s="66">
        <f t="shared" ref="F40:F41" si="9">SUM(G40:K40)</f>
        <v>0</v>
      </c>
      <c r="G40" s="65">
        <v>0</v>
      </c>
      <c r="H40" s="67">
        <v>0</v>
      </c>
      <c r="I40" s="65">
        <v>0</v>
      </c>
      <c r="J40" s="65">
        <v>0</v>
      </c>
      <c r="K40" s="65">
        <v>0</v>
      </c>
      <c r="L40" s="492" t="s">
        <v>11</v>
      </c>
      <c r="M40" s="466" t="s">
        <v>163</v>
      </c>
      <c r="N40" s="28">
        <v>0</v>
      </c>
      <c r="O40" s="67">
        <v>0</v>
      </c>
      <c r="P40" s="381">
        <f t="shared" si="4"/>
        <v>0</v>
      </c>
      <c r="R40" s="44"/>
      <c r="S40" s="44"/>
      <c r="T40" s="44"/>
    </row>
    <row r="41" spans="1:22" ht="92.25" customHeight="1" x14ac:dyDescent="0.25">
      <c r="A41" s="522"/>
      <c r="B41" s="588"/>
      <c r="C41" s="508"/>
      <c r="D41" s="64" t="s">
        <v>23</v>
      </c>
      <c r="E41" s="68">
        <v>0</v>
      </c>
      <c r="F41" s="66">
        <f t="shared" si="9"/>
        <v>0</v>
      </c>
      <c r="G41" s="68">
        <v>0</v>
      </c>
      <c r="H41" s="69">
        <v>0</v>
      </c>
      <c r="I41" s="68">
        <v>0</v>
      </c>
      <c r="J41" s="68">
        <v>0</v>
      </c>
      <c r="K41" s="68">
        <v>0</v>
      </c>
      <c r="L41" s="493"/>
      <c r="M41" s="467"/>
      <c r="N41" s="28">
        <v>0</v>
      </c>
      <c r="O41" s="69">
        <v>0</v>
      </c>
      <c r="P41" s="381">
        <f t="shared" si="4"/>
        <v>0</v>
      </c>
      <c r="Q41" s="49"/>
    </row>
    <row r="42" spans="1:22" ht="87" customHeight="1" x14ac:dyDescent="0.25">
      <c r="A42" s="521" t="s">
        <v>113</v>
      </c>
      <c r="B42" s="587" t="s">
        <v>290</v>
      </c>
      <c r="C42" s="507" t="s">
        <v>156</v>
      </c>
      <c r="D42" s="64" t="s">
        <v>5</v>
      </c>
      <c r="E42" s="65">
        <v>1350</v>
      </c>
      <c r="F42" s="66">
        <f t="shared" ref="F42:F43" si="10">SUM(G42:K42)</f>
        <v>1680</v>
      </c>
      <c r="G42" s="65">
        <v>0</v>
      </c>
      <c r="H42" s="67">
        <v>1680</v>
      </c>
      <c r="I42" s="65">
        <v>0</v>
      </c>
      <c r="J42" s="65">
        <v>0</v>
      </c>
      <c r="K42" s="65">
        <v>0</v>
      </c>
      <c r="L42" s="492" t="s">
        <v>11</v>
      </c>
      <c r="M42" s="466" t="s">
        <v>294</v>
      </c>
      <c r="N42" s="28">
        <f>'[2]Лист 1'!$F$403/1000</f>
        <v>1680</v>
      </c>
      <c r="O42" s="67">
        <v>1680</v>
      </c>
      <c r="P42" s="381">
        <f t="shared" si="4"/>
        <v>0</v>
      </c>
      <c r="R42" s="44"/>
      <c r="S42" s="44"/>
      <c r="T42" s="44"/>
    </row>
    <row r="43" spans="1:22" ht="70.5" customHeight="1" x14ac:dyDescent="0.25">
      <c r="A43" s="522"/>
      <c r="B43" s="588"/>
      <c r="C43" s="508"/>
      <c r="D43" s="64" t="s">
        <v>23</v>
      </c>
      <c r="E43" s="68">
        <v>2250</v>
      </c>
      <c r="F43" s="66">
        <f t="shared" si="10"/>
        <v>420</v>
      </c>
      <c r="G43" s="68">
        <f>2000-2000</f>
        <v>0</v>
      </c>
      <c r="H43" s="69">
        <v>420</v>
      </c>
      <c r="I43" s="68">
        <v>0</v>
      </c>
      <c r="J43" s="68">
        <v>0</v>
      </c>
      <c r="K43" s="68">
        <v>0</v>
      </c>
      <c r="L43" s="493"/>
      <c r="M43" s="467"/>
      <c r="N43" s="28">
        <f>'[2]Лист 1'!$F$404/1000</f>
        <v>420</v>
      </c>
      <c r="O43" s="69">
        <v>420</v>
      </c>
      <c r="P43" s="381">
        <f t="shared" si="4"/>
        <v>0</v>
      </c>
      <c r="Q43" s="49"/>
    </row>
    <row r="44" spans="1:22" ht="43.5" customHeight="1" x14ac:dyDescent="0.25">
      <c r="A44" s="521" t="s">
        <v>114</v>
      </c>
      <c r="B44" s="490" t="s">
        <v>198</v>
      </c>
      <c r="C44" s="507" t="s">
        <v>156</v>
      </c>
      <c r="D44" s="64" t="s">
        <v>5</v>
      </c>
      <c r="E44" s="65">
        <v>965.8</v>
      </c>
      <c r="F44" s="66">
        <f t="shared" si="3"/>
        <v>0</v>
      </c>
      <c r="G44" s="65">
        <v>0</v>
      </c>
      <c r="H44" s="67">
        <v>0</v>
      </c>
      <c r="I44" s="65">
        <v>0</v>
      </c>
      <c r="J44" s="65">
        <v>0</v>
      </c>
      <c r="K44" s="65">
        <v>0</v>
      </c>
      <c r="L44" s="492" t="s">
        <v>11</v>
      </c>
      <c r="M44" s="466" t="s">
        <v>45</v>
      </c>
      <c r="N44" s="28">
        <v>0</v>
      </c>
      <c r="O44" s="67">
        <v>0</v>
      </c>
      <c r="P44" s="381">
        <f t="shared" si="4"/>
        <v>0</v>
      </c>
    </row>
    <row r="45" spans="1:22" ht="87" customHeight="1" x14ac:dyDescent="0.3">
      <c r="A45" s="522"/>
      <c r="B45" s="491"/>
      <c r="C45" s="508"/>
      <c r="D45" s="64" t="s">
        <v>23</v>
      </c>
      <c r="E45" s="68">
        <v>6372.4089999999997</v>
      </c>
      <c r="F45" s="66">
        <f t="shared" si="3"/>
        <v>38688.366999999998</v>
      </c>
      <c r="G45" s="68">
        <f>7717.219-188.1+21.198</f>
        <v>7550.317</v>
      </c>
      <c r="H45" s="69">
        <f>7800.6-50.35-14</f>
        <v>7736.25</v>
      </c>
      <c r="I45" s="68">
        <v>7800.6</v>
      </c>
      <c r="J45" s="68">
        <v>7800.6</v>
      </c>
      <c r="K45" s="68">
        <v>7800.6</v>
      </c>
      <c r="L45" s="493"/>
      <c r="M45" s="467"/>
      <c r="N45" s="28">
        <f>('[2]Лист 1'!$F$405+'[2]Лист 1'!$F$406+'[2]Лист 1'!$F$407)/1000</f>
        <v>7736.25</v>
      </c>
      <c r="O45" s="69">
        <f>7800.6-50.35-14</f>
        <v>7736.25</v>
      </c>
      <c r="P45" s="381">
        <f t="shared" si="4"/>
        <v>0</v>
      </c>
      <c r="Q45" s="132" t="s">
        <v>328</v>
      </c>
    </row>
    <row r="46" spans="1:22" ht="306.75" customHeight="1" x14ac:dyDescent="0.25">
      <c r="A46" s="117" t="s">
        <v>115</v>
      </c>
      <c r="B46" s="133" t="s">
        <v>199</v>
      </c>
      <c r="C46" s="64" t="s">
        <v>156</v>
      </c>
      <c r="D46" s="64" t="s">
        <v>23</v>
      </c>
      <c r="E46" s="68">
        <v>33825.199999999997</v>
      </c>
      <c r="F46" s="66">
        <f t="shared" si="3"/>
        <v>9462.2000000000007</v>
      </c>
      <c r="G46" s="68">
        <v>6210.2</v>
      </c>
      <c r="H46" s="69">
        <v>3252</v>
      </c>
      <c r="I46" s="68">
        <v>0</v>
      </c>
      <c r="J46" s="68">
        <v>0</v>
      </c>
      <c r="K46" s="68">
        <v>0</v>
      </c>
      <c r="L46" s="73" t="s">
        <v>11</v>
      </c>
      <c r="M46" s="122" t="s">
        <v>136</v>
      </c>
      <c r="N46" s="28">
        <f>'[2]Лист 1'!$F$408/1000</f>
        <v>3252</v>
      </c>
      <c r="O46" s="69">
        <v>3252</v>
      </c>
      <c r="P46" s="381">
        <f t="shared" si="4"/>
        <v>0</v>
      </c>
    </row>
    <row r="47" spans="1:22" ht="59.25" customHeight="1" x14ac:dyDescent="0.25">
      <c r="A47" s="596" t="s">
        <v>116</v>
      </c>
      <c r="B47" s="500" t="s">
        <v>200</v>
      </c>
      <c r="C47" s="507" t="s">
        <v>156</v>
      </c>
      <c r="D47" s="64" t="s">
        <v>23</v>
      </c>
      <c r="E47" s="134">
        <f>2379.3+446.885+1263.765-1065</f>
        <v>3024.9500000000007</v>
      </c>
      <c r="F47" s="66">
        <f t="shared" si="3"/>
        <v>32831.904259999996</v>
      </c>
      <c r="G47" s="134">
        <v>0</v>
      </c>
      <c r="H47" s="135">
        <f>34626.52-1794.61574</f>
        <v>32831.904259999996</v>
      </c>
      <c r="I47" s="134">
        <v>0</v>
      </c>
      <c r="J47" s="134">
        <v>0</v>
      </c>
      <c r="K47" s="134">
        <v>0</v>
      </c>
      <c r="L47" s="601" t="s">
        <v>11</v>
      </c>
      <c r="M47" s="589" t="s">
        <v>73</v>
      </c>
      <c r="N47" s="28">
        <f>('[2]Лист 1'!$F$410+'[2]Лист 1'!$F$411+'[2]Лист 1'!$F$412)/1000</f>
        <v>34626.519999999997</v>
      </c>
      <c r="O47" s="135">
        <v>34626.519999999997</v>
      </c>
      <c r="P47" s="381">
        <f t="shared" si="4"/>
        <v>0</v>
      </c>
      <c r="R47" s="49" t="s">
        <v>351</v>
      </c>
      <c r="S47" s="49"/>
      <c r="T47" s="49"/>
      <c r="U47" s="49"/>
      <c r="V47" s="49"/>
    </row>
    <row r="48" spans="1:22" ht="102" customHeight="1" x14ac:dyDescent="0.25">
      <c r="A48" s="597"/>
      <c r="B48" s="599"/>
      <c r="C48" s="600"/>
      <c r="D48" s="64" t="s">
        <v>311</v>
      </c>
      <c r="E48" s="134">
        <v>0</v>
      </c>
      <c r="F48" s="66">
        <f t="shared" si="3"/>
        <v>32831.904259999996</v>
      </c>
      <c r="G48" s="134">
        <v>0</v>
      </c>
      <c r="H48" s="135">
        <f>49.35+34558.47+18.7-1794.61574</f>
        <v>32831.904259999996</v>
      </c>
      <c r="I48" s="134">
        <v>0</v>
      </c>
      <c r="J48" s="134">
        <v>0</v>
      </c>
      <c r="K48" s="134">
        <v>0</v>
      </c>
      <c r="L48" s="602"/>
      <c r="M48" s="590"/>
      <c r="N48" s="28">
        <v>34626.519999999997</v>
      </c>
      <c r="O48" s="135">
        <f>49.35+34558.47+18.7</f>
        <v>34626.519999999997</v>
      </c>
      <c r="P48" s="381">
        <f t="shared" si="4"/>
        <v>0</v>
      </c>
      <c r="R48" s="49"/>
      <c r="S48" s="49"/>
      <c r="T48" s="49"/>
      <c r="U48" s="49"/>
      <c r="V48" s="49"/>
    </row>
    <row r="49" spans="1:24" ht="122.25" customHeight="1" x14ac:dyDescent="0.25">
      <c r="A49" s="598"/>
      <c r="B49" s="501"/>
      <c r="C49" s="508"/>
      <c r="D49" s="64" t="s">
        <v>93</v>
      </c>
      <c r="E49" s="134">
        <v>0</v>
      </c>
      <c r="F49" s="66">
        <f t="shared" si="3"/>
        <v>1090</v>
      </c>
      <c r="G49" s="134">
        <v>0</v>
      </c>
      <c r="H49" s="135">
        <v>1090</v>
      </c>
      <c r="I49" s="134">
        <v>0</v>
      </c>
      <c r="J49" s="134">
        <v>0</v>
      </c>
      <c r="K49" s="134">
        <v>0</v>
      </c>
      <c r="L49" s="603"/>
      <c r="M49" s="591"/>
      <c r="N49" s="28">
        <f>'[2]Лист 1'!$F$409/1000</f>
        <v>1090</v>
      </c>
      <c r="O49" s="135">
        <v>1090</v>
      </c>
      <c r="P49" s="381">
        <f t="shared" si="4"/>
        <v>0</v>
      </c>
      <c r="R49" s="49"/>
      <c r="S49" s="49"/>
      <c r="T49" s="49"/>
      <c r="U49" s="49"/>
      <c r="V49" s="49"/>
    </row>
    <row r="50" spans="1:24" ht="69" customHeight="1" x14ac:dyDescent="0.25">
      <c r="A50" s="596" t="s">
        <v>117</v>
      </c>
      <c r="B50" s="698" t="s">
        <v>201</v>
      </c>
      <c r="C50" s="507" t="s">
        <v>156</v>
      </c>
      <c r="D50" s="64" t="s">
        <v>23</v>
      </c>
      <c r="E50" s="136">
        <f>1049.824</f>
        <v>1049.8240000000001</v>
      </c>
      <c r="F50" s="66">
        <f t="shared" si="3"/>
        <v>2119.7779999999998</v>
      </c>
      <c r="G50" s="136">
        <v>2119.7779999999998</v>
      </c>
      <c r="H50" s="354">
        <f>395-395</f>
        <v>0</v>
      </c>
      <c r="I50" s="136">
        <v>0</v>
      </c>
      <c r="J50" s="136">
        <v>0</v>
      </c>
      <c r="K50" s="136">
        <v>0</v>
      </c>
      <c r="L50" s="601" t="s">
        <v>150</v>
      </c>
      <c r="M50" s="589" t="s">
        <v>314</v>
      </c>
      <c r="N50" s="28">
        <f>'[2]Лист 1'!$F$414/1000</f>
        <v>395</v>
      </c>
      <c r="O50" s="354">
        <v>395</v>
      </c>
      <c r="P50" s="381">
        <f t="shared" si="4"/>
        <v>0</v>
      </c>
      <c r="Q50" s="49"/>
      <c r="R50" s="50"/>
      <c r="S50" s="50"/>
      <c r="T50" s="50"/>
      <c r="U50" s="50"/>
      <c r="V50" s="49"/>
      <c r="W50" s="49"/>
    </row>
    <row r="51" spans="1:24" ht="101.25" customHeight="1" x14ac:dyDescent="0.25">
      <c r="A51" s="597"/>
      <c r="B51" s="699"/>
      <c r="C51" s="600"/>
      <c r="D51" s="64" t="s">
        <v>311</v>
      </c>
      <c r="E51" s="136">
        <v>0</v>
      </c>
      <c r="F51" s="66">
        <f t="shared" si="3"/>
        <v>0</v>
      </c>
      <c r="G51" s="136">
        <v>0</v>
      </c>
      <c r="H51" s="354">
        <f>395-395</f>
        <v>0</v>
      </c>
      <c r="I51" s="136">
        <v>0</v>
      </c>
      <c r="J51" s="136">
        <v>0</v>
      </c>
      <c r="K51" s="136">
        <v>0</v>
      </c>
      <c r="L51" s="602"/>
      <c r="M51" s="590"/>
      <c r="N51" s="28">
        <v>395</v>
      </c>
      <c r="O51" s="354">
        <v>395</v>
      </c>
      <c r="P51" s="381">
        <f t="shared" si="4"/>
        <v>0</v>
      </c>
      <c r="Q51" s="49" t="s">
        <v>326</v>
      </c>
      <c r="R51" s="50"/>
      <c r="S51" s="50"/>
      <c r="T51" s="50"/>
      <c r="U51" s="50"/>
      <c r="V51" s="49"/>
      <c r="W51" s="49"/>
    </row>
    <row r="52" spans="1:24" ht="118.5" customHeight="1" x14ac:dyDescent="0.25">
      <c r="A52" s="598"/>
      <c r="B52" s="700"/>
      <c r="C52" s="508"/>
      <c r="D52" s="36" t="s">
        <v>93</v>
      </c>
      <c r="E52" s="42">
        <v>620.24599999999998</v>
      </c>
      <c r="F52" s="66">
        <f t="shared" si="3"/>
        <v>1876.8969999999999</v>
      </c>
      <c r="G52" s="42">
        <f>984.391-302.494</f>
        <v>681.89699999999993</v>
      </c>
      <c r="H52" s="354">
        <v>1195</v>
      </c>
      <c r="I52" s="42">
        <v>0</v>
      </c>
      <c r="J52" s="42">
        <v>0</v>
      </c>
      <c r="K52" s="42">
        <v>0</v>
      </c>
      <c r="L52" s="603"/>
      <c r="M52" s="591"/>
      <c r="N52" s="28">
        <f>'[2]Лист 1'!$F$413/1000</f>
        <v>1195</v>
      </c>
      <c r="O52" s="356">
        <v>0</v>
      </c>
      <c r="P52" s="381">
        <f t="shared" si="4"/>
        <v>1195</v>
      </c>
      <c r="Q52" s="49"/>
    </row>
    <row r="53" spans="1:24" ht="37.5" customHeight="1" x14ac:dyDescent="0.25">
      <c r="A53" s="473" t="s">
        <v>124</v>
      </c>
      <c r="B53" s="475" t="s">
        <v>202</v>
      </c>
      <c r="C53" s="479" t="s">
        <v>156</v>
      </c>
      <c r="D53" s="36" t="s">
        <v>5</v>
      </c>
      <c r="E53" s="42">
        <v>0</v>
      </c>
      <c r="F53" s="66">
        <f>SUM(G53:K53)</f>
        <v>141983.43049</v>
      </c>
      <c r="G53" s="42">
        <f>G57+G60</f>
        <v>10954.141</v>
      </c>
      <c r="H53" s="43">
        <f t="shared" ref="H53:K53" si="11">H57+H60</f>
        <v>131029.28949</v>
      </c>
      <c r="I53" s="42">
        <f t="shared" si="11"/>
        <v>0</v>
      </c>
      <c r="J53" s="42">
        <f t="shared" si="11"/>
        <v>0</v>
      </c>
      <c r="K53" s="42">
        <f t="shared" si="11"/>
        <v>0</v>
      </c>
      <c r="L53" s="601" t="s">
        <v>150</v>
      </c>
      <c r="M53" s="463" t="s">
        <v>310</v>
      </c>
      <c r="N53" s="28">
        <f>('[2]Лист 1'!$F$415+'[2]Лист 1'!$F$416+'[2]Лист 1'!$F$417)/1000</f>
        <v>131029.28949</v>
      </c>
      <c r="O53" s="43">
        <f t="shared" ref="O53" si="12">O57+O60</f>
        <v>131029.28949</v>
      </c>
      <c r="P53" s="381">
        <f t="shared" si="4"/>
        <v>0</v>
      </c>
      <c r="Q53" s="49"/>
    </row>
    <row r="54" spans="1:24" ht="54" customHeight="1" x14ac:dyDescent="0.25">
      <c r="A54" s="502"/>
      <c r="B54" s="489"/>
      <c r="C54" s="497"/>
      <c r="D54" s="36" t="s">
        <v>12</v>
      </c>
      <c r="E54" s="37">
        <v>0</v>
      </c>
      <c r="F54" s="66">
        <f t="shared" si="3"/>
        <v>51151.6</v>
      </c>
      <c r="G54" s="37">
        <f>G58+G61</f>
        <v>8640</v>
      </c>
      <c r="H54" s="39">
        <f t="shared" ref="H54:K55" si="13">H58+H61</f>
        <v>42511.6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602"/>
      <c r="M54" s="464"/>
      <c r="N54" s="28">
        <f>('[2]Лист 1'!$F$418+'[2]Лист 1'!$F$419+'[2]Лист 1'!$F$420)/1000</f>
        <v>42627.6</v>
      </c>
      <c r="O54" s="39">
        <f t="shared" ref="O54" si="14">O58+O61</f>
        <v>42627.6</v>
      </c>
      <c r="P54" s="381">
        <f t="shared" si="4"/>
        <v>0</v>
      </c>
      <c r="Q54" s="49"/>
      <c r="R54" s="50"/>
      <c r="S54" s="50"/>
      <c r="T54" s="50"/>
      <c r="U54" s="50"/>
      <c r="V54" s="50"/>
      <c r="W54" s="50"/>
    </row>
    <row r="55" spans="1:24" ht="90.75" customHeight="1" x14ac:dyDescent="0.25">
      <c r="A55" s="502"/>
      <c r="B55" s="489"/>
      <c r="C55" s="497"/>
      <c r="D55" s="137" t="s">
        <v>311</v>
      </c>
      <c r="E55" s="37">
        <v>0</v>
      </c>
      <c r="F55" s="66">
        <f t="shared" si="3"/>
        <v>42511.6</v>
      </c>
      <c r="G55" s="37">
        <v>0</v>
      </c>
      <c r="H55" s="39">
        <f t="shared" si="13"/>
        <v>42511.6</v>
      </c>
      <c r="I55" s="37">
        <v>0</v>
      </c>
      <c r="J55" s="37">
        <v>0</v>
      </c>
      <c r="K55" s="37">
        <v>0</v>
      </c>
      <c r="L55" s="602"/>
      <c r="M55" s="464"/>
      <c r="N55" s="28">
        <v>42627.6</v>
      </c>
      <c r="O55" s="39">
        <f t="shared" ref="O55" si="15">O59+O62</f>
        <v>42627.6</v>
      </c>
      <c r="P55" s="381">
        <f t="shared" si="4"/>
        <v>0</v>
      </c>
      <c r="Q55" s="49"/>
      <c r="R55" s="50"/>
      <c r="S55" s="50"/>
      <c r="T55" s="50"/>
      <c r="U55" s="50"/>
      <c r="V55" s="50"/>
      <c r="W55" s="50"/>
    </row>
    <row r="56" spans="1:24" ht="115.5" customHeight="1" x14ac:dyDescent="0.25">
      <c r="A56" s="502"/>
      <c r="B56" s="476"/>
      <c r="C56" s="480"/>
      <c r="D56" s="137" t="s">
        <v>93</v>
      </c>
      <c r="E56" s="37">
        <v>0</v>
      </c>
      <c r="F56" s="66">
        <f t="shared" si="3"/>
        <v>0</v>
      </c>
      <c r="G56" s="37">
        <v>0</v>
      </c>
      <c r="H56" s="39">
        <f>20000-20000</f>
        <v>0</v>
      </c>
      <c r="I56" s="37">
        <v>0</v>
      </c>
      <c r="J56" s="37">
        <f>20000-20000</f>
        <v>0</v>
      </c>
      <c r="K56" s="37">
        <v>0</v>
      </c>
      <c r="L56" s="602"/>
      <c r="M56" s="464"/>
      <c r="N56" s="28">
        <v>0</v>
      </c>
      <c r="O56" s="39">
        <f>20000-20000</f>
        <v>0</v>
      </c>
      <c r="P56" s="381">
        <f t="shared" si="4"/>
        <v>0</v>
      </c>
      <c r="Q56" s="49"/>
      <c r="R56" s="50"/>
      <c r="S56" s="50"/>
      <c r="T56" s="50"/>
      <c r="U56" s="50"/>
      <c r="V56" s="50"/>
      <c r="W56" s="50"/>
      <c r="X56" s="50"/>
    </row>
    <row r="57" spans="1:24" ht="34.5" customHeight="1" x14ac:dyDescent="0.25">
      <c r="A57" s="502"/>
      <c r="B57" s="475" t="s">
        <v>303</v>
      </c>
      <c r="C57" s="479" t="s">
        <v>262</v>
      </c>
      <c r="D57" s="137" t="s">
        <v>5</v>
      </c>
      <c r="E57" s="37">
        <v>0</v>
      </c>
      <c r="F57" s="66">
        <f t="shared" si="3"/>
        <v>69996.030490000005</v>
      </c>
      <c r="G57" s="37">
        <v>10954.141</v>
      </c>
      <c r="H57" s="39">
        <f>50000+3018.88949+6023</f>
        <v>59041.889490000001</v>
      </c>
      <c r="I57" s="37">
        <v>0</v>
      </c>
      <c r="J57" s="37">
        <v>0</v>
      </c>
      <c r="K57" s="37">
        <v>0</v>
      </c>
      <c r="L57" s="602"/>
      <c r="M57" s="464"/>
      <c r="N57" s="28">
        <v>59041.889000000003</v>
      </c>
      <c r="O57" s="39">
        <f>50000+3018.88949+6023</f>
        <v>59041.889490000001</v>
      </c>
      <c r="P57" s="381">
        <f t="shared" si="4"/>
        <v>-4.8999999853549525E-4</v>
      </c>
      <c r="Q57" s="49"/>
      <c r="R57" s="50"/>
      <c r="S57" s="50"/>
      <c r="T57" s="50"/>
      <c r="U57" s="50"/>
      <c r="V57" s="50"/>
      <c r="W57" s="50"/>
      <c r="X57" s="50"/>
    </row>
    <row r="58" spans="1:24" ht="57" customHeight="1" x14ac:dyDescent="0.25">
      <c r="A58" s="502"/>
      <c r="B58" s="489"/>
      <c r="C58" s="497"/>
      <c r="D58" s="137" t="s">
        <v>12</v>
      </c>
      <c r="E58" s="37">
        <v>0</v>
      </c>
      <c r="F58" s="66">
        <f t="shared" si="3"/>
        <v>43153</v>
      </c>
      <c r="G58" s="37">
        <f>12363-3723</f>
        <v>8640</v>
      </c>
      <c r="H58" s="39">
        <f>30906+3723-116</f>
        <v>34513</v>
      </c>
      <c r="I58" s="37">
        <v>0</v>
      </c>
      <c r="J58" s="37">
        <v>0</v>
      </c>
      <c r="K58" s="37">
        <v>0</v>
      </c>
      <c r="L58" s="602"/>
      <c r="M58" s="464"/>
      <c r="N58" s="28">
        <v>34629</v>
      </c>
      <c r="O58" s="39">
        <f>30906+3723</f>
        <v>34629</v>
      </c>
      <c r="P58" s="381">
        <f t="shared" si="4"/>
        <v>0</v>
      </c>
      <c r="R58" s="50" t="s">
        <v>352</v>
      </c>
      <c r="S58" s="50"/>
      <c r="T58" s="50"/>
      <c r="U58" s="50"/>
      <c r="V58" s="50"/>
      <c r="W58" s="50"/>
      <c r="X58" s="50"/>
    </row>
    <row r="59" spans="1:24" ht="96" customHeight="1" x14ac:dyDescent="0.25">
      <c r="A59" s="502"/>
      <c r="B59" s="476"/>
      <c r="C59" s="480"/>
      <c r="D59" s="137" t="s">
        <v>311</v>
      </c>
      <c r="E59" s="37">
        <v>0</v>
      </c>
      <c r="F59" s="66">
        <f t="shared" si="3"/>
        <v>34513</v>
      </c>
      <c r="G59" s="37">
        <v>0</v>
      </c>
      <c r="H59" s="39">
        <f>30906+3723-116</f>
        <v>34513</v>
      </c>
      <c r="I59" s="37">
        <v>0</v>
      </c>
      <c r="J59" s="37">
        <v>0</v>
      </c>
      <c r="K59" s="37">
        <v>0</v>
      </c>
      <c r="L59" s="602"/>
      <c r="M59" s="464"/>
      <c r="N59" s="28">
        <v>34629</v>
      </c>
      <c r="O59" s="39">
        <f>30906+3723</f>
        <v>34629</v>
      </c>
      <c r="P59" s="381">
        <f t="shared" si="4"/>
        <v>0</v>
      </c>
      <c r="Q59" s="49"/>
      <c r="R59" s="50"/>
      <c r="S59" s="50"/>
      <c r="T59" s="50"/>
      <c r="U59" s="50"/>
      <c r="V59" s="50"/>
      <c r="W59" s="50"/>
      <c r="X59" s="50"/>
    </row>
    <row r="60" spans="1:24" ht="34.5" customHeight="1" x14ac:dyDescent="0.25">
      <c r="A60" s="502"/>
      <c r="B60" s="475" t="s">
        <v>304</v>
      </c>
      <c r="C60" s="479" t="s">
        <v>47</v>
      </c>
      <c r="D60" s="137" t="s">
        <v>5</v>
      </c>
      <c r="E60" s="37">
        <v>0</v>
      </c>
      <c r="F60" s="66">
        <f t="shared" si="3"/>
        <v>71987.399999999994</v>
      </c>
      <c r="G60" s="37">
        <v>0</v>
      </c>
      <c r="H60" s="39">
        <v>71987.399999999994</v>
      </c>
      <c r="I60" s="37">
        <v>0</v>
      </c>
      <c r="J60" s="37">
        <v>0</v>
      </c>
      <c r="K60" s="37">
        <v>0</v>
      </c>
      <c r="L60" s="602"/>
      <c r="M60" s="464"/>
      <c r="N60" s="28">
        <v>71987.399999999994</v>
      </c>
      <c r="O60" s="39">
        <v>71987.399999999994</v>
      </c>
      <c r="P60" s="381">
        <f t="shared" si="4"/>
        <v>0</v>
      </c>
      <c r="Q60" s="49"/>
      <c r="R60" s="50"/>
      <c r="S60" s="50"/>
      <c r="T60" s="50"/>
      <c r="U60" s="50"/>
      <c r="V60" s="50"/>
      <c r="W60" s="50"/>
      <c r="X60" s="50"/>
    </row>
    <row r="61" spans="1:24" ht="57.75" customHeight="1" x14ac:dyDescent="0.25">
      <c r="A61" s="502"/>
      <c r="B61" s="489"/>
      <c r="C61" s="497"/>
      <c r="D61" s="137" t="s">
        <v>12</v>
      </c>
      <c r="E61" s="37">
        <v>0</v>
      </c>
      <c r="F61" s="66">
        <f t="shared" si="3"/>
        <v>7998.6</v>
      </c>
      <c r="G61" s="37">
        <v>0</v>
      </c>
      <c r="H61" s="39">
        <v>7998.6</v>
      </c>
      <c r="I61" s="37">
        <v>0</v>
      </c>
      <c r="J61" s="37">
        <v>0</v>
      </c>
      <c r="K61" s="37">
        <v>0</v>
      </c>
      <c r="L61" s="602"/>
      <c r="M61" s="464"/>
      <c r="N61" s="28">
        <v>7997.6</v>
      </c>
      <c r="O61" s="39">
        <v>7998.6</v>
      </c>
      <c r="P61" s="381">
        <f t="shared" si="4"/>
        <v>-1</v>
      </c>
      <c r="Q61" s="49"/>
      <c r="R61" s="50"/>
      <c r="S61" s="50"/>
      <c r="T61" s="50"/>
      <c r="U61" s="50"/>
      <c r="V61" s="50"/>
      <c r="W61" s="50"/>
      <c r="X61" s="50"/>
    </row>
    <row r="62" spans="1:24" ht="95.25" customHeight="1" x14ac:dyDescent="0.25">
      <c r="A62" s="474"/>
      <c r="B62" s="476"/>
      <c r="C62" s="480"/>
      <c r="D62" s="137" t="s">
        <v>311</v>
      </c>
      <c r="E62" s="37">
        <v>0</v>
      </c>
      <c r="F62" s="66">
        <f t="shared" si="3"/>
        <v>7998.6</v>
      </c>
      <c r="G62" s="37">
        <v>0</v>
      </c>
      <c r="H62" s="39">
        <v>7998.6</v>
      </c>
      <c r="I62" s="37">
        <v>0</v>
      </c>
      <c r="J62" s="37">
        <v>0</v>
      </c>
      <c r="K62" s="37">
        <v>0</v>
      </c>
      <c r="L62" s="603"/>
      <c r="M62" s="465"/>
      <c r="N62" s="28">
        <v>7998.6</v>
      </c>
      <c r="O62" s="39">
        <v>7998.6</v>
      </c>
      <c r="P62" s="381">
        <f t="shared" si="4"/>
        <v>0</v>
      </c>
      <c r="Q62" s="49"/>
      <c r="R62" s="50"/>
      <c r="S62" s="50"/>
      <c r="T62" s="50"/>
      <c r="U62" s="50"/>
      <c r="V62" s="50"/>
      <c r="W62" s="50"/>
      <c r="X62" s="50"/>
    </row>
    <row r="63" spans="1:24" ht="276" customHeight="1" x14ac:dyDescent="0.25">
      <c r="A63" s="47" t="s">
        <v>125</v>
      </c>
      <c r="B63" s="56" t="s">
        <v>203</v>
      </c>
      <c r="C63" s="41" t="s">
        <v>156</v>
      </c>
      <c r="D63" s="61" t="s">
        <v>5</v>
      </c>
      <c r="E63" s="42">
        <f>11505+70</f>
        <v>11575</v>
      </c>
      <c r="F63" s="66">
        <f t="shared" si="3"/>
        <v>18459</v>
      </c>
      <c r="G63" s="42">
        <f>500+500+450+1000+500+2100+1000+1500+1000+500+300+119+494+500+500</f>
        <v>10963</v>
      </c>
      <c r="H63" s="43">
        <f>500+250+500+500+350+2200+1000+500+299+385+166+500+346</f>
        <v>7496</v>
      </c>
      <c r="I63" s="42">
        <v>0</v>
      </c>
      <c r="J63" s="42">
        <v>0</v>
      </c>
      <c r="K63" s="42">
        <v>0</v>
      </c>
      <c r="L63" s="57" t="s">
        <v>8</v>
      </c>
      <c r="M63" s="424" t="s">
        <v>282</v>
      </c>
      <c r="N63" s="28">
        <f>SUM('[2]Лист 1'!$F$421:$F$432)/1000</f>
        <v>7150</v>
      </c>
      <c r="O63" s="43">
        <f>500+250+500+500+350+2200+1000+500+299+385+166+500</f>
        <v>7150</v>
      </c>
      <c r="P63" s="381">
        <f t="shared" si="4"/>
        <v>0</v>
      </c>
      <c r="Q63" s="44" t="s">
        <v>327</v>
      </c>
      <c r="R63" s="49" t="s">
        <v>353</v>
      </c>
      <c r="S63" s="49"/>
      <c r="T63" s="49"/>
      <c r="U63" s="49"/>
      <c r="V63" s="49"/>
      <c r="W63" s="49"/>
      <c r="X63" s="49"/>
    </row>
    <row r="64" spans="1:24" ht="98.25" customHeight="1" x14ac:dyDescent="0.25">
      <c r="A64" s="138" t="s">
        <v>126</v>
      </c>
      <c r="B64" s="139" t="s">
        <v>204</v>
      </c>
      <c r="C64" s="64" t="s">
        <v>156</v>
      </c>
      <c r="D64" s="140" t="s">
        <v>5</v>
      </c>
      <c r="E64" s="141">
        <v>11985</v>
      </c>
      <c r="F64" s="142">
        <f>SUM(G64:K64)</f>
        <v>51938</v>
      </c>
      <c r="G64" s="141">
        <v>14104</v>
      </c>
      <c r="H64" s="43">
        <v>13158</v>
      </c>
      <c r="I64" s="141">
        <v>12338</v>
      </c>
      <c r="J64" s="141">
        <v>12338</v>
      </c>
      <c r="K64" s="141">
        <v>0</v>
      </c>
      <c r="L64" s="444" t="s">
        <v>55</v>
      </c>
      <c r="M64" s="144" t="s">
        <v>54</v>
      </c>
      <c r="N64" s="28">
        <f>'[2]Лист 1'!$J$69/1000</f>
        <v>13158</v>
      </c>
      <c r="O64" s="367">
        <v>12338</v>
      </c>
      <c r="P64" s="381">
        <f t="shared" si="4"/>
        <v>820</v>
      </c>
    </row>
    <row r="65" spans="1:18" ht="42.75" customHeight="1" x14ac:dyDescent="0.25">
      <c r="A65" s="679" t="s">
        <v>127</v>
      </c>
      <c r="B65" s="681" t="s">
        <v>205</v>
      </c>
      <c r="C65" s="690" t="s">
        <v>156</v>
      </c>
      <c r="D65" s="140" t="s">
        <v>5</v>
      </c>
      <c r="E65" s="141">
        <v>0</v>
      </c>
      <c r="F65" s="142">
        <f t="shared" ref="F65:F66" si="16">SUM(G65:K65)</f>
        <v>0</v>
      </c>
      <c r="G65" s="141">
        <v>0</v>
      </c>
      <c r="H65" s="143">
        <v>0</v>
      </c>
      <c r="I65" s="141">
        <v>0</v>
      </c>
      <c r="J65" s="141">
        <v>0</v>
      </c>
      <c r="K65" s="141">
        <v>0</v>
      </c>
      <c r="L65" s="492" t="s">
        <v>11</v>
      </c>
      <c r="M65" s="571" t="s">
        <v>231</v>
      </c>
      <c r="N65" s="28">
        <v>0</v>
      </c>
      <c r="O65" s="143">
        <v>0</v>
      </c>
      <c r="P65" s="381">
        <f t="shared" si="4"/>
        <v>0</v>
      </c>
    </row>
    <row r="66" spans="1:18" ht="52.5" customHeight="1" x14ac:dyDescent="0.25">
      <c r="A66" s="680"/>
      <c r="B66" s="682"/>
      <c r="C66" s="692"/>
      <c r="D66" s="140" t="s">
        <v>12</v>
      </c>
      <c r="E66" s="141">
        <v>1200</v>
      </c>
      <c r="F66" s="142">
        <f t="shared" si="16"/>
        <v>0</v>
      </c>
      <c r="G66" s="141">
        <v>0</v>
      </c>
      <c r="H66" s="143">
        <v>0</v>
      </c>
      <c r="I66" s="141">
        <v>0</v>
      </c>
      <c r="J66" s="141">
        <v>0</v>
      </c>
      <c r="K66" s="141">
        <v>0</v>
      </c>
      <c r="L66" s="493"/>
      <c r="M66" s="573"/>
      <c r="N66" s="28">
        <v>0</v>
      </c>
      <c r="O66" s="143">
        <v>0</v>
      </c>
      <c r="P66" s="381">
        <f t="shared" si="4"/>
        <v>0</v>
      </c>
    </row>
    <row r="67" spans="1:18" ht="120.75" customHeight="1" x14ac:dyDescent="0.25">
      <c r="A67" s="138" t="s">
        <v>128</v>
      </c>
      <c r="B67" s="139" t="s">
        <v>206</v>
      </c>
      <c r="C67" s="443" t="s">
        <v>173</v>
      </c>
      <c r="D67" s="140" t="s">
        <v>12</v>
      </c>
      <c r="E67" s="141">
        <v>1600</v>
      </c>
      <c r="F67" s="142">
        <f t="shared" ref="F67" si="17">SUM(G67:K67)</f>
        <v>1312.5</v>
      </c>
      <c r="G67" s="141">
        <v>812.5</v>
      </c>
      <c r="H67" s="143">
        <v>500</v>
      </c>
      <c r="I67" s="141">
        <v>0</v>
      </c>
      <c r="J67" s="141">
        <v>0</v>
      </c>
      <c r="K67" s="141">
        <v>0</v>
      </c>
      <c r="L67" s="444" t="s">
        <v>11</v>
      </c>
      <c r="M67" s="144" t="s">
        <v>232</v>
      </c>
      <c r="N67" s="28">
        <f>('[2]Лист 1'!$F$433+'[2]Лист 1'!$F$434+'[2]Лист 1'!$F$435)/1000</f>
        <v>500</v>
      </c>
      <c r="O67" s="143">
        <v>500</v>
      </c>
      <c r="P67" s="381">
        <f t="shared" si="4"/>
        <v>0</v>
      </c>
    </row>
    <row r="68" spans="1:18" ht="131.25" x14ac:dyDescent="0.25">
      <c r="A68" s="138" t="s">
        <v>129</v>
      </c>
      <c r="B68" s="442" t="s">
        <v>207</v>
      </c>
      <c r="C68" s="443" t="s">
        <v>156</v>
      </c>
      <c r="D68" s="140" t="s">
        <v>12</v>
      </c>
      <c r="E68" s="141">
        <v>39858.9</v>
      </c>
      <c r="F68" s="142">
        <f t="shared" ref="F68:F69" si="18">SUM(G68:K68)</f>
        <v>266752.37699999998</v>
      </c>
      <c r="G68" s="141">
        <v>48299.896000000001</v>
      </c>
      <c r="H68" s="143">
        <f>58915.307-308.928-86.124</f>
        <v>58520.254999999997</v>
      </c>
      <c r="I68" s="141">
        <v>53310.741999999998</v>
      </c>
      <c r="J68" s="141">
        <v>53310.741999999998</v>
      </c>
      <c r="K68" s="141">
        <v>53310.741999999998</v>
      </c>
      <c r="L68" s="444" t="s">
        <v>11</v>
      </c>
      <c r="M68" s="144" t="s">
        <v>234</v>
      </c>
      <c r="N68" s="28">
        <f>('[1]Лист 1'!$F$436+'[1]Лист 1'!$F$437)/1000</f>
        <v>58915.307000000001</v>
      </c>
      <c r="O68" s="143">
        <f>53310.742-746.384</f>
        <v>52564.358</v>
      </c>
      <c r="P68" s="381">
        <f t="shared" si="4"/>
        <v>6350.9490000000005</v>
      </c>
      <c r="R68" s="7" t="s">
        <v>331</v>
      </c>
    </row>
    <row r="69" spans="1:18" ht="37.5" x14ac:dyDescent="0.25">
      <c r="A69" s="679" t="s">
        <v>130</v>
      </c>
      <c r="B69" s="681" t="s">
        <v>370</v>
      </c>
      <c r="C69" s="690" t="s">
        <v>156</v>
      </c>
      <c r="D69" s="140" t="s">
        <v>5</v>
      </c>
      <c r="E69" s="141">
        <v>3596</v>
      </c>
      <c r="F69" s="142">
        <f t="shared" si="18"/>
        <v>55344</v>
      </c>
      <c r="G69" s="141">
        <f>33334+38</f>
        <v>33372</v>
      </c>
      <c r="H69" s="143">
        <v>21972</v>
      </c>
      <c r="I69" s="68">
        <v>0</v>
      </c>
      <c r="J69" s="68">
        <v>0</v>
      </c>
      <c r="K69" s="68">
        <v>0</v>
      </c>
      <c r="L69" s="492" t="s">
        <v>11</v>
      </c>
      <c r="M69" s="571" t="s">
        <v>317</v>
      </c>
      <c r="N69" s="28">
        <f>'[2]Лист 1'!$F$438/1000</f>
        <v>21972</v>
      </c>
      <c r="O69" s="143">
        <v>21972</v>
      </c>
      <c r="P69" s="381">
        <f t="shared" si="4"/>
        <v>0</v>
      </c>
    </row>
    <row r="70" spans="1:18" ht="83.25" customHeight="1" x14ac:dyDescent="0.25">
      <c r="A70" s="688"/>
      <c r="B70" s="689"/>
      <c r="C70" s="691"/>
      <c r="D70" s="140" t="s">
        <v>12</v>
      </c>
      <c r="E70" s="141">
        <v>0</v>
      </c>
      <c r="F70" s="142">
        <f t="shared" ref="F70:F76" si="19">SUM(G70:K70)</f>
        <v>39344</v>
      </c>
      <c r="G70" s="141">
        <f>1438+19166+24</f>
        <v>20628</v>
      </c>
      <c r="H70" s="143">
        <v>18716</v>
      </c>
      <c r="I70" s="68">
        <v>0</v>
      </c>
      <c r="J70" s="68">
        <v>0</v>
      </c>
      <c r="K70" s="68">
        <v>0</v>
      </c>
      <c r="L70" s="686"/>
      <c r="M70" s="572"/>
      <c r="N70" s="28">
        <f>'[2]Лист 1'!$F$439/1000</f>
        <v>18716</v>
      </c>
      <c r="O70" s="143">
        <v>18716</v>
      </c>
      <c r="P70" s="381">
        <f t="shared" si="4"/>
        <v>0</v>
      </c>
    </row>
    <row r="71" spans="1:18" ht="103.5" customHeight="1" x14ac:dyDescent="0.25">
      <c r="A71" s="680"/>
      <c r="B71" s="682"/>
      <c r="C71" s="692"/>
      <c r="D71" s="140" t="s">
        <v>311</v>
      </c>
      <c r="E71" s="141">
        <v>0</v>
      </c>
      <c r="F71" s="142">
        <f t="shared" si="19"/>
        <v>18716</v>
      </c>
      <c r="G71" s="141">
        <v>0</v>
      </c>
      <c r="H71" s="143">
        <v>18716</v>
      </c>
      <c r="I71" s="68">
        <v>0</v>
      </c>
      <c r="J71" s="68">
        <v>0</v>
      </c>
      <c r="K71" s="68">
        <v>0</v>
      </c>
      <c r="L71" s="493"/>
      <c r="M71" s="573"/>
      <c r="N71" s="28">
        <v>18716</v>
      </c>
      <c r="O71" s="143">
        <v>18716</v>
      </c>
      <c r="P71" s="381">
        <f t="shared" si="4"/>
        <v>0</v>
      </c>
    </row>
    <row r="72" spans="1:18" ht="37.5" x14ac:dyDescent="0.25">
      <c r="A72" s="683" t="s">
        <v>274</v>
      </c>
      <c r="B72" s="684" t="s">
        <v>323</v>
      </c>
      <c r="C72" s="685" t="s">
        <v>47</v>
      </c>
      <c r="D72" s="140" t="s">
        <v>5</v>
      </c>
      <c r="E72" s="141">
        <v>0</v>
      </c>
      <c r="F72" s="142">
        <f t="shared" si="19"/>
        <v>49153</v>
      </c>
      <c r="G72" s="141">
        <v>0</v>
      </c>
      <c r="H72" s="143">
        <v>49153</v>
      </c>
      <c r="I72" s="68">
        <v>0</v>
      </c>
      <c r="J72" s="68">
        <v>0</v>
      </c>
      <c r="K72" s="68">
        <v>0</v>
      </c>
      <c r="L72" s="492" t="s">
        <v>243</v>
      </c>
      <c r="M72" s="568" t="s">
        <v>322</v>
      </c>
      <c r="N72" s="28">
        <f>'[2]Лист 1'!$F$440/1000</f>
        <v>49153</v>
      </c>
      <c r="O72" s="143">
        <v>49153</v>
      </c>
      <c r="P72" s="381">
        <f t="shared" si="4"/>
        <v>0</v>
      </c>
    </row>
    <row r="73" spans="1:18" ht="68.25" customHeight="1" x14ac:dyDescent="0.25">
      <c r="A73" s="683"/>
      <c r="B73" s="684"/>
      <c r="C73" s="685"/>
      <c r="D73" s="140" t="s">
        <v>12</v>
      </c>
      <c r="E73" s="141">
        <v>0</v>
      </c>
      <c r="F73" s="142">
        <f t="shared" si="19"/>
        <v>30383</v>
      </c>
      <c r="G73" s="141">
        <f>24000-24000</f>
        <v>0</v>
      </c>
      <c r="H73" s="143">
        <f>21440.5+8942.5</f>
        <v>30383</v>
      </c>
      <c r="I73" s="68">
        <f>72000-72000</f>
        <v>0</v>
      </c>
      <c r="J73" s="68">
        <v>0</v>
      </c>
      <c r="K73" s="68">
        <v>0</v>
      </c>
      <c r="L73" s="686"/>
      <c r="M73" s="569"/>
      <c r="N73" s="28">
        <f>('[2]Лист 1'!$F$441+'[2]Лист 1'!$F$442)/1000</f>
        <v>30383</v>
      </c>
      <c r="O73" s="143">
        <f>21440.5+8942.5</f>
        <v>30383</v>
      </c>
      <c r="P73" s="381">
        <f t="shared" si="4"/>
        <v>0</v>
      </c>
    </row>
    <row r="74" spans="1:18" ht="93.75" x14ac:dyDescent="0.25">
      <c r="A74" s="683"/>
      <c r="B74" s="684"/>
      <c r="C74" s="685"/>
      <c r="D74" s="140" t="s">
        <v>311</v>
      </c>
      <c r="E74" s="141">
        <v>0</v>
      </c>
      <c r="F74" s="142">
        <f t="shared" si="19"/>
        <v>21440.5</v>
      </c>
      <c r="G74" s="141">
        <v>0</v>
      </c>
      <c r="H74" s="143">
        <v>21440.5</v>
      </c>
      <c r="I74" s="68">
        <v>0</v>
      </c>
      <c r="J74" s="68">
        <v>0</v>
      </c>
      <c r="K74" s="68">
        <v>0</v>
      </c>
      <c r="L74" s="493"/>
      <c r="M74" s="570"/>
      <c r="N74" s="28">
        <v>21440.5</v>
      </c>
      <c r="O74" s="143">
        <v>21440.5</v>
      </c>
      <c r="P74" s="381">
        <f t="shared" si="4"/>
        <v>0</v>
      </c>
    </row>
    <row r="75" spans="1:18" ht="128.25" customHeight="1" x14ac:dyDescent="0.25">
      <c r="A75" s="434" t="s">
        <v>275</v>
      </c>
      <c r="B75" s="436" t="s">
        <v>276</v>
      </c>
      <c r="C75" s="439" t="s">
        <v>156</v>
      </c>
      <c r="D75" s="343" t="s">
        <v>93</v>
      </c>
      <c r="E75" s="344">
        <v>0</v>
      </c>
      <c r="F75" s="242">
        <f t="shared" si="19"/>
        <v>918.2</v>
      </c>
      <c r="G75" s="344">
        <v>400</v>
      </c>
      <c r="H75" s="345">
        <v>518.20000000000005</v>
      </c>
      <c r="I75" s="125">
        <v>0</v>
      </c>
      <c r="J75" s="125">
        <v>0</v>
      </c>
      <c r="K75" s="125">
        <v>0</v>
      </c>
      <c r="L75" s="431" t="s">
        <v>11</v>
      </c>
      <c r="M75" s="423" t="s">
        <v>277</v>
      </c>
      <c r="N75" s="28">
        <f>'[2]Лист 1'!$F$443/1000</f>
        <v>518.20000000000005</v>
      </c>
      <c r="O75" s="345">
        <v>518.20000000000005</v>
      </c>
      <c r="P75" s="381">
        <f t="shared" si="4"/>
        <v>0</v>
      </c>
    </row>
    <row r="76" spans="1:18" ht="122.25" customHeight="1" x14ac:dyDescent="0.25">
      <c r="A76" s="434" t="s">
        <v>305</v>
      </c>
      <c r="B76" s="436" t="s">
        <v>306</v>
      </c>
      <c r="C76" s="439" t="s">
        <v>156</v>
      </c>
      <c r="D76" s="137" t="s">
        <v>12</v>
      </c>
      <c r="E76" s="141">
        <v>0</v>
      </c>
      <c r="F76" s="142">
        <f t="shared" si="19"/>
        <v>492480</v>
      </c>
      <c r="G76" s="141">
        <v>0</v>
      </c>
      <c r="H76" s="143">
        <v>123120</v>
      </c>
      <c r="I76" s="68">
        <v>123120</v>
      </c>
      <c r="J76" s="68">
        <v>123120</v>
      </c>
      <c r="K76" s="68">
        <v>123120</v>
      </c>
      <c r="L76" s="431" t="s">
        <v>11</v>
      </c>
      <c r="M76" s="423" t="s">
        <v>307</v>
      </c>
      <c r="N76" s="28">
        <f>'[2]Лист 1'!$F$444/1000</f>
        <v>123120</v>
      </c>
      <c r="O76" s="143">
        <v>123120</v>
      </c>
      <c r="P76" s="381">
        <f t="shared" si="4"/>
        <v>0</v>
      </c>
    </row>
    <row r="77" spans="1:18" ht="149.25" customHeight="1" x14ac:dyDescent="0.25">
      <c r="A77" s="448"/>
      <c r="B77" s="145" t="s">
        <v>208</v>
      </c>
      <c r="C77" s="146" t="s">
        <v>156</v>
      </c>
      <c r="D77" s="147" t="s">
        <v>9</v>
      </c>
      <c r="E77" s="148">
        <f>E78+E79</f>
        <v>47826.100000000006</v>
      </c>
      <c r="F77" s="149">
        <f>SUM(G77:K77)</f>
        <v>193212.25099999999</v>
      </c>
      <c r="G77" s="148">
        <f>G78+G79</f>
        <v>33265.050999999999</v>
      </c>
      <c r="H77" s="150">
        <f>H78+H79</f>
        <v>39986.800000000003</v>
      </c>
      <c r="I77" s="148">
        <f t="shared" ref="I77:K77" si="20">I78+I79</f>
        <v>39986.800000000003</v>
      </c>
      <c r="J77" s="148">
        <f>J78+J79</f>
        <v>39986.800000000003</v>
      </c>
      <c r="K77" s="148">
        <f t="shared" si="20"/>
        <v>39986.800000000003</v>
      </c>
      <c r="L77" s="148"/>
      <c r="M77" s="151"/>
      <c r="N77" s="28"/>
      <c r="O77" s="150"/>
      <c r="P77" s="381"/>
    </row>
    <row r="78" spans="1:18" ht="110.25" customHeight="1" x14ac:dyDescent="0.25">
      <c r="A78" s="152" t="s">
        <v>118</v>
      </c>
      <c r="B78" s="153" t="s">
        <v>250</v>
      </c>
      <c r="C78" s="696" t="s">
        <v>156</v>
      </c>
      <c r="D78" s="443" t="s">
        <v>32</v>
      </c>
      <c r="E78" s="154">
        <v>22530.2</v>
      </c>
      <c r="F78" s="155">
        <f>SUM(G78:K78)</f>
        <v>97228.817999999999</v>
      </c>
      <c r="G78" s="154">
        <f>15209.551-101.533</f>
        <v>15108.018</v>
      </c>
      <c r="H78" s="156">
        <v>20530.2</v>
      </c>
      <c r="I78" s="154">
        <v>20530.2</v>
      </c>
      <c r="J78" s="154">
        <v>20530.2</v>
      </c>
      <c r="K78" s="154">
        <v>20530.2</v>
      </c>
      <c r="L78" s="694" t="s">
        <v>11</v>
      </c>
      <c r="M78" s="677" t="s">
        <v>90</v>
      </c>
      <c r="N78" s="28">
        <f>('[2]Лист 1'!$F$445+'[2]Лист 1'!$F$446+'[2]Лист 1'!$F$447+'[2]Лист 1'!$F$448)/1000</f>
        <v>20530.2</v>
      </c>
      <c r="O78" s="156">
        <v>20530.2</v>
      </c>
      <c r="P78" s="381">
        <f t="shared" si="4"/>
        <v>0</v>
      </c>
    </row>
    <row r="79" spans="1:18" ht="101.25" customHeight="1" x14ac:dyDescent="0.25">
      <c r="A79" s="157" t="s">
        <v>119</v>
      </c>
      <c r="B79" s="158" t="s">
        <v>251</v>
      </c>
      <c r="C79" s="697"/>
      <c r="D79" s="439" t="s">
        <v>32</v>
      </c>
      <c r="E79" s="159">
        <v>25295.9</v>
      </c>
      <c r="F79" s="160">
        <f>SUM(G79:K79)</f>
        <v>95983.43299999999</v>
      </c>
      <c r="G79" s="159">
        <f>18055.5+101.533</f>
        <v>18157.032999999999</v>
      </c>
      <c r="H79" s="161">
        <v>19456.599999999999</v>
      </c>
      <c r="I79" s="159">
        <v>19456.599999999999</v>
      </c>
      <c r="J79" s="159">
        <v>19456.599999999999</v>
      </c>
      <c r="K79" s="159">
        <v>19456.599999999999</v>
      </c>
      <c r="L79" s="695"/>
      <c r="M79" s="678"/>
      <c r="N79" s="28">
        <f>('[2]Лист 1'!$F$449+'[2]Лист 1'!$F$450)/1000</f>
        <v>19456.599999999999</v>
      </c>
      <c r="O79" s="161">
        <v>19456.599999999999</v>
      </c>
      <c r="P79" s="381">
        <f t="shared" si="4"/>
        <v>0</v>
      </c>
    </row>
    <row r="80" spans="1:18" ht="21" customHeight="1" x14ac:dyDescent="0.25">
      <c r="A80" s="604"/>
      <c r="B80" s="608" t="s">
        <v>283</v>
      </c>
      <c r="C80" s="523" t="s">
        <v>156</v>
      </c>
      <c r="D80" s="162" t="s">
        <v>10</v>
      </c>
      <c r="E80" s="163">
        <f>SUM(E82:E84)</f>
        <v>586169.13899999997</v>
      </c>
      <c r="F80" s="78">
        <f>SUM(F81:F84)</f>
        <v>2113727.6440000003</v>
      </c>
      <c r="G80" s="164">
        <f>SUM(G81:G84)</f>
        <v>1441128.4639999999</v>
      </c>
      <c r="H80" s="165">
        <f t="shared" ref="H80:K80" si="21">SUM(H81:H84)</f>
        <v>20000</v>
      </c>
      <c r="I80" s="164">
        <f t="shared" si="21"/>
        <v>283391.42000000004</v>
      </c>
      <c r="J80" s="164">
        <f t="shared" si="21"/>
        <v>369207.76</v>
      </c>
      <c r="K80" s="164">
        <f t="shared" si="21"/>
        <v>0</v>
      </c>
      <c r="L80" s="608"/>
      <c r="M80" s="674"/>
      <c r="N80" s="28"/>
      <c r="O80" s="165"/>
      <c r="P80" s="381"/>
    </row>
    <row r="81" spans="1:20" ht="37.5" x14ac:dyDescent="0.25">
      <c r="A81" s="605"/>
      <c r="B81" s="609"/>
      <c r="C81" s="524"/>
      <c r="D81" s="162" t="s">
        <v>5</v>
      </c>
      <c r="E81" s="163">
        <v>0</v>
      </c>
      <c r="F81" s="78">
        <f>SUM(G81:K81)</f>
        <v>530079.35000000009</v>
      </c>
      <c r="G81" s="166">
        <f>G93</f>
        <v>0</v>
      </c>
      <c r="H81" s="79">
        <f>H93</f>
        <v>8000</v>
      </c>
      <c r="I81" s="164">
        <f t="shared" ref="I81:J81" si="22">I93</f>
        <v>226713.14</v>
      </c>
      <c r="J81" s="164">
        <f t="shared" si="22"/>
        <v>295366.21000000002</v>
      </c>
      <c r="K81" s="164">
        <v>0</v>
      </c>
      <c r="L81" s="609"/>
      <c r="M81" s="675"/>
      <c r="N81" s="28"/>
      <c r="O81" s="79"/>
      <c r="P81" s="381"/>
    </row>
    <row r="82" spans="1:20" ht="58.5" customHeight="1" x14ac:dyDescent="0.25">
      <c r="A82" s="606"/>
      <c r="B82" s="609"/>
      <c r="C82" s="524"/>
      <c r="D82" s="162" t="s">
        <v>12</v>
      </c>
      <c r="E82" s="167">
        <f>E85+E87+E89+E91+E94</f>
        <v>234260.20600000001</v>
      </c>
      <c r="F82" s="78">
        <f>SUM(G82:K82)</f>
        <v>1545558.081</v>
      </c>
      <c r="G82" s="167">
        <f>G85+G87+G89+G91+G94</f>
        <v>1422940.2509999999</v>
      </c>
      <c r="H82" s="79">
        <f>H85+H94+H91</f>
        <v>0</v>
      </c>
      <c r="I82" s="79">
        <f t="shared" ref="I82:K82" si="23">I85+I94</f>
        <v>48776.28</v>
      </c>
      <c r="J82" s="79">
        <f t="shared" si="23"/>
        <v>73841.55</v>
      </c>
      <c r="K82" s="79">
        <f t="shared" si="23"/>
        <v>0</v>
      </c>
      <c r="L82" s="609"/>
      <c r="M82" s="675"/>
      <c r="N82" s="28"/>
      <c r="O82" s="79"/>
      <c r="P82" s="381"/>
    </row>
    <row r="83" spans="1:20" ht="117" customHeight="1" x14ac:dyDescent="0.25">
      <c r="A83" s="606"/>
      <c r="B83" s="609"/>
      <c r="C83" s="524"/>
      <c r="D83" s="162" t="s">
        <v>93</v>
      </c>
      <c r="E83" s="167">
        <f>E86+E88+E90+E92+E96</f>
        <v>351908.93300000002</v>
      </c>
      <c r="F83" s="78">
        <f>SUM(G83:K83)</f>
        <v>38090.213000000003</v>
      </c>
      <c r="G83" s="167">
        <f>G86+G88+G90+G92+G96</f>
        <v>18188.213</v>
      </c>
      <c r="H83" s="79">
        <f>H86+H90+H96+H88+H92</f>
        <v>12000</v>
      </c>
      <c r="I83" s="79">
        <f t="shared" ref="I83:K83" si="24">I86+I90+I96</f>
        <v>7902</v>
      </c>
      <c r="J83" s="79">
        <f t="shared" si="24"/>
        <v>0</v>
      </c>
      <c r="K83" s="79">
        <f t="shared" si="24"/>
        <v>0</v>
      </c>
      <c r="L83" s="609"/>
      <c r="M83" s="675"/>
      <c r="N83" s="28"/>
      <c r="O83" s="79"/>
      <c r="P83" s="381"/>
    </row>
    <row r="84" spans="1:20" ht="18.75" x14ac:dyDescent="0.25">
      <c r="A84" s="607"/>
      <c r="B84" s="610"/>
      <c r="C84" s="525"/>
      <c r="D84" s="162" t="s">
        <v>4</v>
      </c>
      <c r="E84" s="167">
        <f>E98+E99+E100+E101</f>
        <v>0</v>
      </c>
      <c r="F84" s="78">
        <f t="shared" ref="F84" si="25">SUM(G84:K84)</f>
        <v>0</v>
      </c>
      <c r="G84" s="167">
        <f>G97+G98+G99</f>
        <v>0</v>
      </c>
      <c r="H84" s="79">
        <v>0</v>
      </c>
      <c r="I84" s="167">
        <v>0</v>
      </c>
      <c r="J84" s="167">
        <v>0</v>
      </c>
      <c r="K84" s="167">
        <v>0</v>
      </c>
      <c r="L84" s="610"/>
      <c r="M84" s="676"/>
      <c r="N84" s="28"/>
      <c r="O84" s="79"/>
      <c r="P84" s="381"/>
    </row>
    <row r="85" spans="1:20" ht="123" customHeight="1" x14ac:dyDescent="0.25">
      <c r="A85" s="614" t="s">
        <v>133</v>
      </c>
      <c r="B85" s="587" t="s">
        <v>252</v>
      </c>
      <c r="C85" s="690" t="s">
        <v>156</v>
      </c>
      <c r="D85" s="441" t="s">
        <v>9</v>
      </c>
      <c r="E85" s="77">
        <v>0</v>
      </c>
      <c r="F85" s="83">
        <f>SUM(G85:H85)</f>
        <v>0</v>
      </c>
      <c r="G85" s="77">
        <v>0</v>
      </c>
      <c r="H85" s="79">
        <v>0</v>
      </c>
      <c r="I85" s="77">
        <v>0</v>
      </c>
      <c r="J85" s="77">
        <v>0</v>
      </c>
      <c r="K85" s="77">
        <v>0</v>
      </c>
      <c r="L85" s="618" t="s">
        <v>235</v>
      </c>
      <c r="M85" s="619" t="s">
        <v>272</v>
      </c>
      <c r="N85" s="28">
        <v>0</v>
      </c>
      <c r="O85" s="79">
        <v>0</v>
      </c>
      <c r="P85" s="381">
        <f t="shared" ref="P85:P96" si="26">N85-O85</f>
        <v>0</v>
      </c>
    </row>
    <row r="86" spans="1:20" ht="148.5" customHeight="1" x14ac:dyDescent="0.25">
      <c r="A86" s="615"/>
      <c r="B86" s="588"/>
      <c r="C86" s="692"/>
      <c r="D86" s="426" t="s">
        <v>93</v>
      </c>
      <c r="E86" s="84">
        <v>51753.025000000001</v>
      </c>
      <c r="F86" s="78">
        <f t="shared" ref="F86:F90" si="27">SUM(G86:K86)</f>
        <v>18090.213</v>
      </c>
      <c r="G86" s="77">
        <v>18090.213</v>
      </c>
      <c r="H86" s="79">
        <v>0</v>
      </c>
      <c r="I86" s="77">
        <v>0</v>
      </c>
      <c r="J86" s="77">
        <v>0</v>
      </c>
      <c r="K86" s="77">
        <v>0</v>
      </c>
      <c r="L86" s="618"/>
      <c r="M86" s="620"/>
      <c r="N86" s="28">
        <v>0</v>
      </c>
      <c r="O86" s="79">
        <v>0</v>
      </c>
      <c r="P86" s="381">
        <f t="shared" si="26"/>
        <v>0</v>
      </c>
    </row>
    <row r="87" spans="1:20" ht="62.25" customHeight="1" x14ac:dyDescent="0.3">
      <c r="A87" s="614" t="s">
        <v>134</v>
      </c>
      <c r="B87" s="616" t="s">
        <v>263</v>
      </c>
      <c r="C87" s="672" t="s">
        <v>46</v>
      </c>
      <c r="D87" s="168" t="s">
        <v>9</v>
      </c>
      <c r="E87" s="169">
        <f>219337.206+14923</f>
        <v>234260.20600000001</v>
      </c>
      <c r="F87" s="170">
        <f t="shared" si="27"/>
        <v>1422940.2509999999</v>
      </c>
      <c r="G87" s="169">
        <v>1422940.2509999999</v>
      </c>
      <c r="H87" s="171">
        <v>0</v>
      </c>
      <c r="I87" s="169">
        <v>0</v>
      </c>
      <c r="J87" s="169">
        <v>0</v>
      </c>
      <c r="K87" s="169">
        <v>0</v>
      </c>
      <c r="L87" s="669" t="s">
        <v>235</v>
      </c>
      <c r="M87" s="669" t="s">
        <v>308</v>
      </c>
      <c r="N87" s="28"/>
      <c r="O87" s="171" t="s">
        <v>42</v>
      </c>
      <c r="P87" s="381"/>
      <c r="Q87" s="172"/>
    </row>
    <row r="88" spans="1:20" ht="147.75" customHeight="1" x14ac:dyDescent="0.25">
      <c r="A88" s="615"/>
      <c r="B88" s="617"/>
      <c r="C88" s="673"/>
      <c r="D88" s="168" t="s">
        <v>93</v>
      </c>
      <c r="E88" s="169">
        <v>300155.908</v>
      </c>
      <c r="F88" s="170">
        <f t="shared" si="27"/>
        <v>0</v>
      </c>
      <c r="G88" s="169">
        <v>0</v>
      </c>
      <c r="H88" s="171">
        <v>0</v>
      </c>
      <c r="I88" s="169">
        <v>0</v>
      </c>
      <c r="J88" s="169">
        <v>0</v>
      </c>
      <c r="K88" s="169">
        <v>0</v>
      </c>
      <c r="L88" s="669"/>
      <c r="M88" s="669"/>
      <c r="N88" s="28"/>
      <c r="O88" s="171" t="s">
        <v>42</v>
      </c>
      <c r="P88" s="381"/>
    </row>
    <row r="89" spans="1:20" ht="58.5" customHeight="1" x14ac:dyDescent="0.25">
      <c r="A89" s="614" t="s">
        <v>209</v>
      </c>
      <c r="B89" s="616" t="s">
        <v>269</v>
      </c>
      <c r="C89" s="671" t="s">
        <v>173</v>
      </c>
      <c r="D89" s="168" t="s">
        <v>9</v>
      </c>
      <c r="E89" s="169">
        <v>0</v>
      </c>
      <c r="F89" s="170">
        <f t="shared" si="27"/>
        <v>0</v>
      </c>
      <c r="G89" s="169">
        <f>689300-689300</f>
        <v>0</v>
      </c>
      <c r="H89" s="173">
        <v>0</v>
      </c>
      <c r="I89" s="169">
        <v>0</v>
      </c>
      <c r="J89" s="169">
        <v>0</v>
      </c>
      <c r="K89" s="174">
        <v>0</v>
      </c>
      <c r="L89" s="669"/>
      <c r="M89" s="669"/>
      <c r="N89" s="28"/>
      <c r="O89" s="173" t="s">
        <v>42</v>
      </c>
      <c r="P89" s="381"/>
    </row>
    <row r="90" spans="1:20" ht="123.75" customHeight="1" x14ac:dyDescent="0.25">
      <c r="A90" s="615"/>
      <c r="B90" s="617"/>
      <c r="C90" s="673"/>
      <c r="D90" s="168" t="s">
        <v>93</v>
      </c>
      <c r="E90" s="169">
        <f>100000-17000+2000-45000-40000</f>
        <v>0</v>
      </c>
      <c r="F90" s="170">
        <f t="shared" si="27"/>
        <v>0</v>
      </c>
      <c r="G90" s="169">
        <f>100000+3000-3000+45000-145000</f>
        <v>0</v>
      </c>
      <c r="H90" s="173">
        <f>120000-120000</f>
        <v>0</v>
      </c>
      <c r="I90" s="169">
        <f>40000-40000</f>
        <v>0</v>
      </c>
      <c r="J90" s="169">
        <v>0</v>
      </c>
      <c r="K90" s="174">
        <v>0</v>
      </c>
      <c r="L90" s="669"/>
      <c r="M90" s="669"/>
      <c r="N90" s="28"/>
      <c r="O90" s="173"/>
      <c r="P90" s="381"/>
    </row>
    <row r="91" spans="1:20" ht="60" customHeight="1" x14ac:dyDescent="0.25">
      <c r="A91" s="614" t="s">
        <v>210</v>
      </c>
      <c r="B91" s="616" t="s">
        <v>345</v>
      </c>
      <c r="C91" s="671" t="s">
        <v>279</v>
      </c>
      <c r="D91" s="168" t="s">
        <v>9</v>
      </c>
      <c r="E91" s="175">
        <v>0</v>
      </c>
      <c r="F91" s="170">
        <f>SUM(G91:J91)</f>
        <v>0</v>
      </c>
      <c r="G91" s="175">
        <v>0</v>
      </c>
      <c r="H91" s="176">
        <f>10000-10000</f>
        <v>0</v>
      </c>
      <c r="I91" s="175">
        <v>0</v>
      </c>
      <c r="J91" s="175">
        <v>0</v>
      </c>
      <c r="K91" s="175">
        <v>0</v>
      </c>
      <c r="L91" s="669"/>
      <c r="M91" s="669"/>
      <c r="N91" s="28"/>
      <c r="O91" s="176"/>
      <c r="P91" s="381"/>
    </row>
    <row r="92" spans="1:20" ht="121.5" customHeight="1" x14ac:dyDescent="0.25">
      <c r="A92" s="615"/>
      <c r="B92" s="617"/>
      <c r="C92" s="673"/>
      <c r="D92" s="168" t="s">
        <v>93</v>
      </c>
      <c r="E92" s="175">
        <v>0</v>
      </c>
      <c r="F92" s="170">
        <f>SUM(G92:J92)</f>
        <v>10000</v>
      </c>
      <c r="G92" s="175">
        <f>10000-10000</f>
        <v>0</v>
      </c>
      <c r="H92" s="176">
        <f>0+10000</f>
        <v>10000</v>
      </c>
      <c r="I92" s="175">
        <v>0</v>
      </c>
      <c r="J92" s="175">
        <v>0</v>
      </c>
      <c r="K92" s="175">
        <v>0</v>
      </c>
      <c r="L92" s="669"/>
      <c r="M92" s="669"/>
      <c r="N92" s="28">
        <f>I93+I94+I95+I96</f>
        <v>283391.42000000004</v>
      </c>
      <c r="O92" s="176">
        <f>J93+J94+J95+J96</f>
        <v>369207.76</v>
      </c>
      <c r="P92" s="381"/>
    </row>
    <row r="93" spans="1:20" ht="32.25" customHeight="1" x14ac:dyDescent="0.25">
      <c r="A93" s="614" t="s">
        <v>211</v>
      </c>
      <c r="B93" s="616" t="s">
        <v>291</v>
      </c>
      <c r="C93" s="671" t="s">
        <v>279</v>
      </c>
      <c r="D93" s="168" t="s">
        <v>5</v>
      </c>
      <c r="E93" s="177">
        <v>0</v>
      </c>
      <c r="F93" s="178">
        <f t="shared" ref="F93:F95" si="28">SUM(G93:K93)</f>
        <v>530079.35000000009</v>
      </c>
      <c r="G93" s="179">
        <v>0</v>
      </c>
      <c r="H93" s="180">
        <v>8000</v>
      </c>
      <c r="I93" s="179">
        <v>226713.14</v>
      </c>
      <c r="J93" s="179">
        <v>295366.21000000002</v>
      </c>
      <c r="K93" s="181">
        <v>0</v>
      </c>
      <c r="L93" s="669"/>
      <c r="M93" s="669"/>
      <c r="N93" s="28">
        <f>'[2]Лист 1'!$F$280/1000</f>
        <v>27122.42</v>
      </c>
      <c r="O93" s="180">
        <v>27122.42</v>
      </c>
      <c r="P93" s="381">
        <f t="shared" si="26"/>
        <v>0</v>
      </c>
      <c r="R93" s="180">
        <v>27122.42</v>
      </c>
      <c r="S93" s="180">
        <v>8000</v>
      </c>
      <c r="T93" s="116">
        <f>S93-R93</f>
        <v>-19122.419999999998</v>
      </c>
    </row>
    <row r="94" spans="1:20" ht="56.25" customHeight="1" x14ac:dyDescent="0.35">
      <c r="A94" s="693"/>
      <c r="B94" s="670"/>
      <c r="C94" s="672"/>
      <c r="D94" s="168" t="s">
        <v>9</v>
      </c>
      <c r="E94" s="177">
        <v>0</v>
      </c>
      <c r="F94" s="178">
        <f t="shared" si="28"/>
        <v>122617.83</v>
      </c>
      <c r="G94" s="177">
        <v>0</v>
      </c>
      <c r="H94" s="182">
        <v>0</v>
      </c>
      <c r="I94" s="177">
        <v>48776.28</v>
      </c>
      <c r="J94" s="177">
        <v>73841.55</v>
      </c>
      <c r="K94" s="183">
        <v>0</v>
      </c>
      <c r="L94" s="669"/>
      <c r="M94" s="669"/>
      <c r="N94" s="28">
        <f>'[2]Лист 1'!$F$281/1000</f>
        <v>6780.61</v>
      </c>
      <c r="O94" s="182">
        <v>6780.61</v>
      </c>
      <c r="P94" s="381">
        <f t="shared" si="26"/>
        <v>0</v>
      </c>
      <c r="Q94" s="393"/>
      <c r="R94" s="180">
        <v>6780.61</v>
      </c>
      <c r="S94" s="180">
        <v>2000</v>
      </c>
      <c r="T94" s="116">
        <f>S94-R94</f>
        <v>-4780.6099999999997</v>
      </c>
    </row>
    <row r="95" spans="1:20" ht="95.25" customHeight="1" x14ac:dyDescent="0.25">
      <c r="A95" s="693"/>
      <c r="B95" s="670"/>
      <c r="C95" s="672"/>
      <c r="D95" s="168" t="s">
        <v>311</v>
      </c>
      <c r="E95" s="177">
        <v>0</v>
      </c>
      <c r="F95" s="178">
        <f t="shared" si="28"/>
        <v>0</v>
      </c>
      <c r="G95" s="177">
        <v>0</v>
      </c>
      <c r="H95" s="182">
        <v>0</v>
      </c>
      <c r="I95" s="177">
        <v>0</v>
      </c>
      <c r="J95" s="177">
        <v>0</v>
      </c>
      <c r="K95" s="183">
        <v>0</v>
      </c>
      <c r="L95" s="669"/>
      <c r="M95" s="669"/>
      <c r="N95" s="28">
        <v>6780.61</v>
      </c>
      <c r="O95" s="182">
        <v>6780.61</v>
      </c>
      <c r="P95" s="381">
        <f t="shared" si="26"/>
        <v>0</v>
      </c>
    </row>
    <row r="96" spans="1:20" ht="115.5" customHeight="1" x14ac:dyDescent="0.25">
      <c r="A96" s="615"/>
      <c r="B96" s="617"/>
      <c r="C96" s="673"/>
      <c r="D96" s="168" t="s">
        <v>93</v>
      </c>
      <c r="E96" s="177">
        <v>0</v>
      </c>
      <c r="F96" s="178">
        <f>SUM(G96:J96)</f>
        <v>10000</v>
      </c>
      <c r="G96" s="177">
        <v>98</v>
      </c>
      <c r="H96" s="182">
        <v>2000</v>
      </c>
      <c r="I96" s="177">
        <v>7902</v>
      </c>
      <c r="J96" s="177">
        <v>0</v>
      </c>
      <c r="K96" s="183">
        <v>0</v>
      </c>
      <c r="L96" s="669"/>
      <c r="M96" s="669"/>
      <c r="N96" s="28">
        <f>'[2]Лист 1'!$F$279/1000</f>
        <v>9902</v>
      </c>
      <c r="O96" s="176">
        <v>9902</v>
      </c>
      <c r="P96" s="381">
        <f t="shared" si="26"/>
        <v>0</v>
      </c>
    </row>
    <row r="97" spans="1:22" ht="37.5" x14ac:dyDescent="0.25">
      <c r="A97" s="184" t="s">
        <v>212</v>
      </c>
      <c r="B97" s="185" t="s">
        <v>253</v>
      </c>
      <c r="C97" s="441" t="s">
        <v>46</v>
      </c>
      <c r="D97" s="186" t="s">
        <v>4</v>
      </c>
      <c r="E97" s="187" t="s">
        <v>42</v>
      </c>
      <c r="F97" s="188">
        <f>SUM(G97:K97)</f>
        <v>0</v>
      </c>
      <c r="G97" s="187">
        <v>0</v>
      </c>
      <c r="H97" s="189">
        <v>0</v>
      </c>
      <c r="I97" s="187">
        <v>0</v>
      </c>
      <c r="J97" s="187">
        <v>0</v>
      </c>
      <c r="K97" s="190">
        <v>0</v>
      </c>
      <c r="L97" s="669"/>
      <c r="M97" s="669"/>
      <c r="N97" s="28"/>
      <c r="O97" s="189" t="s">
        <v>42</v>
      </c>
      <c r="P97" s="381"/>
    </row>
    <row r="98" spans="1:22" ht="95.25" customHeight="1" x14ac:dyDescent="0.25">
      <c r="A98" s="184" t="s">
        <v>213</v>
      </c>
      <c r="B98" s="191" t="s">
        <v>292</v>
      </c>
      <c r="C98" s="192" t="s">
        <v>262</v>
      </c>
      <c r="D98" s="168" t="s">
        <v>4</v>
      </c>
      <c r="E98" s="187">
        <v>0</v>
      </c>
      <c r="F98" s="188">
        <f t="shared" ref="F98:F101" si="29">SUM(G98:K98)</f>
        <v>0</v>
      </c>
      <c r="G98" s="175">
        <v>0</v>
      </c>
      <c r="H98" s="193" t="s">
        <v>315</v>
      </c>
      <c r="I98" s="194" t="s">
        <v>42</v>
      </c>
      <c r="J98" s="194" t="s">
        <v>42</v>
      </c>
      <c r="K98" s="195" t="s">
        <v>42</v>
      </c>
      <c r="L98" s="669"/>
      <c r="M98" s="669"/>
      <c r="N98" s="28"/>
      <c r="O98" s="193" t="s">
        <v>315</v>
      </c>
      <c r="P98" s="381"/>
    </row>
    <row r="99" spans="1:22" s="49" customFormat="1" ht="47.25" x14ac:dyDescent="0.25">
      <c r="A99" s="184" t="s">
        <v>255</v>
      </c>
      <c r="B99" s="191" t="s">
        <v>258</v>
      </c>
      <c r="C99" s="192" t="s">
        <v>262</v>
      </c>
      <c r="D99" s="168" t="s">
        <v>4</v>
      </c>
      <c r="E99" s="187">
        <v>0</v>
      </c>
      <c r="F99" s="188">
        <f t="shared" si="29"/>
        <v>0</v>
      </c>
      <c r="G99" s="175">
        <v>0</v>
      </c>
      <c r="H99" s="196" t="s">
        <v>315</v>
      </c>
      <c r="I99" s="187" t="s">
        <v>42</v>
      </c>
      <c r="J99" s="187" t="s">
        <v>42</v>
      </c>
      <c r="K99" s="190" t="s">
        <v>42</v>
      </c>
      <c r="L99" s="669"/>
      <c r="M99" s="669"/>
      <c r="N99" s="28"/>
      <c r="O99" s="196" t="s">
        <v>315</v>
      </c>
      <c r="P99" s="381"/>
    </row>
    <row r="100" spans="1:22" s="49" customFormat="1" ht="47.25" x14ac:dyDescent="0.25">
      <c r="A100" s="184" t="s">
        <v>293</v>
      </c>
      <c r="B100" s="191" t="s">
        <v>257</v>
      </c>
      <c r="C100" s="192" t="s">
        <v>261</v>
      </c>
      <c r="D100" s="168" t="s">
        <v>4</v>
      </c>
      <c r="E100" s="187">
        <v>0</v>
      </c>
      <c r="F100" s="188">
        <f t="shared" si="29"/>
        <v>0</v>
      </c>
      <c r="G100" s="187" t="s">
        <v>254</v>
      </c>
      <c r="H100" s="196" t="s">
        <v>315</v>
      </c>
      <c r="I100" s="197" t="s">
        <v>315</v>
      </c>
      <c r="J100" s="187" t="s">
        <v>254</v>
      </c>
      <c r="K100" s="190" t="s">
        <v>254</v>
      </c>
      <c r="L100" s="669"/>
      <c r="M100" s="669"/>
      <c r="N100" s="28"/>
      <c r="O100" s="196" t="s">
        <v>315</v>
      </c>
      <c r="P100" s="381"/>
    </row>
    <row r="101" spans="1:22" ht="56.25" x14ac:dyDescent="0.25">
      <c r="A101" s="184" t="s">
        <v>259</v>
      </c>
      <c r="B101" s="191" t="s">
        <v>256</v>
      </c>
      <c r="C101" s="192" t="s">
        <v>260</v>
      </c>
      <c r="D101" s="168" t="s">
        <v>4</v>
      </c>
      <c r="E101" s="187">
        <v>0</v>
      </c>
      <c r="F101" s="188">
        <f t="shared" si="29"/>
        <v>0</v>
      </c>
      <c r="G101" s="187" t="s">
        <v>254</v>
      </c>
      <c r="H101" s="189" t="s">
        <v>254</v>
      </c>
      <c r="I101" s="197" t="s">
        <v>315</v>
      </c>
      <c r="J101" s="197" t="s">
        <v>315</v>
      </c>
      <c r="K101" s="190" t="s">
        <v>254</v>
      </c>
      <c r="L101" s="669"/>
      <c r="M101" s="669"/>
      <c r="N101" s="28"/>
      <c r="O101" s="189" t="s">
        <v>254</v>
      </c>
      <c r="P101" s="381"/>
    </row>
    <row r="102" spans="1:22" ht="18.75" x14ac:dyDescent="0.25">
      <c r="A102" s="612" t="s">
        <v>57</v>
      </c>
      <c r="B102" s="613"/>
      <c r="C102" s="613"/>
      <c r="D102" s="613"/>
      <c r="E102" s="368">
        <f>E103+E104+E106+E107+E108+E109</f>
        <v>4233004.8689999999</v>
      </c>
      <c r="F102" s="198">
        <f>F103+F104+F106+F107+F108+F109</f>
        <v>20158475.725749999</v>
      </c>
      <c r="G102" s="368">
        <f t="shared" ref="G102" si="30">G103+G104+G106+G107+G108+G109</f>
        <v>5608503.5409999993</v>
      </c>
      <c r="H102" s="199">
        <f>H103+H104+H106+H107+H108+H109</f>
        <v>4677490.3207500009</v>
      </c>
      <c r="I102" s="368">
        <f t="shared" ref="I102:K102" si="31">I103+I104+I106+I107+I108+I109</f>
        <v>4381968.8280000007</v>
      </c>
      <c r="J102" s="368">
        <f t="shared" si="31"/>
        <v>4467785.1680000005</v>
      </c>
      <c r="K102" s="368">
        <f t="shared" si="31"/>
        <v>1022727.868</v>
      </c>
      <c r="L102" s="200"/>
      <c r="M102" s="201"/>
      <c r="N102" s="28">
        <f>F10+F77+F80</f>
        <v>20158475.725749999</v>
      </c>
      <c r="O102" s="379"/>
      <c r="P102" s="379"/>
    </row>
    <row r="103" spans="1:22" ht="18.75" x14ac:dyDescent="0.25">
      <c r="A103" s="611" t="s">
        <v>5</v>
      </c>
      <c r="B103" s="611"/>
      <c r="C103" s="611"/>
      <c r="D103" s="611"/>
      <c r="E103" s="202">
        <f>E11</f>
        <v>2579269.7999999998</v>
      </c>
      <c r="F103" s="198">
        <f t="shared" ref="F103:F109" si="32">SUM(G103:K103)</f>
        <v>13194777.78049</v>
      </c>
      <c r="G103" s="202">
        <f>G11+G81</f>
        <v>3092216.1409999998</v>
      </c>
      <c r="H103" s="203">
        <f>H11+H81</f>
        <v>3445584.2894899999</v>
      </c>
      <c r="I103" s="202">
        <f>I11+I81</f>
        <v>3294162.14</v>
      </c>
      <c r="J103" s="202">
        <f>J11+J81</f>
        <v>3362815.21</v>
      </c>
      <c r="K103" s="202">
        <f>K11+K81</f>
        <v>0</v>
      </c>
      <c r="L103" s="204"/>
      <c r="M103" s="205"/>
      <c r="N103" s="28"/>
      <c r="O103" s="379"/>
      <c r="P103" s="379"/>
      <c r="R103" s="31">
        <f>G24+G25+G26+G28+G29+G31+G36+G38+G40+G42+G44+G53+G63+G64+G65+G69+G72+G93</f>
        <v>3092216.1409999998</v>
      </c>
      <c r="S103" s="31">
        <f>H24+H25+H26+H28+H29+H31+H36+H38+H40+H42+H44+H53+H63+H64+H65+H69+H72+H93</f>
        <v>3445584.2894899999</v>
      </c>
      <c r="T103" s="31">
        <f>I24+I25+I26+I28+I29+I31+I36+I38+I40+I42+I44+I53+I63+I64+I65+I69+I72+I93</f>
        <v>3294162.14</v>
      </c>
      <c r="U103" s="31">
        <f>J24+J25+J26+J28+J29+J31+J36+J38+J40+J42+J44+J53+J63+J64+J65+J69+J72+J93</f>
        <v>3362815.21</v>
      </c>
      <c r="V103" s="31">
        <f>K24+K25+K26+K28+K29+K31+K36+K38+K40+K42+K44+K53+K63+K64+K65+K69+K72+K93</f>
        <v>0</v>
      </c>
    </row>
    <row r="104" spans="1:22" ht="18.75" x14ac:dyDescent="0.25">
      <c r="A104" s="611" t="s">
        <v>9</v>
      </c>
      <c r="B104" s="611"/>
      <c r="C104" s="611"/>
      <c r="D104" s="611"/>
      <c r="E104" s="202">
        <f>E12+E77+E82</f>
        <v>1116847.523</v>
      </c>
      <c r="F104" s="198">
        <f t="shared" si="32"/>
        <v>5781040.8962600008</v>
      </c>
      <c r="G104" s="202">
        <f>G12+G77+G82</f>
        <v>2274405.4</v>
      </c>
      <c r="H104" s="203">
        <f>H12+H77+H82</f>
        <v>956670.26626000006</v>
      </c>
      <c r="I104" s="202">
        <f>I12+I77+I82</f>
        <v>860692.26</v>
      </c>
      <c r="J104" s="202">
        <f>J12+J77+J82</f>
        <v>885757.53</v>
      </c>
      <c r="K104" s="202">
        <f>K12+K77+K82</f>
        <v>803515.44</v>
      </c>
      <c r="L104" s="206"/>
      <c r="M104" s="205"/>
      <c r="N104" s="28"/>
      <c r="O104" s="379"/>
      <c r="P104" s="379"/>
      <c r="R104" s="31">
        <f>G16+G19+G21+G23+G27+G30+G32+G37+G39+G41+G43+G45+G46+G47+G50+G54+G66+G67+G68+G70+G73+G76+G78+G79+G85+G87+G89+G91+G94</f>
        <v>2274405.4</v>
      </c>
      <c r="S104" s="31">
        <f>H16+H19+H21+H23+H27+H30+H32+H37+H39+H41+H43+H45+H46+H47+H50+H54+H66+H67+H68+H70+H73+H76+H78+H79+H85+H87+H89+H91+H94</f>
        <v>956670.26625999995</v>
      </c>
      <c r="T104" s="31">
        <f>I16+I19+I21+I23+I27+I30+I32+I37+I39+I41+I43+I45+I46+I47+I50+I54+I66+I67+I68+I70+I73+I76+I78+I79+I85+I87+I89+I91+I94</f>
        <v>860692.25999999989</v>
      </c>
      <c r="U104" s="31">
        <f>J16+J19+J21+J23+J27+J30+J32+J37+J39+J41+J43+J45+J46+J47+J50+J54+J66+J67+J68+J70+J73+J76+J78+J79+J85+J87+J89+J91+J94</f>
        <v>885757.52999999991</v>
      </c>
      <c r="V104" s="31">
        <f>K16+K19+K21+K23+K27+K30+K32+K37+K39+K41+K43+K45+K46+K47+K50+K54+K66+K67+K68+K70+K73+K76+K78+K79+K85+K87+K89+K91+K94</f>
        <v>803515.43999999983</v>
      </c>
    </row>
    <row r="105" spans="1:22" ht="18.75" x14ac:dyDescent="0.25">
      <c r="A105" s="611" t="s">
        <v>311</v>
      </c>
      <c r="B105" s="611"/>
      <c r="C105" s="611"/>
      <c r="D105" s="611"/>
      <c r="E105" s="202">
        <v>0</v>
      </c>
      <c r="F105" s="198">
        <f t="shared" si="32"/>
        <v>116637.71825999999</v>
      </c>
      <c r="G105" s="202">
        <f>G48+G55+G71+G95+G74+G33+G51</f>
        <v>0</v>
      </c>
      <c r="H105" s="203">
        <f>H48+H55+H71+H95+H74+H33+H51+H22</f>
        <v>116637.71825999999</v>
      </c>
      <c r="I105" s="202">
        <f>I48+I55+I71+I95+I74+I33+I51</f>
        <v>0</v>
      </c>
      <c r="J105" s="202">
        <f>J48+J55+J71+J95+J74+J33+J51</f>
        <v>0</v>
      </c>
      <c r="K105" s="202">
        <f>K48+K55+K71+K95+K74+K33+K51</f>
        <v>0</v>
      </c>
      <c r="L105" s="206"/>
      <c r="M105" s="205"/>
      <c r="N105" s="28"/>
      <c r="O105" s="379"/>
      <c r="P105" s="379"/>
    </row>
    <row r="106" spans="1:22" ht="38.25" customHeight="1" x14ac:dyDescent="0.3">
      <c r="A106" s="535" t="s">
        <v>93</v>
      </c>
      <c r="B106" s="535"/>
      <c r="C106" s="535"/>
      <c r="D106" s="535"/>
      <c r="E106" s="92">
        <f>E13+E83</f>
        <v>363743.42600000004</v>
      </c>
      <c r="F106" s="198">
        <f t="shared" si="32"/>
        <v>70141.524999999994</v>
      </c>
      <c r="G106" s="92">
        <f>G13+G83</f>
        <v>38194.165000000001</v>
      </c>
      <c r="H106" s="93">
        <f>H13+H83</f>
        <v>24045.360000000001</v>
      </c>
      <c r="I106" s="92">
        <f>I13+I83</f>
        <v>7902</v>
      </c>
      <c r="J106" s="92">
        <f>J13+J83</f>
        <v>0</v>
      </c>
      <c r="K106" s="92">
        <f>K13+K83</f>
        <v>0</v>
      </c>
      <c r="L106" s="90"/>
      <c r="M106" s="91"/>
      <c r="N106" s="28"/>
      <c r="O106" s="379"/>
      <c r="P106" s="379"/>
      <c r="R106" s="31">
        <f>G20+G34+G49+G52+G56+G75+G86+G88+G90+G92+G96</f>
        <v>38194.165000000001</v>
      </c>
      <c r="S106" s="31">
        <f>H20+H34+H49+H52+H56+H75+H86+H88+H90+H92+H96</f>
        <v>24045.360000000001</v>
      </c>
      <c r="T106" s="31">
        <f>I20+I34+I49+I52+I56+I75+I86+I88+I90+I92+I96</f>
        <v>7902</v>
      </c>
      <c r="U106" s="31">
        <f>J20+J34+J49+J52+J56+J75+J86+J88+J90+J92+J96</f>
        <v>0</v>
      </c>
      <c r="V106" s="31">
        <f>K20+K34+K49+K52+K56+K75+K86+K88+K90+K92+K96</f>
        <v>0</v>
      </c>
    </row>
    <row r="107" spans="1:22" ht="18.75" x14ac:dyDescent="0.3">
      <c r="A107" s="485" t="s">
        <v>51</v>
      </c>
      <c r="B107" s="485"/>
      <c r="C107" s="485"/>
      <c r="D107" s="485"/>
      <c r="E107" s="92">
        <f>E14</f>
        <v>168767.12400000001</v>
      </c>
      <c r="F107" s="198">
        <f t="shared" si="32"/>
        <v>1085032.8990000002</v>
      </c>
      <c r="G107" s="92">
        <f t="shared" ref="G107:K108" si="33">G14</f>
        <v>198466.71000000002</v>
      </c>
      <c r="H107" s="93">
        <f t="shared" si="33"/>
        <v>245625.03</v>
      </c>
      <c r="I107" s="92">
        <f t="shared" si="33"/>
        <v>213647.05300000001</v>
      </c>
      <c r="J107" s="92">
        <f t="shared" si="33"/>
        <v>213647.05300000001</v>
      </c>
      <c r="K107" s="92">
        <f t="shared" si="33"/>
        <v>213647.05300000001</v>
      </c>
      <c r="L107" s="90"/>
      <c r="M107" s="91"/>
      <c r="N107" s="360"/>
      <c r="O107" s="360"/>
      <c r="P107" s="360"/>
      <c r="R107" s="31">
        <f>G17+G35</f>
        <v>198466.71000000002</v>
      </c>
      <c r="S107" s="31">
        <f>H17+H35</f>
        <v>245625.03</v>
      </c>
      <c r="T107" s="31">
        <f>I17+I35</f>
        <v>213647.05300000001</v>
      </c>
      <c r="U107" s="31">
        <f>J17+J35</f>
        <v>213647.05300000001</v>
      </c>
      <c r="V107" s="31">
        <f>K17+K35</f>
        <v>213647.05300000001</v>
      </c>
    </row>
    <row r="108" spans="1:22" ht="18.75" x14ac:dyDescent="0.3">
      <c r="A108" s="485" t="s">
        <v>64</v>
      </c>
      <c r="B108" s="485"/>
      <c r="C108" s="485"/>
      <c r="D108" s="485"/>
      <c r="E108" s="92">
        <f>E15</f>
        <v>4376.9960000000001</v>
      </c>
      <c r="F108" s="198">
        <f t="shared" si="32"/>
        <v>27482.625</v>
      </c>
      <c r="G108" s="92">
        <f t="shared" si="33"/>
        <v>5221.125</v>
      </c>
      <c r="H108" s="93">
        <f t="shared" si="33"/>
        <v>5565.375</v>
      </c>
      <c r="I108" s="92">
        <f t="shared" si="33"/>
        <v>5565.375</v>
      </c>
      <c r="J108" s="92">
        <f t="shared" si="33"/>
        <v>5565.375</v>
      </c>
      <c r="K108" s="92">
        <f t="shared" si="33"/>
        <v>5565.375</v>
      </c>
      <c r="L108" s="90"/>
      <c r="M108" s="91"/>
      <c r="N108" s="360"/>
      <c r="O108" s="360"/>
      <c r="P108" s="360"/>
      <c r="R108" s="31">
        <f>G18</f>
        <v>5221.125</v>
      </c>
      <c r="S108" s="31">
        <f>H18</f>
        <v>5565.375</v>
      </c>
      <c r="T108" s="31">
        <f>I18</f>
        <v>5565.375</v>
      </c>
      <c r="U108" s="31">
        <f>J18</f>
        <v>5565.375</v>
      </c>
      <c r="V108" s="31">
        <f>K18</f>
        <v>5565.375</v>
      </c>
    </row>
    <row r="109" spans="1:22" ht="18.75" x14ac:dyDescent="0.3">
      <c r="A109" s="485" t="s">
        <v>4</v>
      </c>
      <c r="B109" s="485"/>
      <c r="C109" s="485"/>
      <c r="D109" s="485"/>
      <c r="E109" s="89">
        <f>E84</f>
        <v>0</v>
      </c>
      <c r="F109" s="198">
        <f t="shared" si="32"/>
        <v>0</v>
      </c>
      <c r="G109" s="92">
        <f>G84</f>
        <v>0</v>
      </c>
      <c r="H109" s="93">
        <f>H84</f>
        <v>0</v>
      </c>
      <c r="I109" s="92">
        <f>I84</f>
        <v>0</v>
      </c>
      <c r="J109" s="92">
        <f>J84</f>
        <v>0</v>
      </c>
      <c r="K109" s="92">
        <f>K84</f>
        <v>0</v>
      </c>
      <c r="L109" s="90"/>
      <c r="M109" s="91"/>
      <c r="N109" s="360"/>
      <c r="O109" s="360"/>
      <c r="P109" s="360"/>
    </row>
    <row r="110" spans="1:22" ht="15.75" x14ac:dyDescent="0.25">
      <c r="A110" s="207"/>
      <c r="B110" s="207"/>
      <c r="C110" s="207"/>
      <c r="D110" s="207"/>
      <c r="E110" s="208"/>
      <c r="F110" s="209"/>
      <c r="G110" s="208"/>
      <c r="H110" s="208"/>
      <c r="I110" s="208"/>
      <c r="J110" s="208"/>
      <c r="K110" s="208"/>
      <c r="L110" s="210"/>
      <c r="M110" s="211"/>
      <c r="N110" s="211"/>
      <c r="O110" s="211"/>
      <c r="P110" s="211"/>
    </row>
    <row r="111" spans="1:22" ht="18.75" x14ac:dyDescent="0.3">
      <c r="B111" s="477" t="s">
        <v>86</v>
      </c>
      <c r="C111" s="478"/>
      <c r="D111" s="478"/>
      <c r="E111" s="94">
        <f>E64</f>
        <v>11985</v>
      </c>
      <c r="F111" s="95">
        <f t="shared" ref="F111:F113" si="34">SUM(G111:K111)</f>
        <v>582017.35000000009</v>
      </c>
      <c r="G111" s="94">
        <f>G64+G81</f>
        <v>14104</v>
      </c>
      <c r="H111" s="94">
        <f>H64+H81</f>
        <v>21158</v>
      </c>
      <c r="I111" s="94">
        <f>I64+I81</f>
        <v>239051.14</v>
      </c>
      <c r="J111" s="94">
        <f>J64+J81</f>
        <v>307704.21000000002</v>
      </c>
      <c r="K111" s="94">
        <f>K64+K81</f>
        <v>0</v>
      </c>
    </row>
    <row r="112" spans="1:22" ht="18.75" x14ac:dyDescent="0.3">
      <c r="B112" s="477" t="s">
        <v>94</v>
      </c>
      <c r="C112" s="478"/>
      <c r="D112" s="478"/>
      <c r="E112" s="94">
        <f>E82</f>
        <v>234260.20600000001</v>
      </c>
      <c r="F112" s="95">
        <f t="shared" si="34"/>
        <v>1545558.081</v>
      </c>
      <c r="G112" s="94">
        <f t="shared" ref="G112:K113" si="35">G82</f>
        <v>1422940.2509999999</v>
      </c>
      <c r="H112" s="94">
        <f t="shared" si="35"/>
        <v>0</v>
      </c>
      <c r="I112" s="94">
        <f t="shared" si="35"/>
        <v>48776.28</v>
      </c>
      <c r="J112" s="94">
        <f t="shared" si="35"/>
        <v>73841.55</v>
      </c>
      <c r="K112" s="94">
        <f t="shared" si="35"/>
        <v>0</v>
      </c>
    </row>
    <row r="113" spans="2:11" ht="36" customHeight="1" x14ac:dyDescent="0.3">
      <c r="B113" s="533" t="s">
        <v>93</v>
      </c>
      <c r="C113" s="534"/>
      <c r="D113" s="534"/>
      <c r="E113" s="94">
        <f>E83</f>
        <v>351908.93300000002</v>
      </c>
      <c r="F113" s="95">
        <f t="shared" si="34"/>
        <v>38090.213000000003</v>
      </c>
      <c r="G113" s="94">
        <f t="shared" si="35"/>
        <v>18188.213</v>
      </c>
      <c r="H113" s="94">
        <f t="shared" si="35"/>
        <v>12000</v>
      </c>
      <c r="I113" s="94">
        <f t="shared" si="35"/>
        <v>7902</v>
      </c>
      <c r="J113" s="94">
        <f t="shared" si="35"/>
        <v>0</v>
      </c>
      <c r="K113" s="94">
        <f t="shared" si="35"/>
        <v>0</v>
      </c>
    </row>
    <row r="114" spans="2:11" ht="18.75" x14ac:dyDescent="0.3">
      <c r="B114" s="529" t="s">
        <v>87</v>
      </c>
      <c r="C114" s="530"/>
      <c r="D114" s="530"/>
      <c r="E114" s="97">
        <f>SUM(E111:E113)</f>
        <v>598154.13899999997</v>
      </c>
      <c r="F114" s="97">
        <f t="shared" ref="F114:K114" si="36">SUM(F111:F113)</f>
        <v>2165665.6439999999</v>
      </c>
      <c r="G114" s="97">
        <f>SUM(G111:G113)</f>
        <v>1455232.4639999999</v>
      </c>
      <c r="H114" s="97">
        <f t="shared" si="36"/>
        <v>33158</v>
      </c>
      <c r="I114" s="97">
        <f t="shared" si="36"/>
        <v>295729.42000000004</v>
      </c>
      <c r="J114" s="97">
        <f t="shared" si="36"/>
        <v>381545.76</v>
      </c>
      <c r="K114" s="97">
        <f t="shared" si="36"/>
        <v>0</v>
      </c>
    </row>
    <row r="115" spans="2:11" ht="18.75" x14ac:dyDescent="0.3">
      <c r="B115" s="477" t="s">
        <v>96</v>
      </c>
      <c r="C115" s="478"/>
      <c r="D115" s="478"/>
      <c r="E115" s="94">
        <f>E103-E111</f>
        <v>2567284.7999999998</v>
      </c>
      <c r="F115" s="95">
        <f t="shared" ref="F115:F120" si="37">SUM(G115:K115)</f>
        <v>12612760.43049</v>
      </c>
      <c r="G115" s="94">
        <f>G103-G111</f>
        <v>3078112.1409999998</v>
      </c>
      <c r="H115" s="94">
        <f t="shared" ref="H115:K115" si="38">H103-H111</f>
        <v>3424426.2894899999</v>
      </c>
      <c r="I115" s="94">
        <f t="shared" si="38"/>
        <v>3055111</v>
      </c>
      <c r="J115" s="94">
        <f t="shared" si="38"/>
        <v>3055111</v>
      </c>
      <c r="K115" s="94">
        <f t="shared" si="38"/>
        <v>0</v>
      </c>
    </row>
    <row r="116" spans="2:11" ht="18.75" x14ac:dyDescent="0.3">
      <c r="B116" s="477" t="s">
        <v>95</v>
      </c>
      <c r="C116" s="478"/>
      <c r="D116" s="478"/>
      <c r="E116" s="94">
        <f>E104-E112</f>
        <v>882587.31700000004</v>
      </c>
      <c r="F116" s="95">
        <f t="shared" si="37"/>
        <v>4235482.8152600005</v>
      </c>
      <c r="G116" s="94">
        <f t="shared" ref="G116:K116" si="39">G104-G112</f>
        <v>851465.14899999998</v>
      </c>
      <c r="H116" s="94">
        <f t="shared" si="39"/>
        <v>956670.26626000006</v>
      </c>
      <c r="I116" s="94">
        <f t="shared" si="39"/>
        <v>811915.98</v>
      </c>
      <c r="J116" s="94">
        <f t="shared" si="39"/>
        <v>811915.98</v>
      </c>
      <c r="K116" s="94">
        <f t="shared" si="39"/>
        <v>803515.44</v>
      </c>
    </row>
    <row r="117" spans="2:11" ht="35.25" customHeight="1" x14ac:dyDescent="0.3">
      <c r="B117" s="533" t="s">
        <v>93</v>
      </c>
      <c r="C117" s="534"/>
      <c r="D117" s="534"/>
      <c r="E117" s="94">
        <f>E106-E113</f>
        <v>11834.493000000017</v>
      </c>
      <c r="F117" s="95">
        <f t="shared" si="37"/>
        <v>32051.312000000002</v>
      </c>
      <c r="G117" s="94">
        <f t="shared" ref="G117:K117" si="40">G106-G113</f>
        <v>20005.952000000001</v>
      </c>
      <c r="H117" s="94">
        <f t="shared" si="40"/>
        <v>12045.36</v>
      </c>
      <c r="I117" s="94">
        <f t="shared" si="40"/>
        <v>0</v>
      </c>
      <c r="J117" s="94">
        <f t="shared" si="40"/>
        <v>0</v>
      </c>
      <c r="K117" s="94">
        <f t="shared" si="40"/>
        <v>0</v>
      </c>
    </row>
    <row r="118" spans="2:11" ht="18.75" x14ac:dyDescent="0.3">
      <c r="B118" s="477" t="s">
        <v>51</v>
      </c>
      <c r="C118" s="478"/>
      <c r="D118" s="478"/>
      <c r="E118" s="94">
        <f>E107</f>
        <v>168767.12400000001</v>
      </c>
      <c r="F118" s="95">
        <f t="shared" si="37"/>
        <v>1085032.8990000002</v>
      </c>
      <c r="G118" s="94">
        <f t="shared" ref="G118:K120" si="41">G107</f>
        <v>198466.71000000002</v>
      </c>
      <c r="H118" s="212">
        <f t="shared" si="41"/>
        <v>245625.03</v>
      </c>
      <c r="I118" s="212">
        <f t="shared" si="41"/>
        <v>213647.05300000001</v>
      </c>
      <c r="J118" s="94">
        <f t="shared" si="41"/>
        <v>213647.05300000001</v>
      </c>
      <c r="K118" s="94">
        <f t="shared" si="41"/>
        <v>213647.05300000001</v>
      </c>
    </row>
    <row r="119" spans="2:11" ht="18.75" x14ac:dyDescent="0.3">
      <c r="B119" s="477" t="s">
        <v>64</v>
      </c>
      <c r="C119" s="478"/>
      <c r="D119" s="478"/>
      <c r="E119" s="94">
        <f>E108</f>
        <v>4376.9960000000001</v>
      </c>
      <c r="F119" s="95">
        <f t="shared" si="37"/>
        <v>27482.625</v>
      </c>
      <c r="G119" s="94">
        <f t="shared" si="41"/>
        <v>5221.125</v>
      </c>
      <c r="H119" s="212">
        <f t="shared" si="41"/>
        <v>5565.375</v>
      </c>
      <c r="I119" s="212">
        <f t="shared" si="41"/>
        <v>5565.375</v>
      </c>
      <c r="J119" s="94">
        <f t="shared" si="41"/>
        <v>5565.375</v>
      </c>
      <c r="K119" s="94">
        <f t="shared" si="41"/>
        <v>5565.375</v>
      </c>
    </row>
    <row r="120" spans="2:11" ht="18.75" x14ac:dyDescent="0.3">
      <c r="B120" s="477" t="s">
        <v>4</v>
      </c>
      <c r="C120" s="478"/>
      <c r="D120" s="478"/>
      <c r="E120" s="94">
        <f>E109</f>
        <v>0</v>
      </c>
      <c r="F120" s="95">
        <f t="shared" si="37"/>
        <v>0</v>
      </c>
      <c r="G120" s="94">
        <f t="shared" si="41"/>
        <v>0</v>
      </c>
      <c r="H120" s="212">
        <f t="shared" si="41"/>
        <v>0</v>
      </c>
      <c r="I120" s="212">
        <f t="shared" si="41"/>
        <v>0</v>
      </c>
      <c r="J120" s="94">
        <f t="shared" si="41"/>
        <v>0</v>
      </c>
      <c r="K120" s="94">
        <f t="shared" si="41"/>
        <v>0</v>
      </c>
    </row>
    <row r="121" spans="2:11" ht="18.75" x14ac:dyDescent="0.3">
      <c r="B121" s="529" t="s">
        <v>97</v>
      </c>
      <c r="C121" s="530"/>
      <c r="D121" s="530"/>
      <c r="E121" s="97">
        <f>SUM(E115:E120)</f>
        <v>3634850.7299999991</v>
      </c>
      <c r="F121" s="97">
        <f t="shared" ref="F121:K121" si="42">SUM(F115:F120)</f>
        <v>17992810.081750002</v>
      </c>
      <c r="G121" s="97">
        <f t="shared" si="42"/>
        <v>4153271.077</v>
      </c>
      <c r="H121" s="97">
        <f t="shared" si="42"/>
        <v>4644332.3207500009</v>
      </c>
      <c r="I121" s="97">
        <f t="shared" si="42"/>
        <v>4086239.4079999998</v>
      </c>
      <c r="J121" s="97">
        <f t="shared" si="42"/>
        <v>4086239.4079999998</v>
      </c>
      <c r="K121" s="97">
        <f t="shared" si="42"/>
        <v>1022727.868</v>
      </c>
    </row>
    <row r="122" spans="2:11" x14ac:dyDescent="0.25">
      <c r="F122" s="98"/>
    </row>
    <row r="123" spans="2:11" ht="15.75" x14ac:dyDescent="0.25">
      <c r="F123" s="98"/>
      <c r="G123" s="31"/>
      <c r="H123" s="100"/>
    </row>
    <row r="124" spans="2:11" ht="15.75" x14ac:dyDescent="0.25">
      <c r="F124" s="98"/>
      <c r="G124" s="31"/>
      <c r="H124" s="100"/>
      <c r="I124" s="99"/>
      <c r="J124" s="31"/>
      <c r="K124" s="31"/>
    </row>
    <row r="125" spans="2:11" ht="15.75" x14ac:dyDescent="0.25">
      <c r="H125" s="100"/>
      <c r="I125" s="99"/>
      <c r="J125" s="31"/>
      <c r="K125" s="31"/>
    </row>
    <row r="126" spans="2:11" ht="15.75" x14ac:dyDescent="0.25">
      <c r="H126" s="100"/>
      <c r="I126" s="99"/>
      <c r="J126" s="31"/>
      <c r="K126" s="31"/>
    </row>
    <row r="127" spans="2:11" ht="15.75" x14ac:dyDescent="0.25">
      <c r="H127" s="100"/>
    </row>
    <row r="128" spans="2:11" ht="15.75" x14ac:dyDescent="0.25">
      <c r="H128" s="100"/>
    </row>
    <row r="129" spans="8:8" x14ac:dyDescent="0.25">
      <c r="H129" s="99"/>
    </row>
    <row r="130" spans="8:8" x14ac:dyDescent="0.25">
      <c r="H130" s="99"/>
    </row>
    <row r="132" spans="8:8" x14ac:dyDescent="0.25">
      <c r="H132" s="213"/>
    </row>
    <row r="133" spans="8:8" x14ac:dyDescent="0.25">
      <c r="H133" s="213"/>
    </row>
    <row r="134" spans="8:8" x14ac:dyDescent="0.25">
      <c r="H134" s="213"/>
    </row>
  </sheetData>
  <mergeCells count="153">
    <mergeCell ref="B42:B43"/>
    <mergeCell ref="C40:C41"/>
    <mergeCell ref="A42:A43"/>
    <mergeCell ref="E1:G2"/>
    <mergeCell ref="L87:L101"/>
    <mergeCell ref="A69:A71"/>
    <mergeCell ref="B69:B71"/>
    <mergeCell ref="C69:C71"/>
    <mergeCell ref="L69:L71"/>
    <mergeCell ref="A93:A96"/>
    <mergeCell ref="L78:L79"/>
    <mergeCell ref="B91:B92"/>
    <mergeCell ref="C89:C90"/>
    <mergeCell ref="C85:C86"/>
    <mergeCell ref="A85:A86"/>
    <mergeCell ref="A87:A88"/>
    <mergeCell ref="C87:C88"/>
    <mergeCell ref="C78:C79"/>
    <mergeCell ref="C91:C92"/>
    <mergeCell ref="C65:C66"/>
    <mergeCell ref="C80:C84"/>
    <mergeCell ref="L40:L41"/>
    <mergeCell ref="B50:B52"/>
    <mergeCell ref="B40:B41"/>
    <mergeCell ref="M87:M101"/>
    <mergeCell ref="B93:B96"/>
    <mergeCell ref="C93:C96"/>
    <mergeCell ref="M69:M71"/>
    <mergeCell ref="M80:M84"/>
    <mergeCell ref="B89:B90"/>
    <mergeCell ref="A91:A92"/>
    <mergeCell ref="B53:B56"/>
    <mergeCell ref="C53:C56"/>
    <mergeCell ref="M78:M79"/>
    <mergeCell ref="A65:A66"/>
    <mergeCell ref="B65:B66"/>
    <mergeCell ref="A72:A74"/>
    <mergeCell ref="B72:B74"/>
    <mergeCell ref="C72:C74"/>
    <mergeCell ref="L72:L74"/>
    <mergeCell ref="M72:M74"/>
    <mergeCell ref="M65:M66"/>
    <mergeCell ref="A53:A62"/>
    <mergeCell ref="B60:B62"/>
    <mergeCell ref="C60:C62"/>
    <mergeCell ref="L53:L62"/>
    <mergeCell ref="C57:C59"/>
    <mergeCell ref="B85:B86"/>
    <mergeCell ref="C16:C18"/>
    <mergeCell ref="A36:A37"/>
    <mergeCell ref="B36:B37"/>
    <mergeCell ref="A38:A39"/>
    <mergeCell ref="L19:L20"/>
    <mergeCell ref="A19:A20"/>
    <mergeCell ref="B19:B20"/>
    <mergeCell ref="C19:C20"/>
    <mergeCell ref="L16:L18"/>
    <mergeCell ref="L29:L30"/>
    <mergeCell ref="A26:A27"/>
    <mergeCell ref="B26:B27"/>
    <mergeCell ref="C21:C22"/>
    <mergeCell ref="B21:B22"/>
    <mergeCell ref="A21:A22"/>
    <mergeCell ref="L21:L22"/>
    <mergeCell ref="B31:B35"/>
    <mergeCell ref="L2:M2"/>
    <mergeCell ref="C29:C30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5"/>
    <mergeCell ref="B10:B15"/>
    <mergeCell ref="C10:C15"/>
    <mergeCell ref="A29:A30"/>
    <mergeCell ref="A9:M9"/>
    <mergeCell ref="M29:M30"/>
    <mergeCell ref="L10:L15"/>
    <mergeCell ref="M10:M15"/>
    <mergeCell ref="M19:M20"/>
    <mergeCell ref="A16:A18"/>
    <mergeCell ref="B16:B18"/>
    <mergeCell ref="M16:M18"/>
    <mergeCell ref="L85:L86"/>
    <mergeCell ref="M85:M86"/>
    <mergeCell ref="L80:L84"/>
    <mergeCell ref="L31:L35"/>
    <mergeCell ref="M44:M45"/>
    <mergeCell ref="L44:L45"/>
    <mergeCell ref="C44:C45"/>
    <mergeCell ref="L65:L66"/>
    <mergeCell ref="C42:C43"/>
    <mergeCell ref="C36:C37"/>
    <mergeCell ref="C38:C39"/>
    <mergeCell ref="C31:C35"/>
    <mergeCell ref="L38:L39"/>
    <mergeCell ref="C50:C52"/>
    <mergeCell ref="L50:L52"/>
    <mergeCell ref="M38:M39"/>
    <mergeCell ref="M36:M37"/>
    <mergeCell ref="B121:D121"/>
    <mergeCell ref="A80:A84"/>
    <mergeCell ref="B80:B84"/>
    <mergeCell ref="A109:D109"/>
    <mergeCell ref="A104:D104"/>
    <mergeCell ref="A103:D103"/>
    <mergeCell ref="B117:D117"/>
    <mergeCell ref="B118:D118"/>
    <mergeCell ref="B119:D119"/>
    <mergeCell ref="B120:D120"/>
    <mergeCell ref="B112:D112"/>
    <mergeCell ref="B111:D111"/>
    <mergeCell ref="B114:D114"/>
    <mergeCell ref="A108:D108"/>
    <mergeCell ref="A106:D106"/>
    <mergeCell ref="A107:D107"/>
    <mergeCell ref="A102:D102"/>
    <mergeCell ref="A89:A90"/>
    <mergeCell ref="B116:D116"/>
    <mergeCell ref="B115:D115"/>
    <mergeCell ref="B113:D113"/>
    <mergeCell ref="A105:D105"/>
    <mergeCell ref="B87:B88"/>
    <mergeCell ref="M21:M22"/>
    <mergeCell ref="B57:B59"/>
    <mergeCell ref="L36:L37"/>
    <mergeCell ref="B38:B39"/>
    <mergeCell ref="M53:M62"/>
    <mergeCell ref="M50:M52"/>
    <mergeCell ref="C26:C27"/>
    <mergeCell ref="L26:L27"/>
    <mergeCell ref="A44:A45"/>
    <mergeCell ref="B44:B45"/>
    <mergeCell ref="M31:M35"/>
    <mergeCell ref="A31:A35"/>
    <mergeCell ref="B29:B30"/>
    <mergeCell ref="L42:L43"/>
    <mergeCell ref="M42:M43"/>
    <mergeCell ref="M40:M41"/>
    <mergeCell ref="A50:A52"/>
    <mergeCell ref="A40:A41"/>
    <mergeCell ref="M26:M27"/>
    <mergeCell ref="B47:B49"/>
    <mergeCell ref="A47:A49"/>
    <mergeCell ref="C47:C49"/>
    <mergeCell ref="L47:L49"/>
    <mergeCell ref="M47:M49"/>
  </mergeCells>
  <pageMargins left="0.19685039370078741" right="0.19685039370078741" top="0.19685039370078741" bottom="0.19685039370078741" header="0" footer="0"/>
  <pageSetup paperSize="9" scale="48" fitToHeight="0" orientation="landscape" r:id="rId1"/>
  <headerFooter scaleWithDoc="0"/>
  <rowBreaks count="7" manualBreakCount="7">
    <brk id="22" max="12" man="1"/>
    <brk id="30" max="12" man="1"/>
    <brk id="43" max="12" man="1"/>
    <brk id="52" max="12" man="1"/>
    <brk id="64" max="12" man="1"/>
    <brk id="76" max="12" man="1"/>
    <brk id="8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5"/>
  <sheetViews>
    <sheetView view="pageBreakPreview" zoomScale="70" zoomScaleNormal="70" zoomScaleSheetLayoutView="70" workbookViewId="0">
      <pane ySplit="7" topLeftCell="A8" activePane="bottomLeft" state="frozen"/>
      <selection pane="bottomLeft" activeCell="A4" sqref="A4:A6"/>
    </sheetView>
  </sheetViews>
  <sheetFormatPr defaultColWidth="9.140625" defaultRowHeight="15" x14ac:dyDescent="0.25"/>
  <cols>
    <col min="1" max="1" width="8.28515625" style="7" customWidth="1"/>
    <col min="2" max="2" width="66.28515625" style="7" customWidth="1"/>
    <col min="3" max="3" width="18.5703125" style="254" customWidth="1"/>
    <col min="4" max="4" width="31.140625" style="7" customWidth="1"/>
    <col min="5" max="5" width="20.7109375" style="7" customWidth="1"/>
    <col min="6" max="6" width="21.7109375" style="102" customWidth="1"/>
    <col min="7" max="7" width="16.5703125" style="7" customWidth="1"/>
    <col min="8" max="9" width="16.5703125" style="103" customWidth="1"/>
    <col min="10" max="11" width="16.5703125" style="7" customWidth="1"/>
    <col min="12" max="12" width="23.42578125" style="7" customWidth="1"/>
    <col min="13" max="13" width="32.42578125" style="7" customWidth="1"/>
    <col min="14" max="16" width="23.140625" style="7" hidden="1" customWidth="1"/>
    <col min="17" max="17" width="20" style="7" hidden="1" customWidth="1"/>
    <col min="18" max="18" width="23.42578125" style="7" customWidth="1"/>
    <col min="19" max="20" width="9.140625" style="7" customWidth="1"/>
    <col min="21" max="16384" width="9.140625" style="7"/>
  </cols>
  <sheetData>
    <row r="1" spans="1:20" ht="15.6" x14ac:dyDescent="0.3">
      <c r="A1" s="1"/>
      <c r="B1" s="2"/>
      <c r="C1" s="3"/>
      <c r="D1" s="2"/>
      <c r="E1" s="2"/>
      <c r="F1" s="104"/>
      <c r="G1" s="2"/>
      <c r="H1" s="5"/>
      <c r="I1" s="5"/>
      <c r="J1" s="6"/>
      <c r="K1" s="6"/>
      <c r="L1" s="6"/>
      <c r="M1" s="6"/>
      <c r="N1" s="6"/>
      <c r="O1" s="6"/>
      <c r="P1" s="6"/>
    </row>
    <row r="2" spans="1:20" ht="15.75" customHeight="1" x14ac:dyDescent="0.25">
      <c r="A2" s="1"/>
      <c r="B2" s="8"/>
      <c r="C2" s="9"/>
      <c r="D2" s="10"/>
      <c r="E2" s="10"/>
      <c r="F2" s="105"/>
      <c r="G2" s="12"/>
      <c r="H2" s="13"/>
      <c r="I2" s="13"/>
      <c r="J2" s="12"/>
      <c r="K2" s="12"/>
      <c r="L2" s="566"/>
      <c r="M2" s="566"/>
      <c r="N2" s="422"/>
      <c r="O2" s="422"/>
      <c r="P2" s="422"/>
    </row>
    <row r="3" spans="1:20" ht="15.75" customHeight="1" thickBot="1" x14ac:dyDescent="0.3">
      <c r="A3" s="1"/>
      <c r="B3" s="8"/>
      <c r="C3" s="9"/>
      <c r="D3" s="10"/>
      <c r="E3" s="10"/>
      <c r="F3" s="105"/>
      <c r="G3" s="12"/>
      <c r="H3" s="13"/>
      <c r="I3" s="13"/>
      <c r="J3" s="12"/>
      <c r="K3" s="12"/>
      <c r="L3" s="422"/>
      <c r="M3" s="422"/>
      <c r="N3" s="422"/>
      <c r="O3" s="422"/>
      <c r="P3" s="422"/>
    </row>
    <row r="4" spans="1:20" ht="15.75" customHeight="1" x14ac:dyDescent="0.25">
      <c r="A4" s="766" t="s">
        <v>1</v>
      </c>
      <c r="B4" s="722" t="s">
        <v>14</v>
      </c>
      <c r="C4" s="722" t="s">
        <v>0</v>
      </c>
      <c r="D4" s="733" t="s">
        <v>15</v>
      </c>
      <c r="E4" s="733" t="s">
        <v>155</v>
      </c>
      <c r="F4" s="736" t="s">
        <v>16</v>
      </c>
      <c r="G4" s="760" t="s">
        <v>48</v>
      </c>
      <c r="H4" s="761"/>
      <c r="I4" s="761"/>
      <c r="J4" s="761"/>
      <c r="K4" s="762"/>
      <c r="L4" s="759" t="s">
        <v>17</v>
      </c>
      <c r="M4" s="755" t="s">
        <v>7</v>
      </c>
      <c r="N4" s="369"/>
      <c r="O4" s="369"/>
      <c r="P4" s="369"/>
    </row>
    <row r="5" spans="1:20" ht="15.75" customHeight="1" x14ac:dyDescent="0.25">
      <c r="A5" s="767"/>
      <c r="B5" s="723"/>
      <c r="C5" s="723"/>
      <c r="D5" s="734"/>
      <c r="E5" s="715"/>
      <c r="F5" s="737"/>
      <c r="G5" s="763"/>
      <c r="H5" s="764"/>
      <c r="I5" s="764"/>
      <c r="J5" s="764"/>
      <c r="K5" s="765"/>
      <c r="L5" s="711"/>
      <c r="M5" s="753"/>
      <c r="N5" s="369"/>
      <c r="O5" s="369"/>
      <c r="P5" s="369"/>
    </row>
    <row r="6" spans="1:20" ht="46.5" customHeight="1" x14ac:dyDescent="0.25">
      <c r="A6" s="767"/>
      <c r="B6" s="723"/>
      <c r="C6" s="724"/>
      <c r="D6" s="735"/>
      <c r="E6" s="716"/>
      <c r="F6" s="738"/>
      <c r="G6" s="147" t="s">
        <v>46</v>
      </c>
      <c r="H6" s="214" t="s">
        <v>47</v>
      </c>
      <c r="I6" s="147" t="s">
        <v>157</v>
      </c>
      <c r="J6" s="147" t="s">
        <v>158</v>
      </c>
      <c r="K6" s="147" t="s">
        <v>159</v>
      </c>
      <c r="L6" s="721"/>
      <c r="M6" s="754"/>
      <c r="N6" s="369" t="s">
        <v>336</v>
      </c>
      <c r="O6" s="369" t="s">
        <v>337</v>
      </c>
      <c r="P6" s="369"/>
    </row>
    <row r="7" spans="1:20" ht="21" customHeight="1" x14ac:dyDescent="0.25">
      <c r="A7" s="18">
        <v>1</v>
      </c>
      <c r="B7" s="19">
        <v>2</v>
      </c>
      <c r="C7" s="19" t="s">
        <v>18</v>
      </c>
      <c r="D7" s="19" t="s">
        <v>144</v>
      </c>
      <c r="E7" s="19" t="s">
        <v>19</v>
      </c>
      <c r="F7" s="20" t="s">
        <v>141</v>
      </c>
      <c r="G7" s="19" t="s">
        <v>20</v>
      </c>
      <c r="H7" s="21" t="s">
        <v>142</v>
      </c>
      <c r="I7" s="19" t="s">
        <v>21</v>
      </c>
      <c r="J7" s="19" t="s">
        <v>22</v>
      </c>
      <c r="K7" s="19" t="s">
        <v>30</v>
      </c>
      <c r="L7" s="19" t="s">
        <v>31</v>
      </c>
      <c r="M7" s="22" t="s">
        <v>50</v>
      </c>
      <c r="N7" s="357"/>
      <c r="O7" s="357"/>
      <c r="P7" s="357"/>
    </row>
    <row r="8" spans="1:20" ht="18.75" x14ac:dyDescent="0.25">
      <c r="A8" s="756" t="s">
        <v>63</v>
      </c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8"/>
      <c r="N8" s="369"/>
      <c r="O8" s="369"/>
      <c r="P8" s="369"/>
    </row>
    <row r="9" spans="1:20" ht="25.5" customHeight="1" x14ac:dyDescent="0.25">
      <c r="A9" s="768"/>
      <c r="B9" s="710" t="s">
        <v>147</v>
      </c>
      <c r="C9" s="651" t="s">
        <v>156</v>
      </c>
      <c r="D9" s="110" t="s">
        <v>10</v>
      </c>
      <c r="E9" s="111">
        <f t="shared" ref="E9:K9" si="0">SUM(E10:E12)</f>
        <v>89607.173999999999</v>
      </c>
      <c r="F9" s="66">
        <f t="shared" si="0"/>
        <v>511019.05</v>
      </c>
      <c r="G9" s="111">
        <f>SUM(G10:G12)</f>
        <v>98456.650000000009</v>
      </c>
      <c r="H9" s="67">
        <f>SUM(H10:H12)</f>
        <v>105510.54300000001</v>
      </c>
      <c r="I9" s="111">
        <f t="shared" si="0"/>
        <v>102350.61900000001</v>
      </c>
      <c r="J9" s="111">
        <f t="shared" si="0"/>
        <v>102350.61900000001</v>
      </c>
      <c r="K9" s="111">
        <f t="shared" si="0"/>
        <v>102350.61900000001</v>
      </c>
      <c r="L9" s="710"/>
      <c r="M9" s="752"/>
      <c r="N9" s="369"/>
      <c r="O9" s="369"/>
      <c r="P9" s="369"/>
    </row>
    <row r="10" spans="1:20" ht="41.25" customHeight="1" x14ac:dyDescent="0.25">
      <c r="A10" s="769"/>
      <c r="B10" s="711"/>
      <c r="C10" s="652"/>
      <c r="D10" s="147" t="s">
        <v>5</v>
      </c>
      <c r="E10" s="215">
        <f>E24</f>
        <v>0</v>
      </c>
      <c r="F10" s="216">
        <f>SUM(G10:K10)</f>
        <v>1095</v>
      </c>
      <c r="G10" s="215">
        <f>G24+G13</f>
        <v>906</v>
      </c>
      <c r="H10" s="217">
        <f>H24+H13+H27</f>
        <v>189</v>
      </c>
      <c r="I10" s="215">
        <f t="shared" ref="I10:K10" si="1">I24+I13</f>
        <v>0</v>
      </c>
      <c r="J10" s="215">
        <f t="shared" si="1"/>
        <v>0</v>
      </c>
      <c r="K10" s="215">
        <f t="shared" si="1"/>
        <v>0</v>
      </c>
      <c r="L10" s="711"/>
      <c r="M10" s="753"/>
      <c r="N10" s="369"/>
      <c r="O10" s="369"/>
      <c r="P10" s="369"/>
    </row>
    <row r="11" spans="1:20" ht="60" customHeight="1" x14ac:dyDescent="0.25">
      <c r="A11" s="769"/>
      <c r="B11" s="711"/>
      <c r="C11" s="652"/>
      <c r="D11" s="147" t="s">
        <v>9</v>
      </c>
      <c r="E11" s="215">
        <f>E14+E17+E18+E20+E21+E22+E23+E25</f>
        <v>80773.72</v>
      </c>
      <c r="F11" s="216">
        <f t="shared" ref="F11:F29" si="2">SUM(G11:K11)</f>
        <v>465742.25</v>
      </c>
      <c r="G11" s="215">
        <f>G14+G17+G18+G20+G21+G22+G23+G25+G26</f>
        <v>88363.6</v>
      </c>
      <c r="H11" s="217">
        <f>H14+H17+H18+H20+H21+H22+H23+H25+H26+H28</f>
        <v>94517.293000000005</v>
      </c>
      <c r="I11" s="215">
        <f t="shared" ref="I11:K11" si="3">I14+I17+I18+I20+I21+I22+I23+I25+I26</f>
        <v>94287.119000000006</v>
      </c>
      <c r="J11" s="215">
        <f t="shared" si="3"/>
        <v>94287.119000000006</v>
      </c>
      <c r="K11" s="215">
        <f t="shared" si="3"/>
        <v>94287.119000000006</v>
      </c>
      <c r="L11" s="711"/>
      <c r="M11" s="753"/>
      <c r="N11" s="369"/>
      <c r="O11" s="369"/>
      <c r="P11" s="369"/>
    </row>
    <row r="12" spans="1:20" ht="75.75" customHeight="1" x14ac:dyDescent="0.25">
      <c r="A12" s="770"/>
      <c r="B12" s="721"/>
      <c r="C12" s="653"/>
      <c r="D12" s="17" t="s">
        <v>51</v>
      </c>
      <c r="E12" s="74">
        <f>E16+E19</f>
        <v>8833.4539999999997</v>
      </c>
      <c r="F12" s="216">
        <f t="shared" si="2"/>
        <v>44181.8</v>
      </c>
      <c r="G12" s="74">
        <f>G16+G19</f>
        <v>9187.0500000000011</v>
      </c>
      <c r="H12" s="75">
        <f>H16+H19</f>
        <v>10804.250000000002</v>
      </c>
      <c r="I12" s="74">
        <f>I16+I19</f>
        <v>8063.5</v>
      </c>
      <c r="J12" s="74">
        <f>J16+J19</f>
        <v>8063.5</v>
      </c>
      <c r="K12" s="74">
        <f>K16+K19</f>
        <v>8063.5</v>
      </c>
      <c r="L12" s="721"/>
      <c r="M12" s="754"/>
      <c r="N12" s="369"/>
      <c r="O12" s="369"/>
      <c r="P12" s="369"/>
    </row>
    <row r="13" spans="1:20" ht="37.5" x14ac:dyDescent="0.25">
      <c r="A13" s="701" t="s">
        <v>100</v>
      </c>
      <c r="B13" s="730" t="s">
        <v>174</v>
      </c>
      <c r="C13" s="690" t="s">
        <v>156</v>
      </c>
      <c r="D13" s="140" t="s">
        <v>5</v>
      </c>
      <c r="E13" s="218">
        <v>0</v>
      </c>
      <c r="F13" s="216">
        <f t="shared" si="2"/>
        <v>906</v>
      </c>
      <c r="G13" s="218">
        <v>906</v>
      </c>
      <c r="H13" s="219">
        <v>0</v>
      </c>
      <c r="I13" s="218">
        <v>0</v>
      </c>
      <c r="J13" s="218">
        <v>0</v>
      </c>
      <c r="K13" s="218">
        <v>0</v>
      </c>
      <c r="L13" s="742" t="s">
        <v>8</v>
      </c>
      <c r="M13" s="745" t="s">
        <v>74</v>
      </c>
      <c r="N13" s="215"/>
      <c r="O13" s="382">
        <v>0</v>
      </c>
      <c r="P13" s="382">
        <f>N13-O13</f>
        <v>0</v>
      </c>
    </row>
    <row r="14" spans="1:20" ht="55.5" customHeight="1" x14ac:dyDescent="0.25">
      <c r="A14" s="702"/>
      <c r="B14" s="731"/>
      <c r="C14" s="691"/>
      <c r="D14" s="140" t="s">
        <v>9</v>
      </c>
      <c r="E14" s="218">
        <f>58820.82+1881.6-727.6+178.682+89.341</f>
        <v>60242.843000000001</v>
      </c>
      <c r="F14" s="216">
        <f t="shared" si="2"/>
        <v>342031.53499999997</v>
      </c>
      <c r="G14" s="218">
        <v>66790.319000000003</v>
      </c>
      <c r="H14" s="219">
        <f>68788.773+86.124</f>
        <v>68874.896999999997</v>
      </c>
      <c r="I14" s="218">
        <v>68788.773000000001</v>
      </c>
      <c r="J14" s="218">
        <v>68788.773000000001</v>
      </c>
      <c r="K14" s="218">
        <v>68788.773000000001</v>
      </c>
      <c r="L14" s="743"/>
      <c r="M14" s="746"/>
      <c r="N14" s="215">
        <f>('[2]Лист 1'!$F$462+'[2]Лист 1'!$F$463+'[2]Лист 1'!$F$464+'[2]Лист 1'!$F$465)/1000</f>
        <v>68788.773000000001</v>
      </c>
      <c r="O14" s="382">
        <v>68788.773000000001</v>
      </c>
      <c r="P14" s="382">
        <f t="shared" ref="P14:P39" si="4">N14-O14</f>
        <v>0</v>
      </c>
      <c r="R14" s="7" t="s">
        <v>354</v>
      </c>
    </row>
    <row r="15" spans="1:20" ht="168.75" x14ac:dyDescent="0.25">
      <c r="A15" s="702"/>
      <c r="B15" s="731"/>
      <c r="C15" s="691"/>
      <c r="D15" s="140" t="s">
        <v>295</v>
      </c>
      <c r="E15" s="218">
        <v>0</v>
      </c>
      <c r="F15" s="216">
        <f t="shared" si="2"/>
        <v>204</v>
      </c>
      <c r="G15" s="218">
        <v>204</v>
      </c>
      <c r="H15" s="219">
        <v>0</v>
      </c>
      <c r="I15" s="218">
        <v>0</v>
      </c>
      <c r="J15" s="218">
        <v>0</v>
      </c>
      <c r="K15" s="218">
        <v>0</v>
      </c>
      <c r="L15" s="743"/>
      <c r="M15" s="746"/>
      <c r="N15" s="215">
        <v>0</v>
      </c>
      <c r="O15" s="382">
        <v>0</v>
      </c>
      <c r="P15" s="382">
        <f t="shared" si="4"/>
        <v>0</v>
      </c>
    </row>
    <row r="16" spans="1:20" ht="75" customHeight="1" x14ac:dyDescent="0.25">
      <c r="A16" s="703"/>
      <c r="B16" s="732"/>
      <c r="C16" s="692"/>
      <c r="D16" s="140" t="s">
        <v>51</v>
      </c>
      <c r="E16" s="134">
        <v>7683.29</v>
      </c>
      <c r="F16" s="216">
        <f t="shared" si="2"/>
        <v>40682.968000000001</v>
      </c>
      <c r="G16" s="220">
        <v>8878.7790000000005</v>
      </c>
      <c r="H16" s="219">
        <f>7305.879+5296.001-2715.328</f>
        <v>9886.5520000000015</v>
      </c>
      <c r="I16" s="220">
        <v>7305.8789999999999</v>
      </c>
      <c r="J16" s="220">
        <v>7305.8789999999999</v>
      </c>
      <c r="K16" s="220">
        <v>7305.8789999999999</v>
      </c>
      <c r="L16" s="744"/>
      <c r="M16" s="747"/>
      <c r="N16" s="215">
        <v>9886.5519999999997</v>
      </c>
      <c r="O16" s="382">
        <v>9886.5520000000015</v>
      </c>
      <c r="P16" s="382">
        <f t="shared" si="4"/>
        <v>0</v>
      </c>
      <c r="Q16" s="7" t="s">
        <v>331</v>
      </c>
      <c r="R16" s="44"/>
      <c r="S16" s="44"/>
      <c r="T16" s="44"/>
    </row>
    <row r="17" spans="1:24" ht="155.25" customHeight="1" x14ac:dyDescent="0.25">
      <c r="A17" s="222" t="s">
        <v>101</v>
      </c>
      <c r="B17" s="436" t="s">
        <v>175</v>
      </c>
      <c r="C17" s="439" t="s">
        <v>156</v>
      </c>
      <c r="D17" s="140" t="s">
        <v>9</v>
      </c>
      <c r="E17" s="220">
        <v>1050.4360000000001</v>
      </c>
      <c r="F17" s="216">
        <f t="shared" si="2"/>
        <v>3826.7580000000003</v>
      </c>
      <c r="G17" s="220">
        <v>1094.1219999999998</v>
      </c>
      <c r="H17" s="221">
        <v>683.15899999999999</v>
      </c>
      <c r="I17" s="220">
        <v>683.15899999999999</v>
      </c>
      <c r="J17" s="220">
        <v>683.15899999999999</v>
      </c>
      <c r="K17" s="220">
        <v>683.15899999999999</v>
      </c>
      <c r="L17" s="223" t="s">
        <v>8</v>
      </c>
      <c r="M17" s="452" t="s">
        <v>74</v>
      </c>
      <c r="N17" s="215">
        <f>('[2]Лист 1'!$F$466+'[2]Лист 1'!$F$467)/1000</f>
        <v>683.15899999999999</v>
      </c>
      <c r="O17" s="382">
        <v>683.15899999999999</v>
      </c>
      <c r="P17" s="382">
        <f t="shared" si="4"/>
        <v>0</v>
      </c>
      <c r="R17" s="44"/>
      <c r="S17" s="44"/>
      <c r="T17" s="44"/>
    </row>
    <row r="18" spans="1:24" ht="69" customHeight="1" x14ac:dyDescent="0.25">
      <c r="A18" s="701" t="s">
        <v>102</v>
      </c>
      <c r="B18" s="616" t="s">
        <v>176</v>
      </c>
      <c r="C18" s="690" t="s">
        <v>156</v>
      </c>
      <c r="D18" s="140" t="s">
        <v>9</v>
      </c>
      <c r="E18" s="141">
        <v>0</v>
      </c>
      <c r="F18" s="216">
        <f t="shared" si="2"/>
        <v>100</v>
      </c>
      <c r="G18" s="141">
        <v>100</v>
      </c>
      <c r="H18" s="143">
        <v>0</v>
      </c>
      <c r="I18" s="141">
        <v>0</v>
      </c>
      <c r="J18" s="141">
        <v>0</v>
      </c>
      <c r="K18" s="141">
        <v>0</v>
      </c>
      <c r="L18" s="750" t="s">
        <v>8</v>
      </c>
      <c r="M18" s="571" t="s">
        <v>236</v>
      </c>
      <c r="N18" s="215">
        <v>0</v>
      </c>
      <c r="O18" s="382">
        <v>0</v>
      </c>
      <c r="P18" s="382">
        <f t="shared" si="4"/>
        <v>0</v>
      </c>
    </row>
    <row r="19" spans="1:24" ht="75.75" customHeight="1" x14ac:dyDescent="0.25">
      <c r="A19" s="703"/>
      <c r="B19" s="617"/>
      <c r="C19" s="692"/>
      <c r="D19" s="140" t="s">
        <v>51</v>
      </c>
      <c r="E19" s="220">
        <v>1150.164</v>
      </c>
      <c r="F19" s="216">
        <f t="shared" si="2"/>
        <v>3498.8319999999999</v>
      </c>
      <c r="G19" s="220">
        <v>308.27100000000002</v>
      </c>
      <c r="H19" s="143">
        <f>757.621+363.499-203.422</f>
        <v>917.69799999999987</v>
      </c>
      <c r="I19" s="220">
        <v>757.62099999999998</v>
      </c>
      <c r="J19" s="220">
        <v>757.62099999999998</v>
      </c>
      <c r="K19" s="220">
        <v>757.62099999999998</v>
      </c>
      <c r="L19" s="751"/>
      <c r="M19" s="573"/>
      <c r="N19" s="215">
        <v>917.69799999999998</v>
      </c>
      <c r="O19" s="382">
        <v>917.69799999999987</v>
      </c>
      <c r="P19" s="382">
        <f t="shared" si="4"/>
        <v>0</v>
      </c>
      <c r="R19" s="44"/>
      <c r="S19" s="44"/>
      <c r="T19" s="44"/>
    </row>
    <row r="20" spans="1:24" ht="113.25" customHeight="1" x14ac:dyDescent="0.25">
      <c r="A20" s="450" t="s">
        <v>103</v>
      </c>
      <c r="B20" s="224" t="s">
        <v>177</v>
      </c>
      <c r="C20" s="439" t="s">
        <v>156</v>
      </c>
      <c r="D20" s="140" t="s">
        <v>9</v>
      </c>
      <c r="E20" s="141">
        <v>0</v>
      </c>
      <c r="F20" s="216">
        <f t="shared" si="2"/>
        <v>0</v>
      </c>
      <c r="G20" s="141">
        <v>0</v>
      </c>
      <c r="H20" s="143">
        <v>0</v>
      </c>
      <c r="I20" s="141">
        <v>0</v>
      </c>
      <c r="J20" s="141">
        <v>0</v>
      </c>
      <c r="K20" s="141">
        <v>0</v>
      </c>
      <c r="L20" s="223" t="s">
        <v>8</v>
      </c>
      <c r="M20" s="144" t="s">
        <v>178</v>
      </c>
      <c r="N20" s="215">
        <v>0</v>
      </c>
      <c r="O20" s="382">
        <v>0</v>
      </c>
      <c r="P20" s="382">
        <f t="shared" si="4"/>
        <v>0</v>
      </c>
    </row>
    <row r="21" spans="1:24" ht="118.5" customHeight="1" x14ac:dyDescent="0.25">
      <c r="A21" s="450" t="s">
        <v>104</v>
      </c>
      <c r="B21" s="225" t="s">
        <v>179</v>
      </c>
      <c r="C21" s="439" t="s">
        <v>156</v>
      </c>
      <c r="D21" s="140" t="s">
        <v>9</v>
      </c>
      <c r="E21" s="141">
        <v>30</v>
      </c>
      <c r="F21" s="216">
        <f t="shared" si="2"/>
        <v>28.05</v>
      </c>
      <c r="G21" s="141">
        <v>0</v>
      </c>
      <c r="H21" s="143">
        <v>28.05</v>
      </c>
      <c r="I21" s="141">
        <v>0</v>
      </c>
      <c r="J21" s="141">
        <v>0</v>
      </c>
      <c r="K21" s="141">
        <v>0</v>
      </c>
      <c r="L21" s="444" t="s">
        <v>11</v>
      </c>
      <c r="M21" s="226" t="s">
        <v>75</v>
      </c>
      <c r="N21" s="215">
        <f>('[2]Лист 1'!$F$468+'[2]Лист 1'!$F$469)/1000</f>
        <v>28.05</v>
      </c>
      <c r="O21" s="382">
        <v>28.05</v>
      </c>
      <c r="P21" s="382">
        <f t="shared" si="4"/>
        <v>0</v>
      </c>
    </row>
    <row r="22" spans="1:24" ht="93.75" customHeight="1" x14ac:dyDescent="0.25">
      <c r="A22" s="449" t="s">
        <v>105</v>
      </c>
      <c r="B22" s="453" t="s">
        <v>189</v>
      </c>
      <c r="C22" s="443" t="s">
        <v>156</v>
      </c>
      <c r="D22" s="140" t="s">
        <v>9</v>
      </c>
      <c r="E22" s="227">
        <v>18550.440999999999</v>
      </c>
      <c r="F22" s="216">
        <f t="shared" si="2"/>
        <v>101337.09200000002</v>
      </c>
      <c r="G22" s="227">
        <v>19356.344000000001</v>
      </c>
      <c r="H22" s="228">
        <v>20495.187000000002</v>
      </c>
      <c r="I22" s="227">
        <v>20495.187000000002</v>
      </c>
      <c r="J22" s="227">
        <v>20495.187000000002</v>
      </c>
      <c r="K22" s="227">
        <v>20495.187000000002</v>
      </c>
      <c r="L22" s="229" t="s">
        <v>8</v>
      </c>
      <c r="M22" s="230" t="s">
        <v>137</v>
      </c>
      <c r="N22" s="215">
        <f>SUM('[2]Лист 1'!$F$483:$F$489)/1000</f>
        <v>20495.187000000002</v>
      </c>
      <c r="O22" s="382">
        <v>20495.187000000002</v>
      </c>
      <c r="P22" s="382">
        <f t="shared" si="4"/>
        <v>0</v>
      </c>
    </row>
    <row r="23" spans="1:24" ht="118.5" customHeight="1" x14ac:dyDescent="0.25">
      <c r="A23" s="222" t="s">
        <v>106</v>
      </c>
      <c r="B23" s="231" t="s">
        <v>190</v>
      </c>
      <c r="C23" s="439" t="s">
        <v>156</v>
      </c>
      <c r="D23" s="140" t="s">
        <v>9</v>
      </c>
      <c r="E23" s="68">
        <v>0</v>
      </c>
      <c r="F23" s="216">
        <f t="shared" si="2"/>
        <v>122.815</v>
      </c>
      <c r="G23" s="68">
        <v>122.815</v>
      </c>
      <c r="H23" s="69">
        <v>0</v>
      </c>
      <c r="I23" s="68">
        <f>200-200</f>
        <v>0</v>
      </c>
      <c r="J23" s="68">
        <f>200-200</f>
        <v>0</v>
      </c>
      <c r="K23" s="68">
        <f>200-200</f>
        <v>0</v>
      </c>
      <c r="L23" s="444" t="s">
        <v>8</v>
      </c>
      <c r="M23" s="233" t="s">
        <v>237</v>
      </c>
      <c r="N23" s="215">
        <v>0</v>
      </c>
      <c r="O23" s="382">
        <v>0</v>
      </c>
      <c r="P23" s="382">
        <f t="shared" si="4"/>
        <v>0</v>
      </c>
    </row>
    <row r="24" spans="1:24" ht="157.5" customHeight="1" x14ac:dyDescent="0.25">
      <c r="A24" s="47" t="s">
        <v>107</v>
      </c>
      <c r="B24" s="56" t="s">
        <v>191</v>
      </c>
      <c r="C24" s="439" t="s">
        <v>156</v>
      </c>
      <c r="D24" s="61" t="s">
        <v>5</v>
      </c>
      <c r="E24" s="42">
        <v>0</v>
      </c>
      <c r="F24" s="216">
        <f t="shared" si="2"/>
        <v>0</v>
      </c>
      <c r="G24" s="42">
        <v>0</v>
      </c>
      <c r="H24" s="43">
        <v>0</v>
      </c>
      <c r="I24" s="42">
        <v>0</v>
      </c>
      <c r="J24" s="42">
        <v>0</v>
      </c>
      <c r="K24" s="42">
        <v>0</v>
      </c>
      <c r="L24" s="57" t="s">
        <v>8</v>
      </c>
      <c r="M24" s="424" t="s">
        <v>88</v>
      </c>
      <c r="N24" s="215">
        <v>0</v>
      </c>
      <c r="O24" s="382">
        <v>0</v>
      </c>
      <c r="P24" s="382">
        <f t="shared" si="4"/>
        <v>0</v>
      </c>
      <c r="Q24" s="44"/>
      <c r="R24" s="49"/>
      <c r="S24" s="49"/>
      <c r="T24" s="49"/>
      <c r="U24" s="49"/>
      <c r="V24" s="49"/>
      <c r="W24" s="49"/>
      <c r="X24" s="49"/>
    </row>
    <row r="25" spans="1:24" ht="192" customHeight="1" x14ac:dyDescent="0.25">
      <c r="A25" s="449" t="s">
        <v>108</v>
      </c>
      <c r="B25" s="429" t="s">
        <v>192</v>
      </c>
      <c r="C25" s="439" t="s">
        <v>46</v>
      </c>
      <c r="D25" s="140" t="s">
        <v>9</v>
      </c>
      <c r="E25" s="68">
        <f>200+700</f>
        <v>900</v>
      </c>
      <c r="F25" s="216">
        <f t="shared" si="2"/>
        <v>900</v>
      </c>
      <c r="G25" s="68">
        <v>900</v>
      </c>
      <c r="H25" s="69">
        <v>0</v>
      </c>
      <c r="I25" s="68">
        <v>0</v>
      </c>
      <c r="J25" s="68">
        <v>0</v>
      </c>
      <c r="K25" s="68">
        <v>0</v>
      </c>
      <c r="L25" s="430" t="s">
        <v>238</v>
      </c>
      <c r="M25" s="230" t="s">
        <v>139</v>
      </c>
      <c r="N25" s="215">
        <v>0</v>
      </c>
      <c r="O25" s="382">
        <v>0</v>
      </c>
      <c r="P25" s="382">
        <f t="shared" si="4"/>
        <v>0</v>
      </c>
    </row>
    <row r="26" spans="1:24" ht="150" x14ac:dyDescent="0.25">
      <c r="A26" s="449" t="s">
        <v>109</v>
      </c>
      <c r="B26" s="429" t="s">
        <v>309</v>
      </c>
      <c r="C26" s="438" t="s">
        <v>156</v>
      </c>
      <c r="D26" s="234" t="s">
        <v>12</v>
      </c>
      <c r="E26" s="125">
        <v>0</v>
      </c>
      <c r="F26" s="216">
        <f t="shared" si="2"/>
        <v>17280</v>
      </c>
      <c r="G26" s="125">
        <v>0</v>
      </c>
      <c r="H26" s="126">
        <v>4320</v>
      </c>
      <c r="I26" s="125">
        <v>4320</v>
      </c>
      <c r="J26" s="125">
        <v>4320</v>
      </c>
      <c r="K26" s="125">
        <v>4320</v>
      </c>
      <c r="L26" s="430" t="s">
        <v>11</v>
      </c>
      <c r="M26" s="230" t="s">
        <v>307</v>
      </c>
      <c r="N26" s="215">
        <f>('[2]Лист 1'!$F$490+'[2]Лист 1'!$F$470)/1000</f>
        <v>4320</v>
      </c>
      <c r="O26" s="382">
        <v>4320</v>
      </c>
      <c r="P26" s="382">
        <f t="shared" si="4"/>
        <v>0</v>
      </c>
    </row>
    <row r="27" spans="1:24" ht="37.5" x14ac:dyDescent="0.25">
      <c r="A27" s="701" t="s">
        <v>110</v>
      </c>
      <c r="B27" s="490" t="s">
        <v>367</v>
      </c>
      <c r="C27" s="690" t="s">
        <v>156</v>
      </c>
      <c r="D27" s="234" t="s">
        <v>5</v>
      </c>
      <c r="E27" s="125">
        <v>0</v>
      </c>
      <c r="F27" s="232">
        <f>SUM(G27:K27)</f>
        <v>189</v>
      </c>
      <c r="G27" s="125">
        <v>0</v>
      </c>
      <c r="H27" s="126">
        <v>189</v>
      </c>
      <c r="I27" s="125">
        <v>0</v>
      </c>
      <c r="J27" s="125">
        <v>0</v>
      </c>
      <c r="K27" s="125">
        <v>0</v>
      </c>
      <c r="L27" s="492" t="s">
        <v>11</v>
      </c>
      <c r="M27" s="841" t="s">
        <v>366</v>
      </c>
      <c r="N27" s="215"/>
      <c r="O27" s="382"/>
      <c r="P27" s="382"/>
    </row>
    <row r="28" spans="1:24" ht="68.25" customHeight="1" x14ac:dyDescent="0.25">
      <c r="A28" s="702"/>
      <c r="B28" s="663"/>
      <c r="C28" s="691"/>
      <c r="D28" s="234" t="s">
        <v>12</v>
      </c>
      <c r="E28" s="125">
        <v>0</v>
      </c>
      <c r="F28" s="232">
        <f t="shared" si="2"/>
        <v>116</v>
      </c>
      <c r="G28" s="125">
        <v>0</v>
      </c>
      <c r="H28" s="126">
        <v>116</v>
      </c>
      <c r="I28" s="125">
        <v>0</v>
      </c>
      <c r="J28" s="125">
        <v>0</v>
      </c>
      <c r="K28" s="125">
        <v>0</v>
      </c>
      <c r="L28" s="686"/>
      <c r="M28" s="842"/>
      <c r="N28" s="215"/>
      <c r="O28" s="382"/>
      <c r="P28" s="382"/>
    </row>
    <row r="29" spans="1:24" ht="93.75" x14ac:dyDescent="0.25">
      <c r="A29" s="703"/>
      <c r="B29" s="491"/>
      <c r="C29" s="692"/>
      <c r="D29" s="234" t="s">
        <v>311</v>
      </c>
      <c r="E29" s="125">
        <v>0</v>
      </c>
      <c r="F29" s="232">
        <f t="shared" si="2"/>
        <v>116</v>
      </c>
      <c r="G29" s="125">
        <v>0</v>
      </c>
      <c r="H29" s="126">
        <v>116</v>
      </c>
      <c r="I29" s="125">
        <v>0</v>
      </c>
      <c r="J29" s="125">
        <v>0</v>
      </c>
      <c r="K29" s="125">
        <v>0</v>
      </c>
      <c r="L29" s="493"/>
      <c r="M29" s="843"/>
      <c r="N29" s="215"/>
      <c r="O29" s="382"/>
      <c r="P29" s="382"/>
    </row>
    <row r="30" spans="1:24" ht="36" customHeight="1" x14ac:dyDescent="0.25">
      <c r="A30" s="704"/>
      <c r="B30" s="710" t="s">
        <v>154</v>
      </c>
      <c r="C30" s="714" t="s">
        <v>156</v>
      </c>
      <c r="D30" s="451" t="s">
        <v>10</v>
      </c>
      <c r="E30" s="235">
        <f>SUM(E31:E31)</f>
        <v>1188</v>
      </c>
      <c r="F30" s="232">
        <f t="shared" ref="F30:F31" si="5">SUM(G30:K30)</f>
        <v>6185</v>
      </c>
      <c r="G30" s="235">
        <f>SUM(G31:G31)</f>
        <v>1455</v>
      </c>
      <c r="H30" s="219">
        <f>SUM(H31:H31)</f>
        <v>1457</v>
      </c>
      <c r="I30" s="235">
        <f>SUM(I31:I31)</f>
        <v>1614</v>
      </c>
      <c r="J30" s="235">
        <f>SUM(J31:J31)</f>
        <v>1659</v>
      </c>
      <c r="K30" s="235">
        <f>SUM(K31:K31)</f>
        <v>0</v>
      </c>
      <c r="L30" s="728"/>
      <c r="M30" s="748"/>
      <c r="N30" s="215"/>
      <c r="O30" s="382"/>
      <c r="P30" s="382"/>
    </row>
    <row r="31" spans="1:24" ht="37.5" x14ac:dyDescent="0.25">
      <c r="A31" s="705"/>
      <c r="B31" s="711"/>
      <c r="C31" s="715"/>
      <c r="D31" s="147" t="s">
        <v>5</v>
      </c>
      <c r="E31" s="236">
        <f>E32</f>
        <v>1188</v>
      </c>
      <c r="F31" s="232">
        <f t="shared" si="5"/>
        <v>6185</v>
      </c>
      <c r="G31" s="236">
        <f>G32</f>
        <v>1455</v>
      </c>
      <c r="H31" s="237">
        <f t="shared" ref="H31:K31" si="6">H32</f>
        <v>1457</v>
      </c>
      <c r="I31" s="236">
        <f t="shared" si="6"/>
        <v>1614</v>
      </c>
      <c r="J31" s="236">
        <f t="shared" si="6"/>
        <v>1659</v>
      </c>
      <c r="K31" s="236">
        <f t="shared" si="6"/>
        <v>0</v>
      </c>
      <c r="L31" s="729"/>
      <c r="M31" s="749"/>
      <c r="N31" s="215"/>
      <c r="O31" s="382"/>
      <c r="P31" s="382"/>
    </row>
    <row r="32" spans="1:24" ht="113.25" customHeight="1" x14ac:dyDescent="0.25">
      <c r="A32" s="449" t="s">
        <v>118</v>
      </c>
      <c r="B32" s="435" t="s">
        <v>264</v>
      </c>
      <c r="C32" s="437" t="s">
        <v>156</v>
      </c>
      <c r="D32" s="140" t="s">
        <v>5</v>
      </c>
      <c r="E32" s="218">
        <v>1188</v>
      </c>
      <c r="F32" s="232">
        <f t="shared" ref="F32:F34" si="7">SUM(G32:K32)</f>
        <v>6185</v>
      </c>
      <c r="G32" s="218">
        <v>1455</v>
      </c>
      <c r="H32" s="219">
        <v>1457</v>
      </c>
      <c r="I32" s="218">
        <v>1614</v>
      </c>
      <c r="J32" s="218">
        <v>1659</v>
      </c>
      <c r="K32" s="218">
        <v>0</v>
      </c>
      <c r="L32" s="229" t="s">
        <v>11</v>
      </c>
      <c r="M32" s="230" t="s">
        <v>26</v>
      </c>
      <c r="N32" s="215">
        <f>'[2]Лист 1'!$F$451/1000</f>
        <v>1457</v>
      </c>
      <c r="O32" s="382">
        <v>1457</v>
      </c>
      <c r="P32" s="382">
        <f t="shared" si="4"/>
        <v>0</v>
      </c>
    </row>
    <row r="33" spans="1:18" ht="26.25" customHeight="1" x14ac:dyDescent="0.25">
      <c r="A33" s="704"/>
      <c r="B33" s="717" t="s">
        <v>148</v>
      </c>
      <c r="C33" s="714" t="s">
        <v>156</v>
      </c>
      <c r="D33" s="147" t="s">
        <v>10</v>
      </c>
      <c r="E33" s="238">
        <f t="shared" ref="E33:K33" si="8">E34+E35</f>
        <v>31887</v>
      </c>
      <c r="F33" s="232">
        <f t="shared" si="7"/>
        <v>100426.644</v>
      </c>
      <c r="G33" s="238">
        <f t="shared" si="8"/>
        <v>28499</v>
      </c>
      <c r="H33" s="228">
        <f t="shared" si="8"/>
        <v>30407.644</v>
      </c>
      <c r="I33" s="238">
        <f t="shared" si="8"/>
        <v>13840</v>
      </c>
      <c r="J33" s="238">
        <f t="shared" si="8"/>
        <v>13840</v>
      </c>
      <c r="K33" s="238">
        <f t="shared" si="8"/>
        <v>13840</v>
      </c>
      <c r="L33" s="725"/>
      <c r="M33" s="739"/>
      <c r="N33" s="215"/>
      <c r="O33" s="382"/>
      <c r="P33" s="382"/>
    </row>
    <row r="34" spans="1:18" ht="36" customHeight="1" x14ac:dyDescent="0.25">
      <c r="A34" s="705"/>
      <c r="B34" s="718"/>
      <c r="C34" s="715"/>
      <c r="D34" s="147" t="s">
        <v>5</v>
      </c>
      <c r="E34" s="236">
        <f>E39</f>
        <v>15154</v>
      </c>
      <c r="F34" s="232">
        <f t="shared" si="7"/>
        <v>29226</v>
      </c>
      <c r="G34" s="236">
        <f t="shared" ref="G34:K34" si="9">G39</f>
        <v>14689</v>
      </c>
      <c r="H34" s="237">
        <f t="shared" si="9"/>
        <v>14537</v>
      </c>
      <c r="I34" s="236">
        <f t="shared" si="9"/>
        <v>0</v>
      </c>
      <c r="J34" s="236">
        <f t="shared" si="9"/>
        <v>0</v>
      </c>
      <c r="K34" s="236">
        <f t="shared" si="9"/>
        <v>0</v>
      </c>
      <c r="L34" s="726"/>
      <c r="M34" s="740"/>
      <c r="N34" s="215"/>
      <c r="O34" s="382"/>
      <c r="P34" s="382"/>
    </row>
    <row r="35" spans="1:18" ht="56.25" customHeight="1" x14ac:dyDescent="0.25">
      <c r="A35" s="720"/>
      <c r="B35" s="719"/>
      <c r="C35" s="716"/>
      <c r="D35" s="147" t="s">
        <v>9</v>
      </c>
      <c r="E35" s="239">
        <f>E36+E37</f>
        <v>16733</v>
      </c>
      <c r="F35" s="232">
        <f>SUM(G35:K35)</f>
        <v>71200.644</v>
      </c>
      <c r="G35" s="239">
        <f>G36+G37</f>
        <v>13810</v>
      </c>
      <c r="H35" s="240">
        <f>H36+H37</f>
        <v>15870.644</v>
      </c>
      <c r="I35" s="239">
        <f>I36+I37</f>
        <v>13840</v>
      </c>
      <c r="J35" s="239">
        <f>J36+J37</f>
        <v>13840</v>
      </c>
      <c r="K35" s="239">
        <f>K36+K37</f>
        <v>13840</v>
      </c>
      <c r="L35" s="727"/>
      <c r="M35" s="741"/>
      <c r="N35" s="215"/>
      <c r="O35" s="382"/>
      <c r="P35" s="382"/>
    </row>
    <row r="36" spans="1:18" ht="99" customHeight="1" x14ac:dyDescent="0.25">
      <c r="A36" s="138" t="s">
        <v>133</v>
      </c>
      <c r="B36" s="139" t="s">
        <v>131</v>
      </c>
      <c r="C36" s="439" t="s">
        <v>156</v>
      </c>
      <c r="D36" s="140" t="s">
        <v>9</v>
      </c>
      <c r="E36" s="141">
        <v>1733</v>
      </c>
      <c r="F36" s="142">
        <f>SUM(G36:K36)</f>
        <v>11170</v>
      </c>
      <c r="G36" s="141">
        <f>2000-100-90</f>
        <v>1810</v>
      </c>
      <c r="H36" s="143">
        <f>1840+2000</f>
        <v>3840</v>
      </c>
      <c r="I36" s="141">
        <v>1840</v>
      </c>
      <c r="J36" s="141">
        <v>1840</v>
      </c>
      <c r="K36" s="141">
        <v>1840</v>
      </c>
      <c r="L36" s="444" t="s">
        <v>11</v>
      </c>
      <c r="M36" s="144" t="s">
        <v>27</v>
      </c>
      <c r="N36" s="215">
        <f>('[2]Лист 1'!$F$471+'[2]Лист 1'!$F$472)/1000</f>
        <v>3840</v>
      </c>
      <c r="O36" s="382">
        <v>3840</v>
      </c>
      <c r="P36" s="382">
        <f t="shared" si="4"/>
        <v>0</v>
      </c>
    </row>
    <row r="37" spans="1:18" ht="58.5" customHeight="1" x14ac:dyDescent="0.25">
      <c r="A37" s="679" t="s">
        <v>134</v>
      </c>
      <c r="B37" s="587" t="s">
        <v>132</v>
      </c>
      <c r="C37" s="690" t="s">
        <v>156</v>
      </c>
      <c r="D37" s="140" t="s">
        <v>9</v>
      </c>
      <c r="E37" s="141">
        <v>15000</v>
      </c>
      <c r="F37" s="142">
        <f t="shared" ref="F37:F39" si="10">SUM(G37:K37)</f>
        <v>60030.644</v>
      </c>
      <c r="G37" s="141">
        <f>7000+5000</f>
        <v>12000</v>
      </c>
      <c r="H37" s="143">
        <v>12030.644</v>
      </c>
      <c r="I37" s="141">
        <f t="shared" ref="I37:K37" si="11">7000+5000</f>
        <v>12000</v>
      </c>
      <c r="J37" s="141">
        <f t="shared" si="11"/>
        <v>12000</v>
      </c>
      <c r="K37" s="141">
        <f t="shared" si="11"/>
        <v>12000</v>
      </c>
      <c r="L37" s="492" t="s">
        <v>265</v>
      </c>
      <c r="M37" s="589" t="s">
        <v>28</v>
      </c>
      <c r="N37" s="215">
        <f>(SUM('[2]Лист 1'!$F$493:$F$499)+'[2]Лист 1'!$F$285)/1000</f>
        <v>12030.644</v>
      </c>
      <c r="O37" s="382">
        <v>12000</v>
      </c>
      <c r="P37" s="382">
        <f t="shared" si="4"/>
        <v>30.644000000000233</v>
      </c>
    </row>
    <row r="38" spans="1:18" ht="93.75" x14ac:dyDescent="0.25">
      <c r="A38" s="688"/>
      <c r="B38" s="668"/>
      <c r="C38" s="691"/>
      <c r="D38" s="140" t="s">
        <v>311</v>
      </c>
      <c r="E38" s="141">
        <v>0</v>
      </c>
      <c r="F38" s="142">
        <f t="shared" si="10"/>
        <v>12030.644</v>
      </c>
      <c r="G38" s="141">
        <v>0</v>
      </c>
      <c r="H38" s="143">
        <v>12030.644</v>
      </c>
      <c r="I38" s="141">
        <v>0</v>
      </c>
      <c r="J38" s="141">
        <v>0</v>
      </c>
      <c r="K38" s="141">
        <v>0</v>
      </c>
      <c r="L38" s="686"/>
      <c r="M38" s="590"/>
      <c r="N38" s="215">
        <f>N37</f>
        <v>12030.644</v>
      </c>
      <c r="O38" s="382">
        <v>12000</v>
      </c>
      <c r="P38" s="382">
        <f t="shared" si="4"/>
        <v>30.644000000000233</v>
      </c>
    </row>
    <row r="39" spans="1:18" ht="56.25" customHeight="1" x14ac:dyDescent="0.25">
      <c r="A39" s="680"/>
      <c r="B39" s="588"/>
      <c r="C39" s="692"/>
      <c r="D39" s="140" t="s">
        <v>5</v>
      </c>
      <c r="E39" s="241">
        <v>15154</v>
      </c>
      <c r="F39" s="242">
        <f t="shared" si="10"/>
        <v>29226</v>
      </c>
      <c r="G39" s="241">
        <v>14689</v>
      </c>
      <c r="H39" s="243">
        <v>14537</v>
      </c>
      <c r="I39" s="241">
        <v>0</v>
      </c>
      <c r="J39" s="241">
        <v>0</v>
      </c>
      <c r="K39" s="241">
        <v>0</v>
      </c>
      <c r="L39" s="493"/>
      <c r="M39" s="591"/>
      <c r="N39" s="215">
        <f>('[2]Лист 1'!$F$284+'[2]Лист 1'!$F$491+'[2]Лист 1'!$F$492)/1000</f>
        <v>14537</v>
      </c>
      <c r="O39" s="382">
        <v>14537</v>
      </c>
      <c r="P39" s="382">
        <f t="shared" si="4"/>
        <v>0</v>
      </c>
      <c r="Q39" s="96"/>
    </row>
    <row r="40" spans="1:18" ht="18.75" x14ac:dyDescent="0.25">
      <c r="A40" s="708" t="s">
        <v>58</v>
      </c>
      <c r="B40" s="709"/>
      <c r="C40" s="709"/>
      <c r="D40" s="709"/>
      <c r="E40" s="203">
        <f>E41+E42+E44</f>
        <v>122682.174</v>
      </c>
      <c r="F40" s="203">
        <f t="shared" ref="F40:G40" si="12">F41+F42+F44</f>
        <v>617630.69400000013</v>
      </c>
      <c r="G40" s="203">
        <f t="shared" si="12"/>
        <v>128410.65000000001</v>
      </c>
      <c r="H40" s="203">
        <f>H41+H42+H44</f>
        <v>137375.18700000001</v>
      </c>
      <c r="I40" s="203">
        <f t="shared" ref="I40:K40" si="13">I41+I42+I44</f>
        <v>117804.61900000001</v>
      </c>
      <c r="J40" s="203">
        <f t="shared" si="13"/>
        <v>117849.61900000001</v>
      </c>
      <c r="K40" s="203">
        <f t="shared" si="13"/>
        <v>116190.61900000001</v>
      </c>
      <c r="L40" s="245"/>
      <c r="M40" s="246"/>
      <c r="N40" s="370"/>
      <c r="O40" s="370"/>
      <c r="P40" s="370"/>
    </row>
    <row r="41" spans="1:18" ht="18.75" x14ac:dyDescent="0.25">
      <c r="A41" s="706" t="s">
        <v>5</v>
      </c>
      <c r="B41" s="707"/>
      <c r="C41" s="707"/>
      <c r="D41" s="707"/>
      <c r="E41" s="202">
        <f>E10+E31+E34</f>
        <v>16342</v>
      </c>
      <c r="F41" s="244">
        <f>SUM(G41:K41)</f>
        <v>36506</v>
      </c>
      <c r="G41" s="202">
        <f>G10+G31+G34</f>
        <v>17050</v>
      </c>
      <c r="H41" s="203">
        <f>H10+H31+H34</f>
        <v>16183</v>
      </c>
      <c r="I41" s="202">
        <f>I10+I31+I34</f>
        <v>1614</v>
      </c>
      <c r="J41" s="202">
        <f>J10+J31+J34</f>
        <v>1659</v>
      </c>
      <c r="K41" s="202">
        <f>K10+K31+K34</f>
        <v>0</v>
      </c>
      <c r="L41" s="247"/>
      <c r="M41" s="248"/>
      <c r="N41" s="386">
        <f>G13+G24+G32+G39</f>
        <v>17050</v>
      </c>
      <c r="O41" s="386">
        <f t="shared" ref="O41:R41" si="14">H13+H24+H32+H39</f>
        <v>15994</v>
      </c>
      <c r="P41" s="386">
        <f t="shared" si="14"/>
        <v>1614</v>
      </c>
      <c r="Q41" s="386">
        <f t="shared" si="14"/>
        <v>1659</v>
      </c>
      <c r="R41" s="386">
        <f t="shared" si="14"/>
        <v>0</v>
      </c>
    </row>
    <row r="42" spans="1:18" ht="18.75" x14ac:dyDescent="0.25">
      <c r="A42" s="706" t="s">
        <v>9</v>
      </c>
      <c r="B42" s="707"/>
      <c r="C42" s="707"/>
      <c r="D42" s="707"/>
      <c r="E42" s="202">
        <f>E11+E35</f>
        <v>97506.72</v>
      </c>
      <c r="F42" s="244">
        <f>SUM(G42:K42)</f>
        <v>536942.89400000009</v>
      </c>
      <c r="G42" s="202">
        <f>G11+G35</f>
        <v>102173.6</v>
      </c>
      <c r="H42" s="203">
        <f>H11+H35</f>
        <v>110387.93700000001</v>
      </c>
      <c r="I42" s="202">
        <f>I11+I35</f>
        <v>108127.11900000001</v>
      </c>
      <c r="J42" s="202">
        <f>J11+J35</f>
        <v>108127.11900000001</v>
      </c>
      <c r="K42" s="202">
        <f>K11+K35</f>
        <v>108127.11900000001</v>
      </c>
      <c r="L42" s="247"/>
      <c r="M42" s="248"/>
      <c r="N42" s="386">
        <f>G14+G17+G18+G20+G21+G22+G23+G25+G26+G36+G37</f>
        <v>102173.6</v>
      </c>
      <c r="O42" s="386">
        <f t="shared" ref="O42:R42" si="15">H14+H17+H18+H20+H21+H22+H23+H25+H26+H36+H37</f>
        <v>110271.93700000001</v>
      </c>
      <c r="P42" s="386">
        <f t="shared" si="15"/>
        <v>108127.11900000001</v>
      </c>
      <c r="Q42" s="386">
        <f t="shared" si="15"/>
        <v>108127.11900000001</v>
      </c>
      <c r="R42" s="386">
        <f t="shared" si="15"/>
        <v>108127.11900000001</v>
      </c>
    </row>
    <row r="43" spans="1:18" ht="18.75" x14ac:dyDescent="0.25">
      <c r="A43" s="706" t="s">
        <v>311</v>
      </c>
      <c r="B43" s="707"/>
      <c r="C43" s="707"/>
      <c r="D43" s="707"/>
      <c r="E43" s="202">
        <v>0</v>
      </c>
      <c r="F43" s="244">
        <f>SUM(G43:K43)</f>
        <v>12146.644</v>
      </c>
      <c r="G43" s="202">
        <v>0</v>
      </c>
      <c r="H43" s="203">
        <f>H38+H29</f>
        <v>12146.644</v>
      </c>
      <c r="I43" s="202">
        <v>0</v>
      </c>
      <c r="J43" s="202">
        <v>0</v>
      </c>
      <c r="K43" s="202">
        <v>0</v>
      </c>
      <c r="L43" s="247"/>
      <c r="M43" s="248"/>
      <c r="N43" s="386">
        <f>G38</f>
        <v>0</v>
      </c>
      <c r="O43" s="386">
        <f t="shared" ref="O43:R43" si="16">H38</f>
        <v>12030.644</v>
      </c>
      <c r="P43" s="386">
        <f t="shared" si="16"/>
        <v>0</v>
      </c>
      <c r="Q43" s="386">
        <f t="shared" si="16"/>
        <v>0</v>
      </c>
      <c r="R43" s="386">
        <f t="shared" si="16"/>
        <v>0</v>
      </c>
    </row>
    <row r="44" spans="1:18" ht="19.5" thickBot="1" x14ac:dyDescent="0.35">
      <c r="A44" s="712" t="s">
        <v>51</v>
      </c>
      <c r="B44" s="713"/>
      <c r="C44" s="713"/>
      <c r="D44" s="713"/>
      <c r="E44" s="249">
        <f>E12</f>
        <v>8833.4539999999997</v>
      </c>
      <c r="F44" s="250">
        <f>SUM(G44:K44)</f>
        <v>44181.8</v>
      </c>
      <c r="G44" s="249">
        <f>G12</f>
        <v>9187.0500000000011</v>
      </c>
      <c r="H44" s="251">
        <f>H12</f>
        <v>10804.250000000002</v>
      </c>
      <c r="I44" s="249">
        <f>I12</f>
        <v>8063.5</v>
      </c>
      <c r="J44" s="249">
        <f>J12</f>
        <v>8063.5</v>
      </c>
      <c r="K44" s="249">
        <f>K12</f>
        <v>8063.5</v>
      </c>
      <c r="L44" s="252"/>
      <c r="M44" s="253"/>
      <c r="N44" s="385">
        <f>G16+G19</f>
        <v>9187.0500000000011</v>
      </c>
      <c r="O44" s="385">
        <f t="shared" ref="O44:R44" si="17">H16+H19</f>
        <v>10804.250000000002</v>
      </c>
      <c r="P44" s="385">
        <f t="shared" si="17"/>
        <v>8063.5</v>
      </c>
      <c r="Q44" s="385">
        <f t="shared" si="17"/>
        <v>8063.5</v>
      </c>
      <c r="R44" s="385">
        <f t="shared" si="17"/>
        <v>8063.5</v>
      </c>
    </row>
    <row r="45" spans="1:18" x14ac:dyDescent="0.25">
      <c r="F45" s="98"/>
    </row>
    <row r="46" spans="1:18" x14ac:dyDescent="0.25">
      <c r="H46" s="99"/>
    </row>
    <row r="47" spans="1:18" ht="18.75" x14ac:dyDescent="0.3">
      <c r="B47" s="477" t="s">
        <v>86</v>
      </c>
      <c r="C47" s="478"/>
      <c r="D47" s="478" t="s">
        <v>86</v>
      </c>
      <c r="E47" s="255">
        <v>0</v>
      </c>
      <c r="F47" s="256">
        <f>G47+H47+I47+J47+K47</f>
        <v>26503.239999999998</v>
      </c>
      <c r="G47" s="257">
        <f>G39</f>
        <v>14689</v>
      </c>
      <c r="H47" s="257">
        <f>H39-2722.76</f>
        <v>11814.24</v>
      </c>
      <c r="I47" s="257">
        <f t="shared" ref="I47:K47" si="18">I39</f>
        <v>0</v>
      </c>
      <c r="J47" s="257">
        <f t="shared" si="18"/>
        <v>0</v>
      </c>
      <c r="K47" s="257">
        <f t="shared" si="18"/>
        <v>0</v>
      </c>
    </row>
    <row r="48" spans="1:18" ht="18.75" x14ac:dyDescent="0.3">
      <c r="B48" s="477" t="s">
        <v>94</v>
      </c>
      <c r="C48" s="478"/>
      <c r="D48" s="478"/>
      <c r="E48" s="255">
        <v>0</v>
      </c>
      <c r="F48" s="256">
        <f>G48+H48+I48+J48+K48</f>
        <v>25000</v>
      </c>
      <c r="G48" s="257">
        <v>5000</v>
      </c>
      <c r="H48" s="255">
        <v>5000</v>
      </c>
      <c r="I48" s="255">
        <v>5000</v>
      </c>
      <c r="J48" s="257">
        <v>5000</v>
      </c>
      <c r="K48" s="257">
        <v>5000</v>
      </c>
      <c r="L48" s="7" t="s">
        <v>249</v>
      </c>
    </row>
    <row r="49" spans="2:11" ht="18.75" x14ac:dyDescent="0.3">
      <c r="B49" s="529" t="s">
        <v>87</v>
      </c>
      <c r="C49" s="530"/>
      <c r="D49" s="530"/>
      <c r="E49" s="258">
        <f t="shared" ref="E49" si="19">E48</f>
        <v>0</v>
      </c>
      <c r="F49" s="258">
        <f>F47+F48</f>
        <v>51503.24</v>
      </c>
      <c r="G49" s="258">
        <f>G47+G48</f>
        <v>19689</v>
      </c>
      <c r="H49" s="258">
        <f t="shared" ref="H49:K49" si="20">H47+H48</f>
        <v>16814.239999999998</v>
      </c>
      <c r="I49" s="258">
        <f t="shared" si="20"/>
        <v>5000</v>
      </c>
      <c r="J49" s="258">
        <f t="shared" si="20"/>
        <v>5000</v>
      </c>
      <c r="K49" s="258">
        <f t="shared" si="20"/>
        <v>5000</v>
      </c>
    </row>
    <row r="50" spans="2:11" ht="18.75" x14ac:dyDescent="0.3">
      <c r="B50" s="477" t="s">
        <v>5</v>
      </c>
      <c r="C50" s="478"/>
      <c r="D50" s="478"/>
      <c r="E50" s="257">
        <f>E41</f>
        <v>16342</v>
      </c>
      <c r="F50" s="256">
        <f t="shared" ref="F50:F52" si="21">SUM(G50:K50)</f>
        <v>10002.76</v>
      </c>
      <c r="G50" s="257">
        <f>G10+G31</f>
        <v>2361</v>
      </c>
      <c r="H50" s="257">
        <f>H10+H31+2722.76</f>
        <v>4368.76</v>
      </c>
      <c r="I50" s="257">
        <f>I10+I31</f>
        <v>1614</v>
      </c>
      <c r="J50" s="257">
        <f>J10+J31</f>
        <v>1659</v>
      </c>
      <c r="K50" s="257">
        <f>K10+K31</f>
        <v>0</v>
      </c>
    </row>
    <row r="51" spans="2:11" ht="18.75" x14ac:dyDescent="0.3">
      <c r="B51" s="477" t="s">
        <v>9</v>
      </c>
      <c r="C51" s="478"/>
      <c r="D51" s="478"/>
      <c r="E51" s="257">
        <f>E42</f>
        <v>97506.72</v>
      </c>
      <c r="F51" s="256">
        <f>SUM(G51:K51)</f>
        <v>511942.89400000003</v>
      </c>
      <c r="G51" s="257">
        <f>G42-G48</f>
        <v>97173.6</v>
      </c>
      <c r="H51" s="257">
        <f>H42-H48</f>
        <v>105387.93700000001</v>
      </c>
      <c r="I51" s="257">
        <f>I42-I48</f>
        <v>103127.11900000001</v>
      </c>
      <c r="J51" s="257">
        <f>J42-J48</f>
        <v>103127.11900000001</v>
      </c>
      <c r="K51" s="257">
        <f>K42-K48</f>
        <v>103127.11900000001</v>
      </c>
    </row>
    <row r="52" spans="2:11" ht="18.75" x14ac:dyDescent="0.3">
      <c r="B52" s="477" t="s">
        <v>51</v>
      </c>
      <c r="C52" s="478"/>
      <c r="D52" s="478"/>
      <c r="E52" s="257">
        <f>E44</f>
        <v>8833.4539999999997</v>
      </c>
      <c r="F52" s="256">
        <f t="shared" si="21"/>
        <v>44181.8</v>
      </c>
      <c r="G52" s="257">
        <f>G44</f>
        <v>9187.0500000000011</v>
      </c>
      <c r="H52" s="255">
        <f>H44</f>
        <v>10804.250000000002</v>
      </c>
      <c r="I52" s="255">
        <f>I44</f>
        <v>8063.5</v>
      </c>
      <c r="J52" s="257">
        <f>J44</f>
        <v>8063.5</v>
      </c>
      <c r="K52" s="257">
        <f>K44</f>
        <v>8063.5</v>
      </c>
    </row>
    <row r="53" spans="2:11" ht="18.75" x14ac:dyDescent="0.3">
      <c r="B53" s="529" t="s">
        <v>99</v>
      </c>
      <c r="C53" s="530"/>
      <c r="D53" s="530"/>
      <c r="E53" s="256">
        <f>SUM(E50:E52)</f>
        <v>122682.174</v>
      </c>
      <c r="F53" s="256">
        <f>SUM(G53:K53)</f>
        <v>566127.45400000003</v>
      </c>
      <c r="G53" s="258">
        <f>SUM(G50:G52)</f>
        <v>108721.65000000001</v>
      </c>
      <c r="H53" s="258">
        <f>SUM(H50:H52)</f>
        <v>120560.947</v>
      </c>
      <c r="I53" s="258">
        <f>SUM(I50:I52)</f>
        <v>112804.61900000001</v>
      </c>
      <c r="J53" s="258">
        <f>SUM(J50:J52)</f>
        <v>112849.61900000001</v>
      </c>
      <c r="K53" s="258">
        <f>SUM(K50:K52)</f>
        <v>111190.61900000001</v>
      </c>
    </row>
    <row r="55" spans="2:11" x14ac:dyDescent="0.25">
      <c r="H55" s="99"/>
    </row>
  </sheetData>
  <mergeCells count="58">
    <mergeCell ref="B47:D47"/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7:M39"/>
    <mergeCell ref="M33:M35"/>
    <mergeCell ref="L37:L39"/>
    <mergeCell ref="C13:C16"/>
    <mergeCell ref="L13:L16"/>
    <mergeCell ref="M13:M16"/>
    <mergeCell ref="M30:M31"/>
    <mergeCell ref="L18:L19"/>
    <mergeCell ref="C30:C31"/>
    <mergeCell ref="M27:M29"/>
    <mergeCell ref="B9:B12"/>
    <mergeCell ref="C9:C12"/>
    <mergeCell ref="B4:B6"/>
    <mergeCell ref="C4:C6"/>
    <mergeCell ref="L33:L35"/>
    <mergeCell ref="L30:L31"/>
    <mergeCell ref="B13:B16"/>
    <mergeCell ref="D4:D6"/>
    <mergeCell ref="F4:F6"/>
    <mergeCell ref="L27:L29"/>
    <mergeCell ref="B52:D52"/>
    <mergeCell ref="B53:D53"/>
    <mergeCell ref="B48:D48"/>
    <mergeCell ref="B49:D49"/>
    <mergeCell ref="B50:D50"/>
    <mergeCell ref="B51:D51"/>
    <mergeCell ref="A44:D44"/>
    <mergeCell ref="C33:C35"/>
    <mergeCell ref="B33:B35"/>
    <mergeCell ref="A33:A35"/>
    <mergeCell ref="B37:B39"/>
    <mergeCell ref="A43:D43"/>
    <mergeCell ref="A13:A16"/>
    <mergeCell ref="A30:A31"/>
    <mergeCell ref="A42:D42"/>
    <mergeCell ref="A41:D41"/>
    <mergeCell ref="C37:C39"/>
    <mergeCell ref="A40:D40"/>
    <mergeCell ref="A37:A39"/>
    <mergeCell ref="B30:B31"/>
    <mergeCell ref="A27:A29"/>
    <mergeCell ref="B27:B29"/>
    <mergeCell ref="C27:C29"/>
  </mergeCells>
  <pageMargins left="0.19685039370078741" right="0.19685039370078741" top="0.19685039370078741" bottom="0.19685039370078741" header="0" footer="0"/>
  <pageSetup paperSize="9" scale="47" fitToHeight="0" orientation="landscape" r:id="rId1"/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7"/>
  <sheetViews>
    <sheetView tabSelected="1" view="pageBreakPreview" zoomScale="70" zoomScaleNormal="70" zoomScaleSheetLayoutView="70" workbookViewId="0">
      <pane xSplit="2" ySplit="7" topLeftCell="D8" activePane="bottomRight" state="frozen"/>
      <selection activeCell="H33" sqref="H33"/>
      <selection pane="topRight" activeCell="H33" sqref="H33"/>
      <selection pane="bottomLeft" activeCell="H33" sqref="H33"/>
      <selection pane="bottomRight" activeCell="B4" sqref="B4:B5"/>
    </sheetView>
  </sheetViews>
  <sheetFormatPr defaultColWidth="9.140625" defaultRowHeight="15" x14ac:dyDescent="0.25"/>
  <cols>
    <col min="1" max="1" width="6.7109375" style="7" customWidth="1"/>
    <col min="2" max="2" width="67.42578125" style="7" customWidth="1"/>
    <col min="3" max="3" width="18.5703125" style="7" customWidth="1"/>
    <col min="4" max="4" width="32.85546875" style="7" customWidth="1"/>
    <col min="5" max="5" width="21.28515625" style="7" customWidth="1"/>
    <col min="6" max="6" width="17.7109375" style="102" customWidth="1"/>
    <col min="7" max="7" width="15.85546875" style="7" customWidth="1"/>
    <col min="8" max="9" width="15.85546875" style="103" customWidth="1"/>
    <col min="10" max="11" width="15.85546875" style="7" customWidth="1"/>
    <col min="12" max="12" width="26.5703125" style="7" customWidth="1"/>
    <col min="13" max="13" width="42" style="7" customWidth="1"/>
    <col min="14" max="14" width="31" style="7" hidden="1" customWidth="1"/>
    <col min="15" max="15" width="27.140625" style="7" hidden="1" customWidth="1"/>
    <col min="16" max="16" width="24.42578125" style="7" hidden="1" customWidth="1"/>
    <col min="17" max="17" width="50.5703125" style="7" hidden="1" customWidth="1"/>
    <col min="18" max="16384" width="9.140625" style="7"/>
  </cols>
  <sheetData>
    <row r="1" spans="1:18" ht="15.6" x14ac:dyDescent="0.3">
      <c r="A1" s="1"/>
      <c r="B1" s="2"/>
      <c r="C1" s="3"/>
      <c r="D1" s="2"/>
      <c r="E1" s="2"/>
      <c r="F1" s="104"/>
      <c r="G1" s="2"/>
      <c r="H1" s="5"/>
      <c r="I1" s="5"/>
      <c r="J1" s="6"/>
      <c r="K1" s="6"/>
      <c r="L1" s="6"/>
      <c r="M1" s="6"/>
      <c r="N1" s="6"/>
      <c r="O1" s="6"/>
      <c r="P1" s="6"/>
    </row>
    <row r="2" spans="1:18" ht="9" customHeight="1" x14ac:dyDescent="0.25">
      <c r="A2" s="1"/>
      <c r="B2" s="8"/>
      <c r="C2" s="9"/>
      <c r="D2" s="10"/>
      <c r="E2" s="10"/>
      <c r="F2" s="105"/>
      <c r="G2" s="12"/>
      <c r="H2" s="13"/>
      <c r="I2" s="13"/>
      <c r="J2" s="12"/>
      <c r="K2" s="12"/>
      <c r="L2" s="566"/>
      <c r="M2" s="566"/>
      <c r="N2" s="422"/>
      <c r="O2" s="422"/>
      <c r="P2" s="422"/>
    </row>
    <row r="3" spans="1:18" ht="6" customHeight="1" thickBot="1" x14ac:dyDescent="0.3">
      <c r="A3" s="1"/>
      <c r="B3" s="8"/>
      <c r="C3" s="9"/>
      <c r="D3" s="10"/>
      <c r="E3" s="10"/>
      <c r="F3" s="105"/>
      <c r="G3" s="12"/>
      <c r="H3" s="13"/>
      <c r="I3" s="13"/>
      <c r="J3" s="12"/>
      <c r="K3" s="12"/>
      <c r="L3" s="422"/>
      <c r="M3" s="422"/>
      <c r="N3" s="422"/>
      <c r="O3" s="422"/>
      <c r="P3" s="422"/>
    </row>
    <row r="4" spans="1:18" ht="29.25" customHeight="1" x14ac:dyDescent="0.25">
      <c r="A4" s="789" t="s">
        <v>1</v>
      </c>
      <c r="B4" s="781" t="s">
        <v>14</v>
      </c>
      <c r="C4" s="781" t="s">
        <v>0</v>
      </c>
      <c r="D4" s="781" t="s">
        <v>15</v>
      </c>
      <c r="E4" s="781" t="s">
        <v>164</v>
      </c>
      <c r="F4" s="779" t="s">
        <v>16</v>
      </c>
      <c r="G4" s="783" t="s">
        <v>49</v>
      </c>
      <c r="H4" s="784"/>
      <c r="I4" s="784"/>
      <c r="J4" s="784"/>
      <c r="K4" s="785"/>
      <c r="L4" s="781" t="s">
        <v>17</v>
      </c>
      <c r="M4" s="774" t="s">
        <v>7</v>
      </c>
      <c r="N4" s="371"/>
      <c r="O4" s="371"/>
      <c r="P4" s="371"/>
    </row>
    <row r="5" spans="1:18" ht="57" customHeight="1" x14ac:dyDescent="0.25">
      <c r="A5" s="790"/>
      <c r="B5" s="782"/>
      <c r="C5" s="782"/>
      <c r="D5" s="782"/>
      <c r="E5" s="782"/>
      <c r="F5" s="780"/>
      <c r="G5" s="259" t="s">
        <v>165</v>
      </c>
      <c r="H5" s="260" t="s">
        <v>47</v>
      </c>
      <c r="I5" s="162" t="s">
        <v>157</v>
      </c>
      <c r="J5" s="259" t="s">
        <v>158</v>
      </c>
      <c r="K5" s="259" t="s">
        <v>159</v>
      </c>
      <c r="L5" s="782"/>
      <c r="M5" s="775"/>
      <c r="N5" s="371" t="s">
        <v>336</v>
      </c>
      <c r="O5" s="371" t="s">
        <v>337</v>
      </c>
      <c r="P5" s="371"/>
    </row>
    <row r="6" spans="1:18" ht="18.75" x14ac:dyDescent="0.25">
      <c r="A6" s="18" t="s">
        <v>29</v>
      </c>
      <c r="B6" s="19">
        <v>2</v>
      </c>
      <c r="C6" s="19" t="s">
        <v>18</v>
      </c>
      <c r="D6" s="19" t="s">
        <v>144</v>
      </c>
      <c r="E6" s="19" t="s">
        <v>19</v>
      </c>
      <c r="F6" s="20" t="s">
        <v>141</v>
      </c>
      <c r="G6" s="19" t="s">
        <v>20</v>
      </c>
      <c r="H6" s="21" t="s">
        <v>142</v>
      </c>
      <c r="I6" s="19" t="s">
        <v>21</v>
      </c>
      <c r="J6" s="19" t="s">
        <v>22</v>
      </c>
      <c r="K6" s="19" t="s">
        <v>30</v>
      </c>
      <c r="L6" s="19" t="s">
        <v>31</v>
      </c>
      <c r="M6" s="22" t="s">
        <v>50</v>
      </c>
      <c r="N6" s="357"/>
      <c r="O6" s="357"/>
      <c r="P6" s="357"/>
    </row>
    <row r="7" spans="1:18" ht="34.5" customHeight="1" x14ac:dyDescent="0.25">
      <c r="A7" s="261"/>
      <c r="B7" s="786" t="s">
        <v>53</v>
      </c>
      <c r="C7" s="786"/>
      <c r="D7" s="787"/>
      <c r="E7" s="787"/>
      <c r="F7" s="787"/>
      <c r="G7" s="787"/>
      <c r="H7" s="787"/>
      <c r="I7" s="787"/>
      <c r="J7" s="787"/>
      <c r="K7" s="787"/>
      <c r="L7" s="787"/>
      <c r="M7" s="788"/>
      <c r="N7" s="372"/>
      <c r="O7" s="372"/>
      <c r="P7" s="372"/>
    </row>
    <row r="8" spans="1:18" ht="84.75" customHeight="1" x14ac:dyDescent="0.25">
      <c r="A8" s="448"/>
      <c r="B8" s="145" t="s">
        <v>153</v>
      </c>
      <c r="C8" s="146" t="s">
        <v>156</v>
      </c>
      <c r="D8" s="147" t="s">
        <v>9</v>
      </c>
      <c r="E8" s="148">
        <f>E9+E10+E11+E12+E13+E14</f>
        <v>24031.141000000003</v>
      </c>
      <c r="F8" s="149">
        <f t="shared" ref="F8:F15" si="0">SUM(G8:K8)</f>
        <v>126900.01100000001</v>
      </c>
      <c r="G8" s="148">
        <f>G9+G10+G11+G12+G13+G14+G15</f>
        <v>27498.839</v>
      </c>
      <c r="H8" s="150">
        <f t="shared" ref="H8:K8" si="1">H9+H10+H11+H12+H13+H14</f>
        <v>24850.293000000001</v>
      </c>
      <c r="I8" s="148">
        <f>I9+I10+I11+I12+I13+I14</f>
        <v>24850.293000000001</v>
      </c>
      <c r="J8" s="148">
        <f t="shared" si="1"/>
        <v>24850.293000000001</v>
      </c>
      <c r="K8" s="148">
        <f t="shared" si="1"/>
        <v>24850.293000000001</v>
      </c>
      <c r="L8" s="262"/>
      <c r="M8" s="151"/>
      <c r="N8" s="373"/>
      <c r="O8" s="373"/>
      <c r="P8" s="373"/>
    </row>
    <row r="9" spans="1:18" ht="105" customHeight="1" x14ac:dyDescent="0.25">
      <c r="A9" s="152" t="s">
        <v>100</v>
      </c>
      <c r="B9" s="153" t="s">
        <v>76</v>
      </c>
      <c r="C9" s="263" t="s">
        <v>156</v>
      </c>
      <c r="D9" s="443" t="s">
        <v>32</v>
      </c>
      <c r="E9" s="154">
        <f>15799.6+68.618+20.723</f>
        <v>15888.941000000001</v>
      </c>
      <c r="F9" s="155">
        <f t="shared" si="0"/>
        <v>83884.759000000005</v>
      </c>
      <c r="G9" s="154">
        <v>17440.667000000001</v>
      </c>
      <c r="H9" s="156">
        <v>16611.023000000001</v>
      </c>
      <c r="I9" s="154">
        <v>16611.023000000001</v>
      </c>
      <c r="J9" s="154">
        <v>16611.023000000001</v>
      </c>
      <c r="K9" s="154">
        <v>16611.023000000001</v>
      </c>
      <c r="L9" s="264" t="s">
        <v>11</v>
      </c>
      <c r="M9" s="265" t="s">
        <v>80</v>
      </c>
      <c r="N9" s="148">
        <f>('[2]Лист 1'!$F$476+'[2]Лист 1'!$F$477)/1000</f>
        <v>16611.023000000001</v>
      </c>
      <c r="O9" s="156">
        <v>16611.023000000001</v>
      </c>
      <c r="P9" s="383">
        <f>N9-O9</f>
        <v>0</v>
      </c>
    </row>
    <row r="10" spans="1:18" ht="93.75" customHeight="1" x14ac:dyDescent="0.25">
      <c r="A10" s="157" t="s">
        <v>101</v>
      </c>
      <c r="B10" s="158" t="s">
        <v>77</v>
      </c>
      <c r="C10" s="263" t="s">
        <v>156</v>
      </c>
      <c r="D10" s="439" t="s">
        <v>32</v>
      </c>
      <c r="E10" s="159">
        <v>1.2</v>
      </c>
      <c r="F10" s="160">
        <f t="shared" si="0"/>
        <v>1.7520000000000002</v>
      </c>
      <c r="G10" s="159">
        <v>0.67200000000000004</v>
      </c>
      <c r="H10" s="161">
        <v>0.27</v>
      </c>
      <c r="I10" s="159">
        <v>0.27</v>
      </c>
      <c r="J10" s="159">
        <v>0.27</v>
      </c>
      <c r="K10" s="159">
        <v>0.27</v>
      </c>
      <c r="L10" s="440" t="s">
        <v>11</v>
      </c>
      <c r="M10" s="266" t="s">
        <v>80</v>
      </c>
      <c r="N10" s="148">
        <f>'[2]Лист 1'!$F$478/1000</f>
        <v>0.27</v>
      </c>
      <c r="O10" s="161">
        <v>0.27</v>
      </c>
      <c r="P10" s="383">
        <f t="shared" ref="P10:P27" si="2">N10-O10</f>
        <v>0</v>
      </c>
    </row>
    <row r="11" spans="1:18" ht="222" customHeight="1" x14ac:dyDescent="0.25">
      <c r="A11" s="267" t="s">
        <v>102</v>
      </c>
      <c r="B11" s="268" t="s">
        <v>78</v>
      </c>
      <c r="C11" s="263" t="s">
        <v>156</v>
      </c>
      <c r="D11" s="439" t="s">
        <v>32</v>
      </c>
      <c r="E11" s="159">
        <f>200-118</f>
        <v>82</v>
      </c>
      <c r="F11" s="160">
        <f t="shared" si="0"/>
        <v>0</v>
      </c>
      <c r="G11" s="159">
        <v>0</v>
      </c>
      <c r="H11" s="161">
        <v>0</v>
      </c>
      <c r="I11" s="159">
        <v>0</v>
      </c>
      <c r="J11" s="159">
        <v>0</v>
      </c>
      <c r="K11" s="159">
        <v>0</v>
      </c>
      <c r="L11" s="440" t="s">
        <v>239</v>
      </c>
      <c r="M11" s="266" t="s">
        <v>33</v>
      </c>
      <c r="N11" s="148">
        <v>0</v>
      </c>
      <c r="O11" s="161">
        <v>0</v>
      </c>
      <c r="P11" s="383">
        <f t="shared" si="2"/>
        <v>0</v>
      </c>
      <c r="Q11" s="50"/>
      <c r="R11" s="50"/>
    </row>
    <row r="12" spans="1:18" ht="117.75" customHeight="1" x14ac:dyDescent="0.25">
      <c r="A12" s="269" t="s">
        <v>103</v>
      </c>
      <c r="B12" s="270" t="s">
        <v>92</v>
      </c>
      <c r="C12" s="263" t="s">
        <v>156</v>
      </c>
      <c r="D12" s="437" t="s">
        <v>32</v>
      </c>
      <c r="E12" s="271">
        <v>400</v>
      </c>
      <c r="F12" s="155">
        <f t="shared" si="0"/>
        <v>2000</v>
      </c>
      <c r="G12" s="271">
        <v>400</v>
      </c>
      <c r="H12" s="272">
        <v>400</v>
      </c>
      <c r="I12" s="271">
        <v>400</v>
      </c>
      <c r="J12" s="271">
        <v>400</v>
      </c>
      <c r="K12" s="271">
        <v>400</v>
      </c>
      <c r="L12" s="440" t="s">
        <v>239</v>
      </c>
      <c r="M12" s="265" t="s">
        <v>91</v>
      </c>
      <c r="N12" s="148">
        <f>'[2]Лист 1'!$F$479/1000</f>
        <v>400</v>
      </c>
      <c r="O12" s="272">
        <v>400</v>
      </c>
      <c r="P12" s="383">
        <f t="shared" si="2"/>
        <v>0</v>
      </c>
      <c r="Q12" s="49"/>
      <c r="R12" s="49"/>
    </row>
    <row r="13" spans="1:18" ht="117" customHeight="1" x14ac:dyDescent="0.25">
      <c r="A13" s="269" t="s">
        <v>104</v>
      </c>
      <c r="B13" s="139" t="s">
        <v>79</v>
      </c>
      <c r="C13" s="263" t="s">
        <v>156</v>
      </c>
      <c r="D13" s="443" t="s">
        <v>32</v>
      </c>
      <c r="E13" s="271">
        <v>2753</v>
      </c>
      <c r="F13" s="155">
        <f t="shared" si="0"/>
        <v>14505</v>
      </c>
      <c r="G13" s="271">
        <v>2773</v>
      </c>
      <c r="H13" s="272">
        <v>2933</v>
      </c>
      <c r="I13" s="271">
        <v>2933</v>
      </c>
      <c r="J13" s="271">
        <v>2933</v>
      </c>
      <c r="K13" s="271">
        <v>2933</v>
      </c>
      <c r="L13" s="440" t="s">
        <v>239</v>
      </c>
      <c r="M13" s="265" t="s">
        <v>240</v>
      </c>
      <c r="N13" s="148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272">
        <v>2933</v>
      </c>
      <c r="P13" s="383">
        <f t="shared" si="2"/>
        <v>0</v>
      </c>
    </row>
    <row r="14" spans="1:18" ht="141.75" customHeight="1" x14ac:dyDescent="0.25">
      <c r="A14" s="269" t="s">
        <v>105</v>
      </c>
      <c r="B14" s="273" t="s">
        <v>89</v>
      </c>
      <c r="C14" s="263" t="s">
        <v>156</v>
      </c>
      <c r="D14" s="443" t="s">
        <v>32</v>
      </c>
      <c r="E14" s="271">
        <f>4626+118+162</f>
        <v>4906</v>
      </c>
      <c r="F14" s="155">
        <f t="shared" si="0"/>
        <v>24530</v>
      </c>
      <c r="G14" s="141">
        <v>4906</v>
      </c>
      <c r="H14" s="143">
        <v>4906</v>
      </c>
      <c r="I14" s="141">
        <v>4906</v>
      </c>
      <c r="J14" s="141">
        <v>4906</v>
      </c>
      <c r="K14" s="141">
        <v>4906</v>
      </c>
      <c r="L14" s="440" t="s">
        <v>239</v>
      </c>
      <c r="M14" s="265" t="s">
        <v>180</v>
      </c>
      <c r="N14" s="148">
        <f>'[2]Лист 1'!$F$481/1000</f>
        <v>4906</v>
      </c>
      <c r="O14" s="143">
        <v>4906</v>
      </c>
      <c r="P14" s="383">
        <f t="shared" si="2"/>
        <v>0</v>
      </c>
    </row>
    <row r="15" spans="1:18" ht="108.75" customHeight="1" x14ac:dyDescent="0.25">
      <c r="A15" s="222" t="s">
        <v>106</v>
      </c>
      <c r="B15" s="72" t="s">
        <v>193</v>
      </c>
      <c r="C15" s="263" t="s">
        <v>156</v>
      </c>
      <c r="D15" s="443" t="s">
        <v>32</v>
      </c>
      <c r="E15" s="141">
        <v>0</v>
      </c>
      <c r="F15" s="155">
        <f t="shared" si="0"/>
        <v>1978.5</v>
      </c>
      <c r="G15" s="141">
        <v>1978.5</v>
      </c>
      <c r="H15" s="143">
        <v>0</v>
      </c>
      <c r="I15" s="141">
        <v>0</v>
      </c>
      <c r="J15" s="141">
        <v>0</v>
      </c>
      <c r="K15" s="141">
        <v>0</v>
      </c>
      <c r="L15" s="440" t="s">
        <v>239</v>
      </c>
      <c r="M15" s="274" t="s">
        <v>241</v>
      </c>
      <c r="N15" s="148">
        <v>0</v>
      </c>
      <c r="O15" s="143">
        <v>0</v>
      </c>
      <c r="P15" s="383">
        <f t="shared" si="2"/>
        <v>0</v>
      </c>
    </row>
    <row r="16" spans="1:18" ht="36.75" customHeight="1" x14ac:dyDescent="0.25">
      <c r="A16" s="798"/>
      <c r="B16" s="801" t="s">
        <v>185</v>
      </c>
      <c r="C16" s="801" t="s">
        <v>156</v>
      </c>
      <c r="D16" s="147" t="s">
        <v>10</v>
      </c>
      <c r="E16" s="275">
        <f t="shared" ref="E16:J16" si="3">SUM(E17:E18)</f>
        <v>279825.12</v>
      </c>
      <c r="F16" s="276">
        <f t="shared" ref="F16:F27" si="4">SUM(G16:K16)</f>
        <v>931655.96799999999</v>
      </c>
      <c r="G16" s="275">
        <f t="shared" si="3"/>
        <v>244345.209</v>
      </c>
      <c r="H16" s="277">
        <f t="shared" si="3"/>
        <v>373065.92200000002</v>
      </c>
      <c r="I16" s="275">
        <f t="shared" si="3"/>
        <v>104748.27899999999</v>
      </c>
      <c r="J16" s="275">
        <f t="shared" si="3"/>
        <v>104748.27899999999</v>
      </c>
      <c r="K16" s="275">
        <f>SUM(K17:K18)</f>
        <v>104748.27899999999</v>
      </c>
      <c r="L16" s="776"/>
      <c r="M16" s="771"/>
      <c r="N16" s="148"/>
      <c r="O16" s="277"/>
      <c r="P16" s="383"/>
    </row>
    <row r="17" spans="1:21" ht="64.5" customHeight="1" x14ac:dyDescent="0.25">
      <c r="A17" s="799"/>
      <c r="B17" s="802"/>
      <c r="C17" s="802"/>
      <c r="D17" s="147" t="s">
        <v>9</v>
      </c>
      <c r="E17" s="278">
        <f>E19+E20+E21+E23+E24+E27</f>
        <v>93145.973999999987</v>
      </c>
      <c r="F17" s="276">
        <f t="shared" si="4"/>
        <v>798884.72699999996</v>
      </c>
      <c r="G17" s="278">
        <f t="shared" ref="G17:K17" si="5">G19+G20+G21+G23+G24+G27</f>
        <v>206317.139</v>
      </c>
      <c r="H17" s="279">
        <f>H19+H20+H21+H23+H24+H27</f>
        <v>278322.75099999999</v>
      </c>
      <c r="I17" s="278">
        <f>I19+I20+I21+I23+I24+I27</f>
        <v>104748.27899999999</v>
      </c>
      <c r="J17" s="278">
        <f t="shared" si="5"/>
        <v>104748.27899999999</v>
      </c>
      <c r="K17" s="278">
        <f t="shared" si="5"/>
        <v>104748.27899999999</v>
      </c>
      <c r="L17" s="777"/>
      <c r="M17" s="772"/>
      <c r="N17" s="148"/>
      <c r="O17" s="279"/>
      <c r="P17" s="383"/>
    </row>
    <row r="18" spans="1:21" ht="123" customHeight="1" x14ac:dyDescent="0.25">
      <c r="A18" s="800"/>
      <c r="B18" s="803"/>
      <c r="C18" s="803"/>
      <c r="D18" s="17" t="s">
        <v>93</v>
      </c>
      <c r="E18" s="278">
        <f t="shared" ref="E18:H18" si="6">E26</f>
        <v>186679.14600000001</v>
      </c>
      <c r="F18" s="276">
        <f t="shared" si="4"/>
        <v>132771.24100000001</v>
      </c>
      <c r="G18" s="278">
        <f t="shared" si="6"/>
        <v>38028.07</v>
      </c>
      <c r="H18" s="279">
        <f t="shared" si="6"/>
        <v>94743.171000000002</v>
      </c>
      <c r="I18" s="278">
        <f>I26+I22</f>
        <v>0</v>
      </c>
      <c r="J18" s="278">
        <f t="shared" ref="J18:K18" si="7">J26</f>
        <v>0</v>
      </c>
      <c r="K18" s="278">
        <f t="shared" si="7"/>
        <v>0</v>
      </c>
      <c r="L18" s="778"/>
      <c r="M18" s="773"/>
      <c r="N18" s="148"/>
      <c r="O18" s="279"/>
      <c r="P18" s="383"/>
    </row>
    <row r="19" spans="1:21" ht="70.5" customHeight="1" x14ac:dyDescent="0.25">
      <c r="A19" s="280" t="s">
        <v>118</v>
      </c>
      <c r="B19" s="281" t="s">
        <v>135</v>
      </c>
      <c r="C19" s="263" t="s">
        <v>156</v>
      </c>
      <c r="D19" s="282" t="s">
        <v>35</v>
      </c>
      <c r="E19" s="283">
        <v>59593.555999999997</v>
      </c>
      <c r="F19" s="284">
        <f t="shared" si="4"/>
        <v>319391.93300000002</v>
      </c>
      <c r="G19" s="283">
        <v>62202.173000000003</v>
      </c>
      <c r="H19" s="277">
        <f>70293.927+180</f>
        <v>70473.926999999996</v>
      </c>
      <c r="I19" s="283">
        <v>62238.610999999997</v>
      </c>
      <c r="J19" s="283">
        <v>62238.610999999997</v>
      </c>
      <c r="K19" s="283">
        <v>62238.610999999997</v>
      </c>
      <c r="L19" s="286" t="s">
        <v>11</v>
      </c>
      <c r="M19" s="287" t="s">
        <v>36</v>
      </c>
      <c r="N19" s="148">
        <f>'[2]Лист 1'!$I$503/1000</f>
        <v>70293.926999999996</v>
      </c>
      <c r="O19" s="377">
        <f>62238.611+1620.2+489.26+5796.5</f>
        <v>70144.570999999996</v>
      </c>
      <c r="P19" s="383">
        <f t="shared" si="2"/>
        <v>149.35599999999977</v>
      </c>
      <c r="Q19" s="7" t="s">
        <v>330</v>
      </c>
      <c r="R19" s="49" t="s">
        <v>355</v>
      </c>
      <c r="S19" s="49"/>
      <c r="T19" s="49"/>
      <c r="U19" s="49"/>
    </row>
    <row r="20" spans="1:21" ht="81" customHeight="1" x14ac:dyDescent="0.25">
      <c r="A20" s="280" t="s">
        <v>119</v>
      </c>
      <c r="B20" s="288" t="s">
        <v>181</v>
      </c>
      <c r="C20" s="263" t="s">
        <v>156</v>
      </c>
      <c r="D20" s="282" t="s">
        <v>35</v>
      </c>
      <c r="E20" s="283">
        <v>27783.599999999999</v>
      </c>
      <c r="F20" s="284">
        <f t="shared" si="4"/>
        <v>207318.34400000001</v>
      </c>
      <c r="G20" s="283">
        <v>37639.671999999999</v>
      </c>
      <c r="H20" s="277">
        <f>42329.668-180</f>
        <v>42149.667999999998</v>
      </c>
      <c r="I20" s="283">
        <v>42509.667999999998</v>
      </c>
      <c r="J20" s="283">
        <v>42509.667999999998</v>
      </c>
      <c r="K20" s="283">
        <v>42509.667999999998</v>
      </c>
      <c r="L20" s="454" t="s">
        <v>242</v>
      </c>
      <c r="M20" s="455" t="s">
        <v>137</v>
      </c>
      <c r="N20" s="148">
        <f>'[2]Лист 1'!$I$512/1000</f>
        <v>42329.667999999998</v>
      </c>
      <c r="O20" s="377">
        <v>42509.667999999998</v>
      </c>
      <c r="P20" s="383">
        <f t="shared" si="2"/>
        <v>-180</v>
      </c>
      <c r="R20" s="49" t="s">
        <v>356</v>
      </c>
      <c r="S20" s="49"/>
      <c r="T20" s="49"/>
    </row>
    <row r="21" spans="1:21" ht="68.25" customHeight="1" x14ac:dyDescent="0.25">
      <c r="A21" s="791" t="s">
        <v>120</v>
      </c>
      <c r="B21" s="794" t="s">
        <v>214</v>
      </c>
      <c r="C21" s="696" t="s">
        <v>156</v>
      </c>
      <c r="D21" s="282" t="s">
        <v>35</v>
      </c>
      <c r="E21" s="283">
        <v>4185.8180000000002</v>
      </c>
      <c r="F21" s="284">
        <f t="shared" si="4"/>
        <v>441</v>
      </c>
      <c r="G21" s="283">
        <v>0</v>
      </c>
      <c r="H21" s="285">
        <v>441</v>
      </c>
      <c r="I21" s="283">
        <v>0</v>
      </c>
      <c r="J21" s="283">
        <v>0</v>
      </c>
      <c r="K21" s="283">
        <v>0</v>
      </c>
      <c r="L21" s="804" t="s">
        <v>243</v>
      </c>
      <c r="M21" s="806" t="s">
        <v>37</v>
      </c>
      <c r="N21" s="148">
        <f>'[2]Лист 1'!$F$521/1000</f>
        <v>441</v>
      </c>
      <c r="O21" s="285">
        <v>441</v>
      </c>
      <c r="P21" s="383">
        <f t="shared" si="2"/>
        <v>0</v>
      </c>
    </row>
    <row r="22" spans="1:21" ht="119.25" customHeight="1" x14ac:dyDescent="0.25">
      <c r="A22" s="793"/>
      <c r="B22" s="796"/>
      <c r="C22" s="697"/>
      <c r="D22" s="282" t="s">
        <v>93</v>
      </c>
      <c r="E22" s="283">
        <v>0</v>
      </c>
      <c r="F22" s="284">
        <f t="shared" si="4"/>
        <v>0</v>
      </c>
      <c r="G22" s="283">
        <v>0</v>
      </c>
      <c r="H22" s="285">
        <v>0</v>
      </c>
      <c r="I22" s="283">
        <f>12980-12980</f>
        <v>0</v>
      </c>
      <c r="J22" s="283">
        <v>0</v>
      </c>
      <c r="K22" s="283">
        <v>0</v>
      </c>
      <c r="L22" s="805"/>
      <c r="M22" s="807"/>
      <c r="N22" s="148">
        <v>0</v>
      </c>
      <c r="O22" s="285">
        <v>0</v>
      </c>
      <c r="P22" s="383">
        <f t="shared" si="2"/>
        <v>0</v>
      </c>
    </row>
    <row r="23" spans="1:21" ht="64.5" customHeight="1" x14ac:dyDescent="0.25">
      <c r="A23" s="289" t="s">
        <v>121</v>
      </c>
      <c r="B23" s="290" t="s">
        <v>182</v>
      </c>
      <c r="C23" s="263" t="s">
        <v>156</v>
      </c>
      <c r="D23" s="282" t="s">
        <v>35</v>
      </c>
      <c r="E23" s="283">
        <v>368</v>
      </c>
      <c r="F23" s="284">
        <f t="shared" si="4"/>
        <v>370.30500000000001</v>
      </c>
      <c r="G23" s="283">
        <v>370.30500000000001</v>
      </c>
      <c r="H23" s="285">
        <v>0</v>
      </c>
      <c r="I23" s="283">
        <v>0</v>
      </c>
      <c r="J23" s="283">
        <v>0</v>
      </c>
      <c r="K23" s="283">
        <v>0</v>
      </c>
      <c r="L23" s="286" t="s">
        <v>244</v>
      </c>
      <c r="M23" s="291" t="s">
        <v>38</v>
      </c>
      <c r="N23" s="148">
        <v>0</v>
      </c>
      <c r="O23" s="285">
        <v>0</v>
      </c>
      <c r="P23" s="383">
        <f t="shared" si="2"/>
        <v>0</v>
      </c>
    </row>
    <row r="24" spans="1:21" ht="60.75" customHeight="1" x14ac:dyDescent="0.25">
      <c r="A24" s="791" t="s">
        <v>122</v>
      </c>
      <c r="B24" s="794" t="s">
        <v>183</v>
      </c>
      <c r="C24" s="696" t="s">
        <v>156</v>
      </c>
      <c r="D24" s="282" t="s">
        <v>35</v>
      </c>
      <c r="E24" s="283">
        <v>1065</v>
      </c>
      <c r="F24" s="284">
        <f t="shared" si="4"/>
        <v>271363.14500000002</v>
      </c>
      <c r="G24" s="283">
        <f>765.545+105339.444</f>
        <v>106104.989</v>
      </c>
      <c r="H24" s="285">
        <f>165226.77-395+426.386</f>
        <v>165258.15599999999</v>
      </c>
      <c r="I24" s="283">
        <v>0</v>
      </c>
      <c r="J24" s="283">
        <v>0</v>
      </c>
      <c r="K24" s="283">
        <v>0</v>
      </c>
      <c r="L24" s="804" t="s">
        <v>245</v>
      </c>
      <c r="M24" s="812" t="s">
        <v>246</v>
      </c>
      <c r="N24" s="148">
        <f>('[2]Лист 1'!$F$455+'[2]Лист 1'!$F$350)/1000</f>
        <v>164831.76999999999</v>
      </c>
      <c r="O24" s="285">
        <f>165226.77-395</f>
        <v>164831.76999999999</v>
      </c>
      <c r="P24" s="383">
        <f t="shared" si="2"/>
        <v>0</v>
      </c>
      <c r="R24" s="7" t="s">
        <v>358</v>
      </c>
    </row>
    <row r="25" spans="1:21" ht="93.75" x14ac:dyDescent="0.25">
      <c r="A25" s="792"/>
      <c r="B25" s="795"/>
      <c r="C25" s="797"/>
      <c r="D25" s="282" t="s">
        <v>311</v>
      </c>
      <c r="E25" s="283">
        <v>0</v>
      </c>
      <c r="F25" s="284">
        <f t="shared" si="4"/>
        <v>165258.15599999999</v>
      </c>
      <c r="G25" s="283">
        <v>0</v>
      </c>
      <c r="H25" s="285">
        <f>165226.77-395+426.386</f>
        <v>165258.15599999999</v>
      </c>
      <c r="I25" s="283">
        <v>0</v>
      </c>
      <c r="J25" s="283">
        <v>0</v>
      </c>
      <c r="K25" s="283">
        <v>0</v>
      </c>
      <c r="L25" s="811"/>
      <c r="M25" s="813"/>
      <c r="N25" s="148">
        <f>N24</f>
        <v>164831.76999999999</v>
      </c>
      <c r="O25" s="285">
        <f>165226.77-395</f>
        <v>164831.76999999999</v>
      </c>
      <c r="P25" s="383">
        <f t="shared" si="2"/>
        <v>0</v>
      </c>
      <c r="Q25" s="7" t="s">
        <v>325</v>
      </c>
      <c r="R25" s="7" t="s">
        <v>357</v>
      </c>
    </row>
    <row r="26" spans="1:21" ht="119.25" customHeight="1" x14ac:dyDescent="0.3">
      <c r="A26" s="793"/>
      <c r="B26" s="796"/>
      <c r="C26" s="697"/>
      <c r="D26" s="36" t="s">
        <v>93</v>
      </c>
      <c r="E26" s="283">
        <v>186679.14600000001</v>
      </c>
      <c r="F26" s="284">
        <f t="shared" si="4"/>
        <v>132771.24100000001</v>
      </c>
      <c r="G26" s="283">
        <v>38028.07</v>
      </c>
      <c r="H26" s="285">
        <f>96068.13-952.251-372.708</f>
        <v>94743.171000000002</v>
      </c>
      <c r="I26" s="283">
        <v>0</v>
      </c>
      <c r="J26" s="283">
        <v>0</v>
      </c>
      <c r="K26" s="283">
        <v>0</v>
      </c>
      <c r="L26" s="805"/>
      <c r="M26" s="814"/>
      <c r="N26" s="148">
        <f>('[2]Лист 1'!$F$349+'[2]Лист 1'!$F$454)/1000</f>
        <v>96068.13</v>
      </c>
      <c r="O26" s="377">
        <f>3000+42596+46477.13+3000+1490</f>
        <v>96563.13</v>
      </c>
      <c r="P26" s="383">
        <f t="shared" si="2"/>
        <v>-495</v>
      </c>
      <c r="Q26" s="392" t="s">
        <v>344</v>
      </c>
      <c r="R26" s="7" t="s">
        <v>359</v>
      </c>
    </row>
    <row r="27" spans="1:21" ht="93.75" x14ac:dyDescent="0.25">
      <c r="A27" s="289" t="s">
        <v>123</v>
      </c>
      <c r="B27" s="290" t="s">
        <v>184</v>
      </c>
      <c r="C27" s="282" t="s">
        <v>156</v>
      </c>
      <c r="D27" s="282" t="s">
        <v>35</v>
      </c>
      <c r="E27" s="283">
        <v>150</v>
      </c>
      <c r="F27" s="284">
        <f t="shared" si="4"/>
        <v>0</v>
      </c>
      <c r="G27" s="283">
        <v>0</v>
      </c>
      <c r="H27" s="285">
        <v>0</v>
      </c>
      <c r="I27" s="283">
        <v>0</v>
      </c>
      <c r="J27" s="283">
        <v>0</v>
      </c>
      <c r="K27" s="283">
        <v>0</v>
      </c>
      <c r="L27" s="286" t="s">
        <v>244</v>
      </c>
      <c r="M27" s="287" t="s">
        <v>138</v>
      </c>
      <c r="N27" s="148">
        <v>0</v>
      </c>
      <c r="O27" s="285">
        <v>0</v>
      </c>
      <c r="P27" s="383">
        <f t="shared" si="2"/>
        <v>0</v>
      </c>
      <c r="R27" s="50"/>
      <c r="S27" s="50"/>
      <c r="T27" s="50"/>
      <c r="U27" s="50"/>
    </row>
    <row r="28" spans="1:21" ht="18.75" x14ac:dyDescent="0.25">
      <c r="A28" s="815" t="s">
        <v>59</v>
      </c>
      <c r="B28" s="613"/>
      <c r="C28" s="613"/>
      <c r="D28" s="613"/>
      <c r="E28" s="199">
        <f t="shared" ref="E28:G28" si="8">E29+E31</f>
        <v>303856.261</v>
      </c>
      <c r="F28" s="199">
        <f>F29+F31</f>
        <v>1058555.9790000001</v>
      </c>
      <c r="G28" s="199">
        <f t="shared" si="8"/>
        <v>271844.04800000001</v>
      </c>
      <c r="H28" s="199">
        <f>H29+H31</f>
        <v>397916.21499999997</v>
      </c>
      <c r="I28" s="199">
        <f t="shared" ref="I28:K28" si="9">I29+I31</f>
        <v>129598.572</v>
      </c>
      <c r="J28" s="199">
        <f t="shared" si="9"/>
        <v>129598.572</v>
      </c>
      <c r="K28" s="199">
        <f t="shared" si="9"/>
        <v>129598.572</v>
      </c>
      <c r="L28" s="200"/>
      <c r="M28" s="292"/>
      <c r="N28" s="375"/>
      <c r="O28" s="375"/>
      <c r="P28" s="375"/>
    </row>
    <row r="29" spans="1:21" ht="18.75" x14ac:dyDescent="0.25">
      <c r="A29" s="810" t="s">
        <v>9</v>
      </c>
      <c r="B29" s="611"/>
      <c r="C29" s="611"/>
      <c r="D29" s="611"/>
      <c r="E29" s="202">
        <f>E8+E17</f>
        <v>117177.11499999999</v>
      </c>
      <c r="F29" s="244">
        <f>SUM(G29:K29)</f>
        <v>925784.73800000013</v>
      </c>
      <c r="G29" s="202">
        <f>G8+G17</f>
        <v>233815.978</v>
      </c>
      <c r="H29" s="203">
        <f>H8+H17</f>
        <v>303173.04399999999</v>
      </c>
      <c r="I29" s="202">
        <f>I8+I17</f>
        <v>129598.572</v>
      </c>
      <c r="J29" s="202">
        <f>J8+J17</f>
        <v>129598.572</v>
      </c>
      <c r="K29" s="202">
        <f>K8+K17</f>
        <v>129598.572</v>
      </c>
      <c r="L29" s="204"/>
      <c r="M29" s="293"/>
      <c r="N29" s="376"/>
      <c r="O29" s="376"/>
      <c r="P29" s="376"/>
    </row>
    <row r="30" spans="1:21" ht="18.75" x14ac:dyDescent="0.25">
      <c r="A30" s="810" t="s">
        <v>311</v>
      </c>
      <c r="B30" s="611"/>
      <c r="C30" s="611"/>
      <c r="D30" s="611"/>
      <c r="E30" s="202">
        <v>0</v>
      </c>
      <c r="F30" s="244">
        <f t="shared" ref="F30:F31" si="10">SUM(G30:K30)</f>
        <v>165258.15599999999</v>
      </c>
      <c r="G30" s="202">
        <v>0</v>
      </c>
      <c r="H30" s="203">
        <f>H25</f>
        <v>165258.15599999999</v>
      </c>
      <c r="I30" s="202">
        <v>0</v>
      </c>
      <c r="J30" s="202">
        <v>0</v>
      </c>
      <c r="K30" s="202">
        <v>0</v>
      </c>
      <c r="L30" s="204"/>
      <c r="M30" s="293"/>
      <c r="N30" s="376"/>
      <c r="O30" s="376"/>
      <c r="P30" s="376"/>
    </row>
    <row r="31" spans="1:21" ht="41.25" customHeight="1" thickBot="1" x14ac:dyDescent="0.35">
      <c r="A31" s="808" t="s">
        <v>93</v>
      </c>
      <c r="B31" s="809"/>
      <c r="C31" s="809"/>
      <c r="D31" s="809"/>
      <c r="E31" s="294">
        <f>E18</f>
        <v>186679.14600000001</v>
      </c>
      <c r="F31" s="244">
        <f t="shared" si="10"/>
        <v>132771.24100000001</v>
      </c>
      <c r="G31" s="294">
        <f>G18</f>
        <v>38028.07</v>
      </c>
      <c r="H31" s="295">
        <f>H18</f>
        <v>94743.171000000002</v>
      </c>
      <c r="I31" s="294">
        <f>I18</f>
        <v>0</v>
      </c>
      <c r="J31" s="294">
        <f>J18</f>
        <v>0</v>
      </c>
      <c r="K31" s="294">
        <f>K18</f>
        <v>0</v>
      </c>
      <c r="L31" s="252"/>
      <c r="M31" s="253"/>
      <c r="N31" s="360"/>
      <c r="O31" s="360"/>
      <c r="P31" s="360"/>
      <c r="S31" s="31"/>
      <c r="T31" s="31"/>
    </row>
    <row r="32" spans="1:21" ht="15.75" x14ac:dyDescent="0.25">
      <c r="A32" s="296"/>
      <c r="B32" s="296"/>
      <c r="C32" s="297"/>
      <c r="D32" s="297"/>
      <c r="E32" s="297"/>
      <c r="F32" s="298"/>
      <c r="G32" s="299"/>
      <c r="H32" s="300"/>
      <c r="I32" s="301"/>
      <c r="J32" s="301"/>
      <c r="K32" s="301"/>
      <c r="L32" s="296"/>
      <c r="M32" s="296"/>
      <c r="N32" s="296"/>
      <c r="O32" s="296"/>
      <c r="P32" s="296"/>
    </row>
    <row r="33" spans="3:11" ht="15.75" x14ac:dyDescent="0.25">
      <c r="E33" s="31"/>
      <c r="F33" s="98"/>
      <c r="G33" s="31"/>
      <c r="H33" s="302"/>
    </row>
    <row r="34" spans="3:11" ht="15.75" x14ac:dyDescent="0.25">
      <c r="C34" s="96"/>
      <c r="D34" s="96"/>
      <c r="E34" s="96"/>
      <c r="F34" s="303"/>
      <c r="G34" s="96"/>
      <c r="H34" s="304"/>
      <c r="I34" s="304"/>
      <c r="J34" s="96"/>
      <c r="K34" s="96"/>
    </row>
    <row r="35" spans="3:11" x14ac:dyDescent="0.25">
      <c r="E35" s="31"/>
    </row>
    <row r="36" spans="3:11" x14ac:dyDescent="0.25">
      <c r="E36" s="31"/>
      <c r="F36" s="305"/>
      <c r="G36" s="116"/>
      <c r="H36" s="213"/>
      <c r="I36" s="213"/>
      <c r="J36" s="116"/>
      <c r="K36" s="116"/>
    </row>
    <row r="37" spans="3:11" x14ac:dyDescent="0.25">
      <c r="E37" s="31"/>
      <c r="F37" s="305"/>
      <c r="G37" s="116"/>
      <c r="H37" s="213"/>
      <c r="I37" s="99"/>
      <c r="J37" s="31"/>
      <c r="K37" s="31"/>
    </row>
    <row r="38" spans="3:11" x14ac:dyDescent="0.25">
      <c r="E38" s="31"/>
      <c r="F38" s="305"/>
      <c r="G38" s="116"/>
      <c r="H38" s="213"/>
      <c r="I38" s="213"/>
      <c r="J38" s="116"/>
      <c r="K38" s="116"/>
    </row>
    <row r="39" spans="3:11" x14ac:dyDescent="0.25">
      <c r="E39" s="116"/>
      <c r="F39" s="305"/>
      <c r="G39" s="116"/>
      <c r="H39" s="213"/>
      <c r="I39" s="213"/>
      <c r="J39" s="116"/>
      <c r="K39" s="116"/>
    </row>
    <row r="40" spans="3:11" x14ac:dyDescent="0.25">
      <c r="F40" s="305"/>
      <c r="G40" s="116"/>
    </row>
    <row r="41" spans="3:11" x14ac:dyDescent="0.25">
      <c r="E41" s="116"/>
      <c r="F41" s="305"/>
      <c r="G41" s="116"/>
      <c r="H41" s="213"/>
      <c r="I41" s="213"/>
      <c r="J41" s="116"/>
      <c r="K41" s="116"/>
    </row>
    <row r="42" spans="3:11" x14ac:dyDescent="0.25">
      <c r="E42" s="116"/>
      <c r="F42" s="305"/>
      <c r="G42" s="116"/>
      <c r="H42" s="213"/>
      <c r="I42" s="213"/>
      <c r="J42" s="116"/>
      <c r="K42" s="116"/>
    </row>
    <row r="43" spans="3:11" x14ac:dyDescent="0.25">
      <c r="F43" s="305"/>
      <c r="G43" s="116"/>
      <c r="H43" s="213"/>
    </row>
    <row r="45" spans="3:11" x14ac:dyDescent="0.25">
      <c r="F45" s="305"/>
      <c r="G45" s="116"/>
      <c r="H45" s="213"/>
      <c r="I45" s="213"/>
      <c r="J45" s="116"/>
      <c r="K45" s="116"/>
    </row>
    <row r="46" spans="3:11" x14ac:dyDescent="0.25">
      <c r="F46" s="305"/>
      <c r="G46" s="116"/>
      <c r="H46" s="213"/>
      <c r="I46" s="213"/>
      <c r="J46" s="116"/>
      <c r="K46" s="116"/>
    </row>
    <row r="47" spans="3:11" x14ac:dyDescent="0.25">
      <c r="F47" s="98"/>
      <c r="G47" s="31"/>
      <c r="H47" s="99"/>
      <c r="I47" s="99"/>
      <c r="J47" s="31"/>
      <c r="K47" s="31"/>
    </row>
  </sheetData>
  <mergeCells count="30">
    <mergeCell ref="L21:L22"/>
    <mergeCell ref="M21:M22"/>
    <mergeCell ref="A31:D31"/>
    <mergeCell ref="A29:D29"/>
    <mergeCell ref="L24:L26"/>
    <mergeCell ref="M24:M26"/>
    <mergeCell ref="A28:D28"/>
    <mergeCell ref="A30:D30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</mergeCells>
  <pageMargins left="0.19685039370078741" right="0.19685039370078741" top="0.39370078740157483" bottom="0.39370078740157483" header="0" footer="0"/>
  <pageSetup paperSize="9" scale="46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76"/>
  <sheetViews>
    <sheetView view="pageBreakPreview" zoomScale="70" zoomScaleNormal="70" zoomScaleSheetLayoutView="70" workbookViewId="0">
      <pane xSplit="2" ySplit="7" topLeftCell="C8" activePane="bottomRight" state="frozen"/>
      <selection activeCell="H33" sqref="H33"/>
      <selection pane="topRight" activeCell="H33" sqref="H33"/>
      <selection pane="bottomLeft" activeCell="H33" sqref="H33"/>
      <selection pane="bottomRight" activeCell="B4" sqref="B4:B5"/>
    </sheetView>
  </sheetViews>
  <sheetFormatPr defaultColWidth="9.140625" defaultRowHeight="15" x14ac:dyDescent="0.25"/>
  <cols>
    <col min="1" max="1" width="6.7109375" style="7" customWidth="1"/>
    <col min="2" max="2" width="62.5703125" style="7" customWidth="1"/>
    <col min="3" max="3" width="18.5703125" style="7" customWidth="1"/>
    <col min="4" max="4" width="34.7109375" style="7" customWidth="1"/>
    <col min="5" max="5" width="20.5703125" style="7" customWidth="1"/>
    <col min="6" max="6" width="21" style="102" customWidth="1"/>
    <col min="7" max="7" width="18.5703125" style="7" customWidth="1"/>
    <col min="8" max="8" width="20.140625" style="103" customWidth="1"/>
    <col min="9" max="9" width="19.28515625" style="103" customWidth="1"/>
    <col min="10" max="10" width="19.28515625" style="7" customWidth="1"/>
    <col min="11" max="11" width="19.85546875" style="7" customWidth="1"/>
    <col min="12" max="12" width="28" style="7" customWidth="1"/>
    <col min="13" max="13" width="39.7109375" style="7" customWidth="1"/>
    <col min="14" max="14" width="39.7109375" style="7" hidden="1" customWidth="1"/>
    <col min="15" max="15" width="17.140625" style="7" hidden="1" customWidth="1"/>
    <col min="16" max="23" width="9.140625" style="7" customWidth="1"/>
    <col min="24" max="16384" width="9.140625" style="7"/>
  </cols>
  <sheetData>
    <row r="1" spans="1:20" ht="15.6" x14ac:dyDescent="0.3">
      <c r="A1" s="1"/>
      <c r="B1" s="2"/>
      <c r="C1" s="3"/>
      <c r="D1" s="2"/>
      <c r="E1" s="2"/>
      <c r="F1" s="104"/>
      <c r="G1" s="2"/>
      <c r="H1" s="5"/>
      <c r="I1" s="5"/>
      <c r="J1" s="6"/>
      <c r="K1" s="6"/>
      <c r="L1" s="6"/>
      <c r="M1" s="6"/>
      <c r="N1" s="6"/>
    </row>
    <row r="2" spans="1:20" ht="15.75" customHeight="1" x14ac:dyDescent="0.3">
      <c r="A2" s="1"/>
      <c r="B2" s="8"/>
      <c r="C2" s="9"/>
      <c r="D2" s="10"/>
      <c r="E2" s="10"/>
      <c r="F2" s="105"/>
      <c r="G2" s="12"/>
      <c r="H2" s="13"/>
      <c r="I2" s="13"/>
      <c r="J2" s="12"/>
      <c r="K2" s="12"/>
      <c r="L2" s="566"/>
      <c r="M2" s="566"/>
      <c r="N2" s="355"/>
    </row>
    <row r="3" spans="1:20" ht="15.75" customHeight="1" thickBot="1" x14ac:dyDescent="0.35">
      <c r="A3" s="1"/>
      <c r="B3" s="8"/>
      <c r="C3" s="9"/>
      <c r="D3" s="10"/>
      <c r="E3" s="10"/>
      <c r="F3" s="105"/>
      <c r="G3" s="12"/>
      <c r="H3" s="13"/>
      <c r="I3" s="13"/>
      <c r="J3" s="12"/>
      <c r="K3" s="12"/>
      <c r="L3" s="346"/>
      <c r="M3" s="346"/>
      <c r="N3" s="355"/>
    </row>
    <row r="4" spans="1:20" ht="18.75" x14ac:dyDescent="0.25">
      <c r="A4" s="789" t="s">
        <v>1</v>
      </c>
      <c r="B4" s="781" t="s">
        <v>14</v>
      </c>
      <c r="C4" s="781" t="s">
        <v>0</v>
      </c>
      <c r="D4" s="781" t="s">
        <v>15</v>
      </c>
      <c r="E4" s="781" t="s">
        <v>164</v>
      </c>
      <c r="F4" s="779" t="s">
        <v>16</v>
      </c>
      <c r="G4" s="783" t="s">
        <v>49</v>
      </c>
      <c r="H4" s="784"/>
      <c r="I4" s="784"/>
      <c r="J4" s="784"/>
      <c r="K4" s="785"/>
      <c r="L4" s="781" t="s">
        <v>17</v>
      </c>
      <c r="M4" s="774" t="s">
        <v>7</v>
      </c>
      <c r="N4" s="371"/>
      <c r="Q4" s="7">
        <v>1.0309280000000001</v>
      </c>
      <c r="R4" s="7">
        <v>1.02</v>
      </c>
      <c r="S4" s="7">
        <v>1.06</v>
      </c>
      <c r="T4" s="7">
        <v>1.1000000000000001</v>
      </c>
    </row>
    <row r="5" spans="1:20" ht="56.25" customHeight="1" x14ac:dyDescent="0.25">
      <c r="A5" s="790"/>
      <c r="B5" s="782"/>
      <c r="C5" s="834"/>
      <c r="D5" s="782"/>
      <c r="E5" s="782"/>
      <c r="F5" s="780"/>
      <c r="G5" s="259" t="s">
        <v>165</v>
      </c>
      <c r="H5" s="260" t="s">
        <v>47</v>
      </c>
      <c r="I5" s="162" t="s">
        <v>157</v>
      </c>
      <c r="J5" s="259" t="s">
        <v>158</v>
      </c>
      <c r="K5" s="259" t="s">
        <v>159</v>
      </c>
      <c r="L5" s="782"/>
      <c r="M5" s="775"/>
      <c r="N5" s="371"/>
    </row>
    <row r="6" spans="1:20" ht="17.45" x14ac:dyDescent="0.3">
      <c r="A6" s="18" t="s">
        <v>29</v>
      </c>
      <c r="B6" s="19">
        <v>2</v>
      </c>
      <c r="C6" s="19" t="s">
        <v>18</v>
      </c>
      <c r="D6" s="19" t="s">
        <v>144</v>
      </c>
      <c r="E6" s="19" t="s">
        <v>19</v>
      </c>
      <c r="F6" s="20" t="s">
        <v>141</v>
      </c>
      <c r="G6" s="19" t="s">
        <v>20</v>
      </c>
      <c r="H6" s="21" t="s">
        <v>142</v>
      </c>
      <c r="I6" s="19" t="s">
        <v>21</v>
      </c>
      <c r="J6" s="19" t="s">
        <v>22</v>
      </c>
      <c r="K6" s="19" t="s">
        <v>30</v>
      </c>
      <c r="L6" s="19" t="s">
        <v>31</v>
      </c>
      <c r="M6" s="22" t="s">
        <v>50</v>
      </c>
      <c r="N6" s="357"/>
    </row>
    <row r="7" spans="1:20" ht="18.75" x14ac:dyDescent="0.25">
      <c r="A7" s="261"/>
      <c r="B7" s="786" t="s">
        <v>215</v>
      </c>
      <c r="C7" s="786"/>
      <c r="D7" s="787"/>
      <c r="E7" s="787"/>
      <c r="F7" s="787"/>
      <c r="G7" s="787"/>
      <c r="H7" s="787"/>
      <c r="I7" s="787"/>
      <c r="J7" s="787"/>
      <c r="K7" s="787"/>
      <c r="L7" s="787"/>
      <c r="M7" s="788"/>
      <c r="N7" s="372"/>
    </row>
    <row r="8" spans="1:20" ht="18.75" x14ac:dyDescent="0.25">
      <c r="A8" s="798"/>
      <c r="B8" s="801" t="s">
        <v>149</v>
      </c>
      <c r="C8" s="801" t="s">
        <v>156</v>
      </c>
      <c r="D8" s="147" t="s">
        <v>10</v>
      </c>
      <c r="E8" s="275">
        <f t="shared" ref="E8:K8" si="0">SUM(E9:E11)</f>
        <v>3430.058</v>
      </c>
      <c r="F8" s="276">
        <f t="shared" si="0"/>
        <v>9863.77</v>
      </c>
      <c r="G8" s="275">
        <f t="shared" si="0"/>
        <v>4022.665</v>
      </c>
      <c r="H8" s="277">
        <f t="shared" si="0"/>
        <v>5841.1049999999996</v>
      </c>
      <c r="I8" s="275">
        <f t="shared" si="0"/>
        <v>0</v>
      </c>
      <c r="J8" s="275">
        <f t="shared" si="0"/>
        <v>0</v>
      </c>
      <c r="K8" s="275">
        <f t="shared" si="0"/>
        <v>0</v>
      </c>
      <c r="L8" s="776"/>
      <c r="M8" s="771"/>
      <c r="N8" s="374"/>
    </row>
    <row r="9" spans="1:20" ht="37.5" x14ac:dyDescent="0.25">
      <c r="A9" s="799"/>
      <c r="B9" s="802"/>
      <c r="C9" s="802"/>
      <c r="D9" s="306" t="s">
        <v>34</v>
      </c>
      <c r="E9" s="307">
        <f>E15</f>
        <v>784</v>
      </c>
      <c r="F9" s="284">
        <f t="shared" ref="F9:F14" si="1">SUM(G9:K9)</f>
        <v>2500</v>
      </c>
      <c r="G9" s="307">
        <f t="shared" ref="G9:K9" si="2">G15</f>
        <v>0</v>
      </c>
      <c r="H9" s="308">
        <f t="shared" si="2"/>
        <v>2500</v>
      </c>
      <c r="I9" s="307">
        <f t="shared" si="2"/>
        <v>0</v>
      </c>
      <c r="J9" s="307">
        <f t="shared" si="2"/>
        <v>0</v>
      </c>
      <c r="K9" s="307">
        <f t="shared" si="2"/>
        <v>0</v>
      </c>
      <c r="L9" s="777"/>
      <c r="M9" s="772"/>
      <c r="N9" s="374"/>
    </row>
    <row r="10" spans="1:20" ht="56.25" x14ac:dyDescent="0.25">
      <c r="A10" s="799"/>
      <c r="B10" s="802"/>
      <c r="C10" s="802"/>
      <c r="D10" s="147" t="s">
        <v>9</v>
      </c>
      <c r="E10" s="278">
        <f>E12+E13+E16</f>
        <v>2646.058</v>
      </c>
      <c r="F10" s="284">
        <f t="shared" si="1"/>
        <v>7363.77</v>
      </c>
      <c r="G10" s="278">
        <f>G12+G13+G16</f>
        <v>4022.665</v>
      </c>
      <c r="H10" s="279">
        <f>H12+H13+H16</f>
        <v>3341.105</v>
      </c>
      <c r="I10" s="278">
        <f>I12+I13+I16</f>
        <v>0</v>
      </c>
      <c r="J10" s="278">
        <f>J12+J13+J16</f>
        <v>0</v>
      </c>
      <c r="K10" s="278">
        <f>K12+K13+K16</f>
        <v>0</v>
      </c>
      <c r="L10" s="777"/>
      <c r="M10" s="772"/>
      <c r="N10" s="374"/>
    </row>
    <row r="11" spans="1:20" ht="112.5" x14ac:dyDescent="0.25">
      <c r="A11" s="799"/>
      <c r="B11" s="802"/>
      <c r="C11" s="802"/>
      <c r="D11" s="147" t="s">
        <v>93</v>
      </c>
      <c r="E11" s="278">
        <f t="shared" ref="E11:K11" si="3">E14</f>
        <v>0</v>
      </c>
      <c r="F11" s="284">
        <f t="shared" si="1"/>
        <v>0</v>
      </c>
      <c r="G11" s="278">
        <f t="shared" si="3"/>
        <v>0</v>
      </c>
      <c r="H11" s="279">
        <f t="shared" si="3"/>
        <v>0</v>
      </c>
      <c r="I11" s="278">
        <f t="shared" si="3"/>
        <v>0</v>
      </c>
      <c r="J11" s="278">
        <f t="shared" si="3"/>
        <v>0</v>
      </c>
      <c r="K11" s="278">
        <f t="shared" si="3"/>
        <v>0</v>
      </c>
      <c r="L11" s="777"/>
      <c r="M11" s="772"/>
      <c r="N11" s="374"/>
    </row>
    <row r="12" spans="1:20" ht="96" customHeight="1" x14ac:dyDescent="0.25">
      <c r="A12" s="349" t="s">
        <v>100</v>
      </c>
      <c r="B12" s="350" t="s">
        <v>216</v>
      </c>
      <c r="C12" s="309" t="s">
        <v>156</v>
      </c>
      <c r="D12" s="140" t="s">
        <v>23</v>
      </c>
      <c r="E12" s="141">
        <v>0</v>
      </c>
      <c r="F12" s="142">
        <f t="shared" si="1"/>
        <v>0</v>
      </c>
      <c r="G12" s="141">
        <v>0</v>
      </c>
      <c r="H12" s="143">
        <v>0</v>
      </c>
      <c r="I12" s="141">
        <v>0</v>
      </c>
      <c r="J12" s="141">
        <v>0</v>
      </c>
      <c r="K12" s="141">
        <v>0</v>
      </c>
      <c r="L12" s="348" t="s">
        <v>11</v>
      </c>
      <c r="M12" s="347" t="s">
        <v>152</v>
      </c>
      <c r="N12" s="278"/>
    </row>
    <row r="13" spans="1:20" ht="56.25" x14ac:dyDescent="0.25">
      <c r="A13" s="825" t="s">
        <v>101</v>
      </c>
      <c r="B13" s="827" t="s">
        <v>284</v>
      </c>
      <c r="C13" s="696" t="s">
        <v>156</v>
      </c>
      <c r="D13" s="140" t="s">
        <v>23</v>
      </c>
      <c r="E13" s="141">
        <f>3921.6-1353.942</f>
        <v>2567.6579999999999</v>
      </c>
      <c r="F13" s="142">
        <f t="shared" si="1"/>
        <v>7113.77</v>
      </c>
      <c r="G13" s="141">
        <f>1353.942+2668.723</f>
        <v>4022.665</v>
      </c>
      <c r="H13" s="143">
        <v>3091.105</v>
      </c>
      <c r="I13" s="141">
        <v>0</v>
      </c>
      <c r="J13" s="141">
        <v>0</v>
      </c>
      <c r="K13" s="141">
        <v>0</v>
      </c>
      <c r="L13" s="835" t="s">
        <v>248</v>
      </c>
      <c r="M13" s="838" t="s">
        <v>247</v>
      </c>
      <c r="N13" s="278">
        <f>'[2]Лист 1'!$F$456</f>
        <v>3091105</v>
      </c>
      <c r="O13" s="96" t="s">
        <v>313</v>
      </c>
    </row>
    <row r="14" spans="1:20" ht="113.25" customHeight="1" x14ac:dyDescent="0.25">
      <c r="A14" s="826"/>
      <c r="B14" s="828"/>
      <c r="C14" s="697"/>
      <c r="D14" s="36" t="s">
        <v>93</v>
      </c>
      <c r="E14" s="141">
        <v>0</v>
      </c>
      <c r="F14" s="142">
        <f t="shared" si="1"/>
        <v>0</v>
      </c>
      <c r="G14" s="141">
        <v>0</v>
      </c>
      <c r="H14" s="143">
        <v>0</v>
      </c>
      <c r="I14" s="141">
        <v>0</v>
      </c>
      <c r="J14" s="141">
        <v>0</v>
      </c>
      <c r="K14" s="141">
        <v>0</v>
      </c>
      <c r="L14" s="837"/>
      <c r="M14" s="840"/>
      <c r="N14" s="278"/>
      <c r="O14" s="31"/>
    </row>
    <row r="15" spans="1:20" ht="72" customHeight="1" x14ac:dyDescent="0.25">
      <c r="A15" s="816" t="s">
        <v>102</v>
      </c>
      <c r="B15" s="824" t="s">
        <v>217</v>
      </c>
      <c r="C15" s="696" t="s">
        <v>156</v>
      </c>
      <c r="D15" s="140" t="s">
        <v>5</v>
      </c>
      <c r="E15" s="271">
        <v>784</v>
      </c>
      <c r="F15" s="149">
        <f>SUM(G15:K15)</f>
        <v>2500</v>
      </c>
      <c r="G15" s="271">
        <f>G17+G19</f>
        <v>0</v>
      </c>
      <c r="H15" s="272">
        <f>H17+H19</f>
        <v>2500</v>
      </c>
      <c r="I15" s="271">
        <f t="shared" ref="I15:K15" si="4">I17+I19</f>
        <v>0</v>
      </c>
      <c r="J15" s="271">
        <f t="shared" si="4"/>
        <v>0</v>
      </c>
      <c r="K15" s="271">
        <f t="shared" si="4"/>
        <v>0</v>
      </c>
      <c r="L15" s="835" t="s">
        <v>151</v>
      </c>
      <c r="M15" s="838" t="s">
        <v>152</v>
      </c>
      <c r="N15" s="278">
        <f>'[2]Лист 1'!$F$457</f>
        <v>2500000</v>
      </c>
    </row>
    <row r="16" spans="1:20" ht="81.75" customHeight="1" x14ac:dyDescent="0.25">
      <c r="A16" s="817"/>
      <c r="B16" s="824"/>
      <c r="C16" s="797"/>
      <c r="D16" s="140" t="s">
        <v>23</v>
      </c>
      <c r="E16" s="271">
        <v>78.400000000000006</v>
      </c>
      <c r="F16" s="149">
        <f>SUM(G16:K16)</f>
        <v>250</v>
      </c>
      <c r="G16" s="271">
        <f>G18+G20</f>
        <v>0</v>
      </c>
      <c r="H16" s="272">
        <f>H18+H20</f>
        <v>250</v>
      </c>
      <c r="I16" s="271">
        <f t="shared" ref="I16:K16" si="5">I18+I20</f>
        <v>0</v>
      </c>
      <c r="J16" s="271">
        <f t="shared" si="5"/>
        <v>0</v>
      </c>
      <c r="K16" s="271">
        <f t="shared" si="5"/>
        <v>0</v>
      </c>
      <c r="L16" s="836"/>
      <c r="M16" s="839"/>
      <c r="N16" s="278">
        <f>'[2]Лист 1'!$F$458</f>
        <v>250000</v>
      </c>
    </row>
    <row r="17" spans="1:18" ht="36.75" customHeight="1" x14ac:dyDescent="0.25">
      <c r="A17" s="816" t="s">
        <v>318</v>
      </c>
      <c r="B17" s="824" t="s">
        <v>319</v>
      </c>
      <c r="C17" s="797"/>
      <c r="D17" s="140" t="s">
        <v>5</v>
      </c>
      <c r="E17" s="271">
        <v>0</v>
      </c>
      <c r="F17" s="149">
        <f>SUM(G17:K17)</f>
        <v>0</v>
      </c>
      <c r="G17" s="271">
        <v>0</v>
      </c>
      <c r="H17" s="272">
        <v>0</v>
      </c>
      <c r="I17" s="271">
        <v>0</v>
      </c>
      <c r="J17" s="271">
        <v>0</v>
      </c>
      <c r="K17" s="271">
        <v>0</v>
      </c>
      <c r="L17" s="836"/>
      <c r="M17" s="839"/>
      <c r="N17" s="278"/>
    </row>
    <row r="18" spans="1:18" ht="56.25" x14ac:dyDescent="0.25">
      <c r="A18" s="817"/>
      <c r="B18" s="824"/>
      <c r="C18" s="797"/>
      <c r="D18" s="140" t="s">
        <v>23</v>
      </c>
      <c r="E18" s="271">
        <v>0</v>
      </c>
      <c r="F18" s="149">
        <f t="shared" ref="F18:F20" si="6">SUM(G18:K18)</f>
        <v>0</v>
      </c>
      <c r="G18" s="271">
        <v>0</v>
      </c>
      <c r="H18" s="272">
        <v>0</v>
      </c>
      <c r="I18" s="271">
        <v>0</v>
      </c>
      <c r="J18" s="271">
        <v>0</v>
      </c>
      <c r="K18" s="271">
        <v>0</v>
      </c>
      <c r="L18" s="836"/>
      <c r="M18" s="839"/>
      <c r="N18" s="278"/>
    </row>
    <row r="19" spans="1:18" ht="53.25" customHeight="1" x14ac:dyDescent="0.25">
      <c r="A19" s="816" t="s">
        <v>320</v>
      </c>
      <c r="B19" s="824" t="s">
        <v>321</v>
      </c>
      <c r="C19" s="797"/>
      <c r="D19" s="140" t="s">
        <v>5</v>
      </c>
      <c r="E19" s="271">
        <v>0</v>
      </c>
      <c r="F19" s="149">
        <f t="shared" si="6"/>
        <v>2500</v>
      </c>
      <c r="G19" s="271">
        <v>0</v>
      </c>
      <c r="H19" s="272">
        <v>2500</v>
      </c>
      <c r="I19" s="271">
        <v>0</v>
      </c>
      <c r="J19" s="271">
        <v>0</v>
      </c>
      <c r="K19" s="271">
        <v>0</v>
      </c>
      <c r="L19" s="836"/>
      <c r="M19" s="839"/>
      <c r="N19" s="278"/>
    </row>
    <row r="20" spans="1:18" ht="60" customHeight="1" x14ac:dyDescent="0.25">
      <c r="A20" s="817"/>
      <c r="B20" s="824"/>
      <c r="C20" s="697"/>
      <c r="D20" s="140" t="s">
        <v>23</v>
      </c>
      <c r="E20" s="271">
        <v>0</v>
      </c>
      <c r="F20" s="149">
        <f t="shared" si="6"/>
        <v>250</v>
      </c>
      <c r="G20" s="271">
        <v>0</v>
      </c>
      <c r="H20" s="272">
        <v>250</v>
      </c>
      <c r="I20" s="271">
        <v>0</v>
      </c>
      <c r="J20" s="271">
        <v>0</v>
      </c>
      <c r="K20" s="271">
        <v>0</v>
      </c>
      <c r="L20" s="837"/>
      <c r="M20" s="840"/>
      <c r="N20" s="278"/>
    </row>
    <row r="21" spans="1:18" ht="18.75" x14ac:dyDescent="0.25">
      <c r="A21" s="815" t="s">
        <v>218</v>
      </c>
      <c r="B21" s="613"/>
      <c r="C21" s="613"/>
      <c r="D21" s="613"/>
      <c r="E21" s="198">
        <f t="shared" ref="E21:K21" si="7">SUM(E22:E24)</f>
        <v>3430.058</v>
      </c>
      <c r="F21" s="198">
        <f t="shared" si="7"/>
        <v>9863.77</v>
      </c>
      <c r="G21" s="198">
        <f t="shared" si="7"/>
        <v>4022.665</v>
      </c>
      <c r="H21" s="199">
        <f t="shared" si="7"/>
        <v>5841.1049999999996</v>
      </c>
      <c r="I21" s="198">
        <f t="shared" si="7"/>
        <v>0</v>
      </c>
      <c r="J21" s="198">
        <f t="shared" si="7"/>
        <v>0</v>
      </c>
      <c r="K21" s="198">
        <f t="shared" si="7"/>
        <v>0</v>
      </c>
      <c r="L21" s="200"/>
      <c r="M21" s="292"/>
      <c r="N21" s="278"/>
    </row>
    <row r="22" spans="1:18" ht="18.75" x14ac:dyDescent="0.25">
      <c r="A22" s="818" t="s">
        <v>39</v>
      </c>
      <c r="B22" s="819"/>
      <c r="C22" s="819"/>
      <c r="D22" s="819"/>
      <c r="E22" s="310">
        <f>E9</f>
        <v>784</v>
      </c>
      <c r="F22" s="311">
        <f t="shared" ref="F22:F24" si="8">SUM(G22:K22)</f>
        <v>2500</v>
      </c>
      <c r="G22" s="310">
        <f t="shared" ref="G22:K24" si="9">G9</f>
        <v>0</v>
      </c>
      <c r="H22" s="312">
        <f t="shared" si="9"/>
        <v>2500</v>
      </c>
      <c r="I22" s="313">
        <f t="shared" si="9"/>
        <v>0</v>
      </c>
      <c r="J22" s="310">
        <f t="shared" si="9"/>
        <v>0</v>
      </c>
      <c r="K22" s="310">
        <f t="shared" si="9"/>
        <v>0</v>
      </c>
      <c r="L22" s="314"/>
      <c r="M22" s="315"/>
      <c r="N22" s="326"/>
      <c r="Q22" s="31"/>
      <c r="R22" s="31"/>
    </row>
    <row r="23" spans="1:18" ht="18.75" x14ac:dyDescent="0.25">
      <c r="A23" s="810" t="s">
        <v>9</v>
      </c>
      <c r="B23" s="611"/>
      <c r="C23" s="611"/>
      <c r="D23" s="611"/>
      <c r="E23" s="202">
        <f>E10</f>
        <v>2646.058</v>
      </c>
      <c r="F23" s="311">
        <f t="shared" si="8"/>
        <v>7363.77</v>
      </c>
      <c r="G23" s="202">
        <f t="shared" si="9"/>
        <v>4022.665</v>
      </c>
      <c r="H23" s="203">
        <f t="shared" si="9"/>
        <v>3341.105</v>
      </c>
      <c r="I23" s="202">
        <f t="shared" si="9"/>
        <v>0</v>
      </c>
      <c r="J23" s="202">
        <f t="shared" si="9"/>
        <v>0</v>
      </c>
      <c r="K23" s="202">
        <f t="shared" si="9"/>
        <v>0</v>
      </c>
      <c r="L23" s="204"/>
      <c r="M23" s="293"/>
      <c r="N23" s="376"/>
    </row>
    <row r="24" spans="1:18" ht="38.25" customHeight="1" thickBot="1" x14ac:dyDescent="0.35">
      <c r="A24" s="820" t="s">
        <v>93</v>
      </c>
      <c r="B24" s="821"/>
      <c r="C24" s="821"/>
      <c r="D24" s="821"/>
      <c r="E24" s="92">
        <f>E11</f>
        <v>0</v>
      </c>
      <c r="F24" s="311">
        <f t="shared" si="8"/>
        <v>0</v>
      </c>
      <c r="G24" s="92">
        <f t="shared" si="9"/>
        <v>0</v>
      </c>
      <c r="H24" s="93">
        <f t="shared" si="9"/>
        <v>0</v>
      </c>
      <c r="I24" s="92">
        <f t="shared" si="9"/>
        <v>0</v>
      </c>
      <c r="J24" s="92">
        <f t="shared" si="9"/>
        <v>0</v>
      </c>
      <c r="K24" s="92">
        <f t="shared" si="9"/>
        <v>0</v>
      </c>
      <c r="L24" s="90"/>
      <c r="M24" s="316"/>
      <c r="N24" s="360"/>
      <c r="Q24" s="31"/>
      <c r="R24" s="31"/>
    </row>
    <row r="25" spans="1:18" ht="18.75" x14ac:dyDescent="0.25">
      <c r="A25" s="822" t="s">
        <v>60</v>
      </c>
      <c r="B25" s="823"/>
      <c r="C25" s="823"/>
      <c r="D25" s="823"/>
      <c r="E25" s="317">
        <f>SUM(E26:E33)-E29</f>
        <v>7021462.8399999999</v>
      </c>
      <c r="F25" s="317">
        <f>SUM(G25:K25)</f>
        <v>34710753.03875</v>
      </c>
      <c r="G25" s="317">
        <f>SUM(G26:G33)-G29</f>
        <v>8928399.2300000004</v>
      </c>
      <c r="H25" s="318">
        <f>SUM(H26:H33)-H29</f>
        <v>8528126.2357500009</v>
      </c>
      <c r="I25" s="317">
        <f t="shared" ref="I25:K25" si="10">SUM(I26:I33)-I29</f>
        <v>7380809.7310000006</v>
      </c>
      <c r="J25" s="317">
        <f t="shared" si="10"/>
        <v>7464671.0709999995</v>
      </c>
      <c r="K25" s="317">
        <f t="shared" si="10"/>
        <v>2408746.7709999997</v>
      </c>
      <c r="L25" s="319"/>
      <c r="M25" s="320"/>
      <c r="N25" s="378"/>
      <c r="Q25" s="31"/>
      <c r="R25" s="31"/>
    </row>
    <row r="26" spans="1:18" ht="18.75" x14ac:dyDescent="0.25">
      <c r="A26" s="818" t="s">
        <v>333</v>
      </c>
      <c r="B26" s="819"/>
      <c r="C26" s="819"/>
      <c r="D26" s="819"/>
      <c r="E26" s="321">
        <f>'Подпрограмма 1'!E69</f>
        <v>0</v>
      </c>
      <c r="F26" s="322">
        <f t="shared" ref="F26" si="11">SUM(G26:K26)</f>
        <v>49896</v>
      </c>
      <c r="G26" s="321">
        <f>'Подпрограмма 1'!G69</f>
        <v>0</v>
      </c>
      <c r="H26" s="277">
        <f>'Подпрограмма 1'!H69</f>
        <v>49896</v>
      </c>
      <c r="I26" s="321">
        <f>'Подпрограмма 1'!I69</f>
        <v>0</v>
      </c>
      <c r="J26" s="321">
        <f>'Подпрограмма 1'!J69</f>
        <v>0</v>
      </c>
      <c r="K26" s="321">
        <f>'Подпрограмма 1'!K69</f>
        <v>0</v>
      </c>
      <c r="L26" s="314"/>
      <c r="M26" s="315"/>
      <c r="N26" s="326">
        <f>'Подпрограмма 1'!F69</f>
        <v>49896</v>
      </c>
      <c r="Q26" s="31"/>
      <c r="R26" s="31"/>
    </row>
    <row r="27" spans="1:18" ht="18.75" x14ac:dyDescent="0.25">
      <c r="A27" s="818" t="s">
        <v>39</v>
      </c>
      <c r="B27" s="819"/>
      <c r="C27" s="819"/>
      <c r="D27" s="819"/>
      <c r="E27" s="321">
        <f>'Подпрограмма 1'!E70+'Подпрограмма 2'!E103+'Подпрограмма 3'!E41+'Подпрограмма 5'!E22</f>
        <v>3899175.8</v>
      </c>
      <c r="F27" s="322">
        <f t="shared" ref="F27:F33" si="12">SUM(G27:K27)</f>
        <v>19676552.78049</v>
      </c>
      <c r="G27" s="321">
        <f>'Подпрограмма 1'!G70+'Подпрограмма 2'!G103+'Подпрограмма 3'!G41+'Подпрограмма 5'!G22</f>
        <v>4641257.1409999998</v>
      </c>
      <c r="H27" s="277">
        <f>'Подпрограмма 1'!H70+'Подпрограмма 2'!H103+'Подпрограмма 3'!H41+'Подпрограмма 5'!H22</f>
        <v>5189495.2894899994</v>
      </c>
      <c r="I27" s="321">
        <f>'Подпрограмма 1'!I70+'Подпрограмма 2'!I103+'Подпрограмма 3'!I41+'Подпрограмма 5'!I22</f>
        <v>4888551.1400000006</v>
      </c>
      <c r="J27" s="321">
        <f>'Подпрограмма 1'!J70+'Подпрограмма 2'!J103+'Подпрограмма 3'!J41+'Подпрограмма 5'!J22</f>
        <v>4957249.21</v>
      </c>
      <c r="K27" s="321">
        <f>'Подпрограмма 1'!K70+'Подпрограмма 2'!K103+'Подпрограмма 3'!K41+'Подпрограмма 5'!K22</f>
        <v>0</v>
      </c>
      <c r="L27" s="314"/>
      <c r="M27" s="315"/>
      <c r="N27" s="328">
        <f>'Подпрограмма 1'!F70+'Подпрограмма 2'!F103+'Подпрограмма 3'!F41+'Подпрограмма 5'!F22</f>
        <v>19676552.78049</v>
      </c>
      <c r="Q27" s="31"/>
      <c r="R27" s="31"/>
    </row>
    <row r="28" spans="1:18" ht="18.75" x14ac:dyDescent="0.25">
      <c r="A28" s="818" t="s">
        <v>40</v>
      </c>
      <c r="B28" s="819"/>
      <c r="C28" s="819"/>
      <c r="D28" s="819"/>
      <c r="E28" s="321">
        <f>'Подпрограмма 1'!E71+'Подпрограмма 2'!E104+'Подпрограмма 3'!E42+'Подпрограмма 4'!E29+'Подпрограмма 5'!E23</f>
        <v>2065511.7819999999</v>
      </c>
      <c r="F28" s="322">
        <f t="shared" si="12"/>
        <v>11181468.341259999</v>
      </c>
      <c r="G28" s="321">
        <f>'Подпрограмма 1'!G71+'Подпрограмма 2'!G104+'Подпрограмма 3'!G42+'Подпрограмма 4'!G29+'Подпрограмма 5'!G23</f>
        <v>3360868.4640000002</v>
      </c>
      <c r="H28" s="277">
        <f>'Подпрограмма 1'!H71+'Подпрограмма 2'!H104+'Подпрограмма 3'!H42+'Подпрограмма 4'!H29+'Подпрограмма 5'!H23</f>
        <v>2162952.0852599996</v>
      </c>
      <c r="I28" s="321">
        <f>'Подпрограмма 1'!I71+'Подпрограмма 2'!I104+'Подпрограмма 3'!I42+'Подпрограмма 4'!I29+'Подпрограмма 5'!I23</f>
        <v>1902064.1139999998</v>
      </c>
      <c r="J28" s="321">
        <f>'Подпрограмма 1'!J71+'Подпрограмма 2'!J104+'Подпрограмма 3'!J42+'Подпрограмма 4'!J29+'Подпрограмма 5'!J23</f>
        <v>1927129.3839999998</v>
      </c>
      <c r="K28" s="321">
        <f>'Подпрограмма 1'!K71+'Подпрограмма 2'!K104+'Подпрограмма 3'!K42+'Подпрограмма 4'!K29+'Подпрограмма 5'!K23</f>
        <v>1828454.294</v>
      </c>
      <c r="L28" s="314"/>
      <c r="M28" s="315"/>
      <c r="N28" s="328">
        <f>'Подпрограмма 1'!F71+'Подпрограмма 2'!F104+'Подпрограмма 3'!F42+'Подпрограмма 4'!F29+'Подпрограмма 5'!F23</f>
        <v>11181468.341260001</v>
      </c>
      <c r="Q28" s="31"/>
      <c r="R28" s="31"/>
    </row>
    <row r="29" spans="1:18" ht="18.75" x14ac:dyDescent="0.25">
      <c r="A29" s="818" t="s">
        <v>311</v>
      </c>
      <c r="B29" s="819"/>
      <c r="C29" s="819"/>
      <c r="D29" s="819"/>
      <c r="E29" s="321">
        <v>0</v>
      </c>
      <c r="F29" s="322">
        <f t="shared" si="12"/>
        <v>310475.51825999998</v>
      </c>
      <c r="G29" s="321">
        <v>0</v>
      </c>
      <c r="H29" s="277">
        <f>'Подпрограмма 1'!H72+'Подпрограмма 2'!H105+'Подпрограмма 3'!H43+'Подпрограмма 4'!H30</f>
        <v>310475.51825999998</v>
      </c>
      <c r="I29" s="321">
        <v>0</v>
      </c>
      <c r="J29" s="321">
        <v>0</v>
      </c>
      <c r="K29" s="321">
        <v>0</v>
      </c>
      <c r="L29" s="314"/>
      <c r="M29" s="315"/>
      <c r="N29" s="326"/>
      <c r="Q29" s="31"/>
      <c r="R29" s="31"/>
    </row>
    <row r="30" spans="1:18" ht="37.5" customHeight="1" x14ac:dyDescent="0.3">
      <c r="A30" s="820" t="s">
        <v>93</v>
      </c>
      <c r="B30" s="821"/>
      <c r="C30" s="821"/>
      <c r="D30" s="821"/>
      <c r="E30" s="24">
        <f>'Подпрограмма 1'!E73+'Подпрограмма 2'!E106+'Подпрограмма 4'!E31+'Подпрограмма 5'!E24</f>
        <v>566448.99100000004</v>
      </c>
      <c r="F30" s="322">
        <f t="shared" si="12"/>
        <v>612288.49600000004</v>
      </c>
      <c r="G30" s="24">
        <f>'Подпрограмма 1'!G73+'Подпрограмма 2'!G106+'Подпрограмма 4'!G31+'Подпрограмма 5'!G24</f>
        <v>95192.994000000006</v>
      </c>
      <c r="H30" s="26">
        <f>'Подпрограмма 1'!H73+'Подпрограмма 2'!H106+'Подпрограмма 4'!H31+'Подпрограмма 5'!H24</f>
        <v>507193.50199999998</v>
      </c>
      <c r="I30" s="24">
        <f>'Подпрограмма 1'!I73+'Подпрограмма 2'!I106+'Подпрограмма 4'!I31+'Подпрограмма 5'!I24</f>
        <v>9902</v>
      </c>
      <c r="J30" s="24">
        <f>'Подпрограмма 1'!J73+'Подпрограмма 2'!J106+'Подпрограмма 4'!J31+'Подпрограмма 5'!J24</f>
        <v>0</v>
      </c>
      <c r="K30" s="24">
        <f>'Подпрограмма 1'!K73+'Подпрограмма 2'!K106+'Подпрограмма 4'!K31+'Подпрограмма 5'!K24</f>
        <v>0</v>
      </c>
      <c r="L30" s="90"/>
      <c r="M30" s="316"/>
      <c r="N30" s="385">
        <f>'Подпрограмма 1'!F73+'Подпрограмма 2'!F106+'Подпрограмма 4'!F31+'Подпрограмма 5'!F24</f>
        <v>612288.49600000004</v>
      </c>
      <c r="Q30" s="31"/>
      <c r="R30" s="31"/>
    </row>
    <row r="31" spans="1:18" ht="15.75" customHeight="1" x14ac:dyDescent="0.3">
      <c r="A31" s="830" t="s">
        <v>51</v>
      </c>
      <c r="B31" s="831"/>
      <c r="C31" s="831"/>
      <c r="D31" s="831"/>
      <c r="E31" s="24">
        <f>'Подпрограмма 1'!E74+'Подпрограмма 2'!E107+'Подпрограмма 3'!E44</f>
        <v>214394.50400000002</v>
      </c>
      <c r="F31" s="322">
        <f t="shared" si="12"/>
        <v>1346759.7060000002</v>
      </c>
      <c r="G31" s="24">
        <f>'Подпрограмма 1'!G74+'Подпрограмма 2'!G107+'Подпрограмма 3'!G44</f>
        <v>246539.18600000002</v>
      </c>
      <c r="H31" s="26">
        <f>'Подпрограмма 1'!H74+'Подпрограмма 2'!H107+'Подпрограмма 3'!H44</f>
        <v>302350.174</v>
      </c>
      <c r="I31" s="24">
        <f>'Подпрограмма 1'!I74+'Подпрограмма 2'!I107+'Подпрограмма 3'!I44</f>
        <v>265956.78200000001</v>
      </c>
      <c r="J31" s="24">
        <f>'Подпрограмма 1'!J74+'Подпрограмма 2'!J107+'Подпрограмма 3'!J44</f>
        <v>265956.78200000001</v>
      </c>
      <c r="K31" s="24">
        <f>'Подпрограмма 1'!K74+'Подпрограмма 2'!K107+'Подпрограмма 3'!K44</f>
        <v>265956.78200000001</v>
      </c>
      <c r="L31" s="90"/>
      <c r="M31" s="316"/>
      <c r="N31" s="360">
        <f>'Подпрограмма 1'!F74+'Подпрограмма 2'!F107+'Подпрограмма 3'!F44</f>
        <v>1346759.7060000002</v>
      </c>
      <c r="Q31" s="31"/>
      <c r="R31" s="31"/>
    </row>
    <row r="32" spans="1:18" ht="18.75" x14ac:dyDescent="0.3">
      <c r="A32" s="830" t="s">
        <v>81</v>
      </c>
      <c r="B32" s="831"/>
      <c r="C32" s="831"/>
      <c r="D32" s="831"/>
      <c r="E32" s="24">
        <f>'Подпрограмма 1'!E75+'Подпрограмма 2'!E108</f>
        <v>255931.76300000001</v>
      </c>
      <c r="F32" s="322">
        <f t="shared" si="12"/>
        <v>1555787.7150000001</v>
      </c>
      <c r="G32" s="24">
        <f>'Подпрограмма 1'!G75+'Подпрограмма 2'!G108</f>
        <v>296541.44500000001</v>
      </c>
      <c r="H32" s="26">
        <f>'Подпрограмма 1'!H75+'Подпрограмма 2'!H108</f>
        <v>316239.185</v>
      </c>
      <c r="I32" s="24">
        <f>'Подпрограмма 1'!I75+'Подпрограмма 2'!I108</f>
        <v>314335.69500000001</v>
      </c>
      <c r="J32" s="24">
        <f>'Подпрограмма 1'!J75+'Подпрограмма 2'!J108</f>
        <v>314335.69500000001</v>
      </c>
      <c r="K32" s="24">
        <f>'Подпрограмма 1'!K75+'Подпрограмма 2'!K108</f>
        <v>314335.69500000001</v>
      </c>
      <c r="L32" s="90"/>
      <c r="M32" s="316"/>
      <c r="N32" s="360">
        <f>'Подпрограмма 1'!F75+'Подпрограмма 2'!F108</f>
        <v>1555787.7150000001</v>
      </c>
      <c r="Q32" s="31"/>
      <c r="R32" s="31"/>
    </row>
    <row r="33" spans="1:18" ht="21.75" customHeight="1" thickBot="1" x14ac:dyDescent="0.35">
      <c r="A33" s="712" t="s">
        <v>4</v>
      </c>
      <c r="B33" s="713"/>
      <c r="C33" s="713"/>
      <c r="D33" s="713"/>
      <c r="E33" s="323">
        <f>'Подпрограмма 1'!E76+'Подпрограмма 2'!E109</f>
        <v>20000</v>
      </c>
      <c r="F33" s="324">
        <f t="shared" si="12"/>
        <v>288000</v>
      </c>
      <c r="G33" s="323">
        <f>'Подпрограмма 1'!G76+'Подпрограмма 2'!G109</f>
        <v>288000</v>
      </c>
      <c r="H33" s="325">
        <f>'Подпрограмма 1'!H76+'Подпрограмма 2'!H109</f>
        <v>0</v>
      </c>
      <c r="I33" s="323">
        <f>'Подпрограмма 2'!I109</f>
        <v>0</v>
      </c>
      <c r="J33" s="323">
        <f>'Подпрограмма 2'!J109</f>
        <v>0</v>
      </c>
      <c r="K33" s="323">
        <f>'Подпрограмма 2'!K109</f>
        <v>0</v>
      </c>
      <c r="L33" s="252"/>
      <c r="M33" s="253"/>
      <c r="N33" s="360"/>
      <c r="Q33" s="31"/>
      <c r="R33" s="31"/>
    </row>
    <row r="34" spans="1:18" ht="18" x14ac:dyDescent="0.25">
      <c r="A34" s="326"/>
      <c r="B34" s="327"/>
      <c r="C34" s="327"/>
      <c r="D34" s="327"/>
      <c r="E34" s="327"/>
      <c r="F34" s="327"/>
      <c r="G34" s="328"/>
      <c r="H34" s="328"/>
      <c r="I34" s="328"/>
      <c r="J34" s="328"/>
      <c r="K34" s="328"/>
      <c r="L34" s="326"/>
      <c r="M34" s="329" t="s">
        <v>369</v>
      </c>
      <c r="N34" s="329"/>
    </row>
    <row r="35" spans="1:18" ht="18.75" x14ac:dyDescent="0.25">
      <c r="A35" s="330"/>
      <c r="B35" s="331" t="s">
        <v>270</v>
      </c>
      <c r="C35" s="832"/>
      <c r="D35" s="832"/>
      <c r="E35" s="832"/>
      <c r="F35" s="332"/>
      <c r="G35" s="333"/>
      <c r="H35" s="330" t="s">
        <v>316</v>
      </c>
      <c r="I35" s="330"/>
      <c r="J35" s="334"/>
      <c r="K35" s="330"/>
      <c r="L35" s="334"/>
      <c r="M35" s="330"/>
      <c r="N35" s="330"/>
    </row>
    <row r="36" spans="1:18" ht="18.75" x14ac:dyDescent="0.25">
      <c r="A36" s="330"/>
      <c r="B36" s="352"/>
      <c r="C36" s="352"/>
      <c r="D36" s="337"/>
      <c r="E36" s="352"/>
      <c r="F36" s="352"/>
      <c r="G36" s="336"/>
      <c r="H36" s="335"/>
      <c r="I36" s="336"/>
      <c r="J36" s="336"/>
      <c r="K36" s="336"/>
      <c r="L36" s="336"/>
      <c r="M36" s="336"/>
      <c r="N36" s="336"/>
    </row>
    <row r="37" spans="1:18" ht="18.75" x14ac:dyDescent="0.25">
      <c r="A37" s="326"/>
      <c r="B37" s="338" t="s">
        <v>145</v>
      </c>
      <c r="C37" s="338"/>
      <c r="D37" s="338"/>
      <c r="E37" s="338"/>
      <c r="F37" s="332"/>
      <c r="G37" s="333"/>
      <c r="H37" s="833" t="s">
        <v>84</v>
      </c>
      <c r="I37" s="833"/>
      <c r="J37" s="833"/>
      <c r="K37" s="833"/>
      <c r="L37" s="326"/>
      <c r="M37" s="326"/>
      <c r="N37" s="326"/>
    </row>
    <row r="38" spans="1:18" ht="18.75" x14ac:dyDescent="0.25">
      <c r="A38" s="326"/>
      <c r="B38" s="327"/>
      <c r="C38" s="337"/>
      <c r="D38" s="337"/>
      <c r="E38" s="337"/>
      <c r="F38" s="337"/>
      <c r="G38" s="330"/>
      <c r="H38" s="353"/>
      <c r="I38" s="353"/>
      <c r="J38" s="353"/>
      <c r="K38" s="353"/>
      <c r="L38" s="326"/>
      <c r="M38" s="326"/>
      <c r="N38" s="326"/>
    </row>
    <row r="39" spans="1:18" ht="18.75" x14ac:dyDescent="0.25">
      <c r="A39" s="326"/>
      <c r="B39" s="338" t="s">
        <v>85</v>
      </c>
      <c r="C39" s="338"/>
      <c r="D39" s="338"/>
      <c r="E39" s="338"/>
      <c r="F39" s="332"/>
      <c r="G39" s="333"/>
      <c r="H39" s="353" t="s">
        <v>271</v>
      </c>
      <c r="I39" s="353"/>
      <c r="J39" s="353"/>
      <c r="K39" s="353"/>
      <c r="L39" s="326"/>
      <c r="M39" s="326"/>
      <c r="N39" s="326"/>
    </row>
    <row r="40" spans="1:18" ht="18.75" x14ac:dyDescent="0.25">
      <c r="A40" s="326"/>
      <c r="B40" s="352"/>
      <c r="C40" s="352"/>
      <c r="D40" s="352"/>
      <c r="E40" s="352"/>
      <c r="F40" s="352"/>
      <c r="G40" s="330"/>
      <c r="H40" s="353"/>
      <c r="I40" s="353"/>
      <c r="J40" s="353"/>
      <c r="K40" s="353"/>
      <c r="L40" s="326"/>
      <c r="M40" s="326"/>
      <c r="N40" s="326"/>
    </row>
    <row r="41" spans="1:18" ht="18.75" x14ac:dyDescent="0.25">
      <c r="A41" s="326"/>
      <c r="B41" s="327"/>
      <c r="C41" s="337"/>
      <c r="D41" s="337"/>
      <c r="E41" s="337"/>
      <c r="F41" s="421"/>
      <c r="G41" s="330"/>
      <c r="H41" s="339"/>
      <c r="I41" s="353"/>
      <c r="J41" s="353"/>
      <c r="K41" s="353"/>
      <c r="L41" s="326"/>
      <c r="M41" s="326"/>
      <c r="N41" s="326"/>
    </row>
    <row r="42" spans="1:18" ht="15.75" x14ac:dyDescent="0.25">
      <c r="H42" s="340"/>
      <c r="I42" s="340"/>
      <c r="J42" s="351"/>
      <c r="K42" s="351"/>
    </row>
    <row r="43" spans="1:18" ht="15.75" x14ac:dyDescent="0.25">
      <c r="E43" s="31"/>
      <c r="H43" s="340"/>
      <c r="I43" s="340"/>
      <c r="J43" s="829"/>
      <c r="K43" s="829"/>
    </row>
    <row r="44" spans="1:18" ht="15.75" x14ac:dyDescent="0.25">
      <c r="E44" s="31"/>
      <c r="H44" s="302"/>
      <c r="I44" s="302"/>
      <c r="J44" s="351"/>
      <c r="K44" s="351"/>
    </row>
    <row r="45" spans="1:18" ht="15.75" x14ac:dyDescent="0.25">
      <c r="E45" s="31"/>
      <c r="F45" s="98"/>
      <c r="G45" s="31"/>
      <c r="H45" s="302"/>
      <c r="M45" s="31"/>
      <c r="N45" s="31"/>
    </row>
    <row r="46" spans="1:18" ht="15.75" x14ac:dyDescent="0.25">
      <c r="C46" s="96"/>
      <c r="D46" s="96"/>
      <c r="E46" s="341"/>
      <c r="F46" s="101"/>
      <c r="G46" s="341"/>
      <c r="H46" s="100"/>
      <c r="I46" s="100"/>
      <c r="J46" s="341"/>
      <c r="K46" s="341"/>
    </row>
    <row r="47" spans="1:18" ht="15.75" x14ac:dyDescent="0.25">
      <c r="C47" s="96"/>
      <c r="D47" s="96"/>
      <c r="E47" s="341"/>
      <c r="F47" s="101"/>
      <c r="G47" s="341"/>
      <c r="H47" s="100"/>
      <c r="I47" s="100"/>
      <c r="J47" s="341"/>
      <c r="K47" s="341"/>
    </row>
    <row r="48" spans="1:18" ht="15.75" x14ac:dyDescent="0.25">
      <c r="C48" s="96"/>
      <c r="D48" s="96"/>
      <c r="E48" s="341"/>
      <c r="F48" s="101"/>
      <c r="G48" s="341"/>
      <c r="H48" s="100"/>
      <c r="I48" s="100"/>
      <c r="J48" s="341"/>
      <c r="K48" s="341"/>
    </row>
    <row r="49" spans="3:12" ht="15.75" x14ac:dyDescent="0.25">
      <c r="C49" s="96"/>
      <c r="D49" s="96"/>
      <c r="E49" s="341"/>
      <c r="F49" s="101"/>
      <c r="G49" s="341"/>
      <c r="H49" s="100"/>
      <c r="I49" s="100"/>
      <c r="J49" s="341"/>
      <c r="K49" s="341"/>
      <c r="L49" s="341"/>
    </row>
    <row r="50" spans="3:12" ht="15.75" x14ac:dyDescent="0.25">
      <c r="C50" s="96"/>
      <c r="D50" s="96"/>
      <c r="E50" s="341"/>
      <c r="F50" s="101"/>
      <c r="G50" s="341"/>
      <c r="H50" s="100"/>
      <c r="I50" s="100"/>
      <c r="J50" s="341"/>
      <c r="K50" s="341"/>
    </row>
    <row r="51" spans="3:12" ht="15.75" x14ac:dyDescent="0.25">
      <c r="C51" s="96"/>
      <c r="D51" s="96"/>
      <c r="E51" s="341"/>
      <c r="F51" s="101"/>
      <c r="G51" s="341"/>
      <c r="H51" s="100"/>
      <c r="I51" s="100"/>
      <c r="J51" s="341"/>
      <c r="K51" s="341"/>
    </row>
    <row r="52" spans="3:12" ht="15.75" x14ac:dyDescent="0.25">
      <c r="C52" s="96"/>
      <c r="D52" s="96"/>
      <c r="E52" s="96"/>
      <c r="F52" s="303"/>
      <c r="G52" s="96"/>
      <c r="H52" s="304"/>
      <c r="I52" s="304"/>
      <c r="J52" s="96"/>
      <c r="K52" s="96"/>
    </row>
    <row r="53" spans="3:12" ht="15.75" x14ac:dyDescent="0.25">
      <c r="E53" s="31"/>
      <c r="H53" s="100"/>
      <c r="I53" s="100"/>
      <c r="J53" s="342"/>
      <c r="K53" s="342"/>
    </row>
    <row r="54" spans="3:12" ht="15.75" x14ac:dyDescent="0.25">
      <c r="E54" s="31"/>
      <c r="F54" s="305"/>
      <c r="G54" s="116"/>
      <c r="H54" s="100"/>
      <c r="I54" s="100"/>
      <c r="J54" s="341"/>
      <c r="K54" s="116"/>
    </row>
    <row r="55" spans="3:12" ht="15.75" x14ac:dyDescent="0.25">
      <c r="E55" s="31"/>
      <c r="F55" s="305"/>
      <c r="G55" s="116"/>
      <c r="H55" s="100"/>
      <c r="I55" s="100"/>
      <c r="J55" s="342"/>
    </row>
    <row r="56" spans="3:12" x14ac:dyDescent="0.25">
      <c r="E56" s="31"/>
      <c r="F56" s="305"/>
      <c r="G56" s="116"/>
      <c r="H56" s="213"/>
      <c r="I56" s="213"/>
      <c r="J56" s="116"/>
      <c r="K56" s="116"/>
    </row>
    <row r="57" spans="3:12" x14ac:dyDescent="0.25">
      <c r="E57" s="116"/>
      <c r="F57" s="305"/>
      <c r="G57" s="116"/>
      <c r="H57" s="213"/>
      <c r="I57" s="213"/>
      <c r="J57" s="116"/>
      <c r="K57" s="116"/>
    </row>
    <row r="58" spans="3:12" x14ac:dyDescent="0.25">
      <c r="F58" s="305"/>
      <c r="G58" s="116"/>
    </row>
    <row r="59" spans="3:12" x14ac:dyDescent="0.25">
      <c r="E59" s="116"/>
      <c r="F59" s="305"/>
      <c r="G59" s="116"/>
      <c r="H59" s="213"/>
      <c r="I59" s="213"/>
      <c r="J59" s="116"/>
      <c r="K59" s="116"/>
    </row>
    <row r="60" spans="3:12" x14ac:dyDescent="0.25">
      <c r="E60" s="116"/>
      <c r="F60" s="305"/>
      <c r="G60" s="116"/>
      <c r="H60" s="213"/>
      <c r="I60" s="213"/>
      <c r="J60" s="116"/>
      <c r="K60" s="116"/>
    </row>
    <row r="61" spans="3:12" x14ac:dyDescent="0.25">
      <c r="F61" s="305"/>
      <c r="G61" s="116"/>
      <c r="H61" s="213"/>
    </row>
    <row r="62" spans="3:12" x14ac:dyDescent="0.25">
      <c r="G62" s="31"/>
      <c r="H62" s="99"/>
      <c r="I62" s="99"/>
      <c r="J62" s="31"/>
      <c r="K62" s="31"/>
    </row>
    <row r="63" spans="3:12" x14ac:dyDescent="0.25">
      <c r="F63" s="305"/>
      <c r="G63" s="116"/>
      <c r="H63" s="116"/>
      <c r="I63" s="213"/>
      <c r="J63" s="116"/>
      <c r="K63" s="116"/>
    </row>
    <row r="64" spans="3:12" x14ac:dyDescent="0.25">
      <c r="F64" s="305"/>
      <c r="G64" s="116"/>
      <c r="H64" s="213"/>
      <c r="I64" s="99"/>
      <c r="J64" s="116"/>
      <c r="K64" s="116"/>
    </row>
    <row r="65" spans="6:15" x14ac:dyDescent="0.25">
      <c r="F65" s="98"/>
      <c r="G65" s="31"/>
      <c r="H65" s="99"/>
      <c r="I65" s="99"/>
      <c r="J65" s="31"/>
      <c r="K65" s="31"/>
    </row>
    <row r="66" spans="6:15" x14ac:dyDescent="0.25">
      <c r="I66" s="99"/>
      <c r="J66" s="51"/>
      <c r="K66" s="51"/>
    </row>
    <row r="67" spans="6:15" x14ac:dyDescent="0.25">
      <c r="F67" s="98"/>
      <c r="G67" s="31"/>
      <c r="H67" s="99"/>
      <c r="I67" s="99"/>
      <c r="J67" s="31"/>
      <c r="K67" s="31"/>
    </row>
    <row r="68" spans="6:15" x14ac:dyDescent="0.25">
      <c r="I68" s="99"/>
      <c r="M68" s="31"/>
      <c r="N68" s="31"/>
      <c r="O68" s="31"/>
    </row>
    <row r="69" spans="6:15" x14ac:dyDescent="0.25">
      <c r="I69" s="99"/>
    </row>
    <row r="70" spans="6:15" x14ac:dyDescent="0.25">
      <c r="I70" s="99"/>
      <c r="J70" s="31"/>
    </row>
    <row r="71" spans="6:15" x14ac:dyDescent="0.25">
      <c r="I71" s="99"/>
    </row>
    <row r="72" spans="6:15" x14ac:dyDescent="0.25">
      <c r="I72" s="99"/>
    </row>
    <row r="73" spans="6:15" x14ac:dyDescent="0.25">
      <c r="I73" s="99"/>
    </row>
    <row r="75" spans="6:15" x14ac:dyDescent="0.25">
      <c r="I75" s="99"/>
      <c r="J75" s="31"/>
    </row>
    <row r="76" spans="6:15" x14ac:dyDescent="0.25">
      <c r="I76" s="99"/>
    </row>
  </sheetData>
  <mergeCells count="47">
    <mergeCell ref="L15:L20"/>
    <mergeCell ref="M15:M20"/>
    <mergeCell ref="C15:C20"/>
    <mergeCell ref="B7:M7"/>
    <mergeCell ref="L2:M2"/>
    <mergeCell ref="F4:F5"/>
    <mergeCell ref="G4:K4"/>
    <mergeCell ref="L4:L5"/>
    <mergeCell ref="M4:M5"/>
    <mergeCell ref="L13:L14"/>
    <mergeCell ref="M13:M14"/>
    <mergeCell ref="A4:A5"/>
    <mergeCell ref="B4:B5"/>
    <mergeCell ref="C4:C5"/>
    <mergeCell ref="D4:D5"/>
    <mergeCell ref="E4:E5"/>
    <mergeCell ref="A8:A11"/>
    <mergeCell ref="B8:B11"/>
    <mergeCell ref="C8:C11"/>
    <mergeCell ref="L8:L11"/>
    <mergeCell ref="M8:M11"/>
    <mergeCell ref="A13:A14"/>
    <mergeCell ref="B13:B14"/>
    <mergeCell ref="C13:C14"/>
    <mergeCell ref="J43:K43"/>
    <mergeCell ref="A30:D30"/>
    <mergeCell ref="A31:D31"/>
    <mergeCell ref="A32:D32"/>
    <mergeCell ref="A33:D33"/>
    <mergeCell ref="C35:E35"/>
    <mergeCell ref="H37:I37"/>
    <mergeCell ref="J37:K37"/>
    <mergeCell ref="A21:D21"/>
    <mergeCell ref="A22:D22"/>
    <mergeCell ref="A15:A16"/>
    <mergeCell ref="B15:B16"/>
    <mergeCell ref="A29:D29"/>
    <mergeCell ref="A17:A18"/>
    <mergeCell ref="A27:D27"/>
    <mergeCell ref="A28:D28"/>
    <mergeCell ref="A23:D23"/>
    <mergeCell ref="A24:D24"/>
    <mergeCell ref="A25:D25"/>
    <mergeCell ref="B17:B18"/>
    <mergeCell ref="A19:A20"/>
    <mergeCell ref="B19:B20"/>
    <mergeCell ref="A26:D26"/>
  </mergeCells>
  <pageMargins left="0.19685039370078741" right="0.19685039370078741" top="0.19685039370078741" bottom="0.19685039370078741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Морозова Наталья Евгеньевна</cp:lastModifiedBy>
  <cp:lastPrinted>2018-11-01T11:48:11Z</cp:lastPrinted>
  <dcterms:created xsi:type="dcterms:W3CDTF">2018-10-25T07:45:42Z</dcterms:created>
  <dcterms:modified xsi:type="dcterms:W3CDTF">2018-11-01T11:48:50Z</dcterms:modified>
</cp:coreProperties>
</file>