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895" windowHeight="11370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1'!$A$20:$W$89</definedName>
    <definedName name="_xlnm._FilterDatabase" localSheetId="1" hidden="1">'Подпрограмма 2'!$A$16:$W$141</definedName>
    <definedName name="_xlnm._FilterDatabase" localSheetId="2" hidden="1">'Подпрограмма 3'!$A$9:$X$44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1'!$A$1:$N$89</definedName>
    <definedName name="_xlnm.Print_Area" localSheetId="1">'Подпрограмма 2'!$A$1:$M$141</definedName>
    <definedName name="_xlnm.Print_Area" localSheetId="2">'Подпрограмма 3'!$A$1:$M$44</definedName>
    <definedName name="_xlnm.Print_Area" localSheetId="3">'Подпрограмма 4'!$A$1:$M$31</definedName>
    <definedName name="_xlnm.Print_Area" localSheetId="4">'Подпрограмма 5'!$A$4:$M$39</definedName>
  </definedNames>
  <calcPr calcId="145621"/>
</workbook>
</file>

<file path=xl/calcChain.xml><?xml version="1.0" encoding="utf-8"?>
<calcChain xmlns="http://schemas.openxmlformats.org/spreadsheetml/2006/main">
  <c r="J15" i="2" l="1"/>
  <c r="K15" i="2"/>
  <c r="F24" i="2"/>
  <c r="I18" i="2"/>
  <c r="I26" i="6" l="1"/>
  <c r="I19" i="6"/>
  <c r="I54" i="1" l="1"/>
  <c r="I55" i="1"/>
  <c r="I23" i="1" l="1"/>
  <c r="I62" i="2" l="1"/>
  <c r="I122" i="2"/>
  <c r="F122" i="2" s="1"/>
  <c r="I89" i="2"/>
  <c r="I83" i="2" s="1"/>
  <c r="I84" i="2"/>
  <c r="I68" i="2" l="1"/>
  <c r="I56" i="2"/>
  <c r="I21" i="1" l="1"/>
  <c r="I28" i="2" l="1"/>
  <c r="I26" i="2"/>
  <c r="I77" i="1" l="1"/>
  <c r="I76" i="1"/>
  <c r="I75" i="1"/>
  <c r="I47" i="1"/>
  <c r="I27" i="1"/>
  <c r="I26" i="1"/>
  <c r="I13" i="8" l="1"/>
  <c r="I24" i="6"/>
  <c r="I14" i="3"/>
  <c r="I82" i="2" l="1"/>
  <c r="I80" i="2"/>
  <c r="I72" i="2"/>
  <c r="I49" i="2"/>
  <c r="I37" i="2" l="1"/>
  <c r="I29" i="2"/>
  <c r="I22" i="2"/>
  <c r="I20" i="2"/>
  <c r="I52" i="1" l="1"/>
  <c r="I50" i="1"/>
  <c r="I33" i="1"/>
  <c r="I31" i="1"/>
  <c r="I24" i="1" l="1"/>
  <c r="E113" i="2" l="1"/>
  <c r="H113" i="2"/>
  <c r="G113" i="2"/>
  <c r="F127" i="2"/>
  <c r="F126" i="2"/>
  <c r="H30" i="6" l="1"/>
  <c r="I30" i="6"/>
  <c r="J30" i="6"/>
  <c r="K30" i="6"/>
  <c r="G30" i="6"/>
  <c r="H43" i="3"/>
  <c r="J43" i="3"/>
  <c r="K43" i="3"/>
  <c r="G43" i="3"/>
  <c r="J137" i="2"/>
  <c r="K137" i="2"/>
  <c r="G137" i="2"/>
  <c r="H85" i="1" l="1"/>
  <c r="I85" i="1"/>
  <c r="J85" i="1"/>
  <c r="J29" i="8" s="1"/>
  <c r="K85" i="1"/>
  <c r="K29" i="8" s="1"/>
  <c r="G85" i="1"/>
  <c r="G29" i="8" s="1"/>
  <c r="I19" i="3" l="1"/>
  <c r="I16" i="3"/>
  <c r="I38" i="2"/>
  <c r="I15" i="2" s="1"/>
  <c r="I32" i="1"/>
  <c r="I22" i="1"/>
  <c r="I98" i="2" l="1"/>
  <c r="F98" i="2" s="1"/>
  <c r="I97" i="2"/>
  <c r="F97" i="2" s="1"/>
  <c r="I96" i="2"/>
  <c r="F96" i="2" s="1"/>
  <c r="F99" i="2"/>
  <c r="F100" i="2"/>
  <c r="F101" i="2"/>
  <c r="F102" i="2"/>
  <c r="F103" i="2"/>
  <c r="F104" i="2"/>
  <c r="F105" i="2"/>
  <c r="I37" i="3"/>
  <c r="I38" i="3"/>
  <c r="I43" i="3" s="1"/>
  <c r="I19" i="8"/>
  <c r="F88" i="2"/>
  <c r="F95" i="2"/>
  <c r="I91" i="2" l="1"/>
  <c r="F91" i="2" s="1"/>
  <c r="I67" i="2"/>
  <c r="I46" i="1"/>
  <c r="I64" i="2"/>
  <c r="I57" i="2" s="1"/>
  <c r="I12" i="2" l="1"/>
  <c r="I65" i="2"/>
  <c r="I58" i="2" s="1"/>
  <c r="I66" i="2"/>
  <c r="I59" i="2" l="1"/>
  <c r="I137" i="2" s="1"/>
  <c r="I29" i="8" s="1"/>
  <c r="E84" i="2"/>
  <c r="E83" i="2"/>
  <c r="G84" i="2"/>
  <c r="G83" i="2"/>
  <c r="E82" i="2"/>
  <c r="E11" i="2" s="1"/>
  <c r="E134" i="2" s="1"/>
  <c r="H82" i="2"/>
  <c r="H11" i="2" s="1"/>
  <c r="I11" i="2"/>
  <c r="J82" i="2"/>
  <c r="J11" i="2" s="1"/>
  <c r="K82" i="2"/>
  <c r="K11" i="2" s="1"/>
  <c r="G82" i="2"/>
  <c r="G11" i="2" s="1"/>
  <c r="H83" i="2"/>
  <c r="J83" i="2"/>
  <c r="K83" i="2"/>
  <c r="H84" i="2"/>
  <c r="J84" i="2"/>
  <c r="K84" i="2"/>
  <c r="F85" i="2"/>
  <c r="F86" i="2"/>
  <c r="F87" i="2"/>
  <c r="F89" i="2"/>
  <c r="F90" i="2"/>
  <c r="F92" i="2"/>
  <c r="F93" i="2"/>
  <c r="F94" i="2"/>
  <c r="E106" i="2"/>
  <c r="I51" i="2"/>
  <c r="H134" i="2" l="1"/>
  <c r="G134" i="2"/>
  <c r="K134" i="2"/>
  <c r="J134" i="2"/>
  <c r="F11" i="2"/>
  <c r="I134" i="2"/>
  <c r="F84" i="2"/>
  <c r="F82" i="2"/>
  <c r="F83" i="2"/>
  <c r="F134" i="2" l="1"/>
  <c r="I17" i="2"/>
  <c r="F55" i="1" l="1"/>
  <c r="I35" i="2" l="1"/>
  <c r="K54" i="1" l="1"/>
  <c r="J54" i="1"/>
  <c r="K23" i="1"/>
  <c r="J23" i="1"/>
  <c r="F54" i="1" l="1"/>
  <c r="K21" i="1" l="1"/>
  <c r="K17" i="1" s="1"/>
  <c r="J21" i="1"/>
  <c r="J17" i="1" s="1"/>
  <c r="H14" i="8" l="1"/>
  <c r="H61" i="2"/>
  <c r="H31" i="2"/>
  <c r="H59" i="1"/>
  <c r="H18" i="2" l="1"/>
  <c r="H19" i="3"/>
  <c r="H16" i="3"/>
  <c r="H38" i="2"/>
  <c r="H19" i="2"/>
  <c r="H32" i="1"/>
  <c r="H23" i="1"/>
  <c r="H22" i="1"/>
  <c r="H24" i="6" l="1"/>
  <c r="H14" i="3"/>
  <c r="H62" i="2"/>
  <c r="H56" i="2"/>
  <c r="F30" i="2"/>
  <c r="H63" i="1"/>
  <c r="H40" i="1" l="1"/>
  <c r="F130" i="2" l="1"/>
  <c r="F81" i="2"/>
  <c r="K33" i="2"/>
  <c r="J33" i="2"/>
  <c r="I33" i="2"/>
  <c r="F80" i="1"/>
  <c r="F77" i="1"/>
  <c r="F53" i="1"/>
  <c r="F38" i="1"/>
  <c r="H20" i="2"/>
  <c r="H13" i="8"/>
  <c r="H35" i="2"/>
  <c r="F41" i="1"/>
  <c r="J47" i="1" l="1"/>
  <c r="K47" i="1"/>
  <c r="I111" i="2" l="1"/>
  <c r="K111" i="2"/>
  <c r="J111" i="2"/>
  <c r="I110" i="2"/>
  <c r="I135" i="2" s="1"/>
  <c r="J110" i="2"/>
  <c r="K110" i="2"/>
  <c r="H110" i="2"/>
  <c r="G110" i="2"/>
  <c r="F128" i="2"/>
  <c r="F129" i="2"/>
  <c r="I49" i="1"/>
  <c r="I17" i="1" s="1"/>
  <c r="F50" i="2" l="1"/>
  <c r="I59" i="1"/>
  <c r="J59" i="1"/>
  <c r="K59" i="1"/>
  <c r="G59" i="1"/>
  <c r="H58" i="1"/>
  <c r="I58" i="1"/>
  <c r="J58" i="1"/>
  <c r="K58" i="1"/>
  <c r="G58" i="1"/>
  <c r="F78" i="1"/>
  <c r="F79" i="1"/>
  <c r="F75" i="1"/>
  <c r="I25" i="1"/>
  <c r="H10" i="8" l="1"/>
  <c r="F32" i="3"/>
  <c r="J8" i="6" l="1"/>
  <c r="K8" i="6"/>
  <c r="I8" i="6"/>
  <c r="E59" i="1"/>
  <c r="F76" i="1"/>
  <c r="F59" i="1" l="1"/>
  <c r="F29" i="3" l="1"/>
  <c r="K24" i="8" l="1"/>
  <c r="J24" i="8"/>
  <c r="I24" i="8"/>
  <c r="G24" i="8"/>
  <c r="E24" i="8"/>
  <c r="K23" i="8"/>
  <c r="J23" i="8"/>
  <c r="H23" i="8"/>
  <c r="G23" i="8"/>
  <c r="E23" i="8"/>
  <c r="K22" i="8"/>
  <c r="J22" i="8"/>
  <c r="H22" i="8"/>
  <c r="G22" i="8"/>
  <c r="E22" i="8"/>
  <c r="K21" i="8"/>
  <c r="J21" i="8"/>
  <c r="G21" i="8"/>
  <c r="E21" i="8"/>
  <c r="F20" i="8"/>
  <c r="F19" i="8"/>
  <c r="F18" i="8"/>
  <c r="F17" i="8"/>
  <c r="N16" i="8"/>
  <c r="K16" i="8"/>
  <c r="J16" i="8"/>
  <c r="I16" i="8"/>
  <c r="I10" i="8" s="1"/>
  <c r="H16" i="8"/>
  <c r="G16" i="8"/>
  <c r="N15" i="8"/>
  <c r="K15" i="8"/>
  <c r="J15" i="8"/>
  <c r="I15" i="8"/>
  <c r="I9" i="8" s="1"/>
  <c r="H15" i="8"/>
  <c r="G15" i="8"/>
  <c r="F14" i="8"/>
  <c r="N13" i="8"/>
  <c r="G13" i="8"/>
  <c r="F13" i="8"/>
  <c r="E13" i="8"/>
  <c r="F12" i="8"/>
  <c r="K11" i="8"/>
  <c r="J11" i="8"/>
  <c r="I11" i="8"/>
  <c r="H11" i="8"/>
  <c r="F11" i="8" s="1"/>
  <c r="G11" i="8"/>
  <c r="E11" i="8"/>
  <c r="K10" i="8"/>
  <c r="J10" i="8"/>
  <c r="G10" i="8"/>
  <c r="E10" i="8"/>
  <c r="K9" i="8"/>
  <c r="J9" i="8"/>
  <c r="H9" i="8"/>
  <c r="G9" i="8"/>
  <c r="E9" i="8"/>
  <c r="K8" i="8"/>
  <c r="J8" i="8"/>
  <c r="G8" i="8"/>
  <c r="E8" i="8"/>
  <c r="K31" i="6"/>
  <c r="J31" i="6"/>
  <c r="I31" i="6"/>
  <c r="H31" i="6"/>
  <c r="G31" i="6"/>
  <c r="E31" i="6"/>
  <c r="F30" i="6"/>
  <c r="G29" i="6"/>
  <c r="E29" i="6"/>
  <c r="G28" i="6"/>
  <c r="E28" i="6"/>
  <c r="P27" i="6"/>
  <c r="F27" i="6"/>
  <c r="O26" i="6"/>
  <c r="N26" i="6"/>
  <c r="P26" i="6" s="1"/>
  <c r="F26" i="6"/>
  <c r="O25" i="6"/>
  <c r="F25" i="6"/>
  <c r="O24" i="6"/>
  <c r="N24" i="6"/>
  <c r="P24" i="6" s="1"/>
  <c r="G24" i="6"/>
  <c r="F24" i="6"/>
  <c r="P23" i="6"/>
  <c r="F23" i="6"/>
  <c r="P22" i="6"/>
  <c r="I22" i="6"/>
  <c r="F22" i="6"/>
  <c r="N21" i="6"/>
  <c r="P21" i="6" s="1"/>
  <c r="F21" i="6"/>
  <c r="N20" i="6"/>
  <c r="P20" i="6" s="1"/>
  <c r="F20" i="6"/>
  <c r="O19" i="6"/>
  <c r="N19" i="6"/>
  <c r="P19" i="6" s="1"/>
  <c r="F19" i="6"/>
  <c r="K18" i="6"/>
  <c r="J18" i="6"/>
  <c r="I18" i="6"/>
  <c r="F18" i="6" s="1"/>
  <c r="H18" i="6"/>
  <c r="G18" i="6"/>
  <c r="E18" i="6"/>
  <c r="K17" i="6"/>
  <c r="K16" i="6" s="1"/>
  <c r="J17" i="6"/>
  <c r="J16" i="6" s="1"/>
  <c r="I17" i="6"/>
  <c r="H17" i="6"/>
  <c r="H16" i="6" s="1"/>
  <c r="G17" i="6"/>
  <c r="E17" i="6"/>
  <c r="G16" i="6"/>
  <c r="E16" i="6"/>
  <c r="P15" i="6"/>
  <c r="F15" i="6"/>
  <c r="N14" i="6"/>
  <c r="P14" i="6" s="1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N9" i="6"/>
  <c r="P9" i="6" s="1"/>
  <c r="F9" i="6"/>
  <c r="E9" i="6"/>
  <c r="H8" i="6"/>
  <c r="G8" i="6"/>
  <c r="E8" i="6"/>
  <c r="Q44" i="3"/>
  <c r="P44" i="3"/>
  <c r="O44" i="3"/>
  <c r="N44" i="3"/>
  <c r="Q43" i="3"/>
  <c r="P43" i="3"/>
  <c r="O43" i="3"/>
  <c r="N43" i="3"/>
  <c r="F43" i="3"/>
  <c r="Q42" i="3"/>
  <c r="P42" i="3"/>
  <c r="Q41" i="3"/>
  <c r="P41" i="3"/>
  <c r="O41" i="3"/>
  <c r="N41" i="3"/>
  <c r="I41" i="3"/>
  <c r="N39" i="3"/>
  <c r="P39" i="3" s="1"/>
  <c r="F39" i="3"/>
  <c r="F38" i="3"/>
  <c r="N37" i="3"/>
  <c r="P37" i="3" s="1"/>
  <c r="K37" i="3"/>
  <c r="J37" i="3"/>
  <c r="G37" i="3"/>
  <c r="F37" i="3" s="1"/>
  <c r="N36" i="3"/>
  <c r="P36" i="3" s="1"/>
  <c r="H36" i="3"/>
  <c r="H35" i="3" s="1"/>
  <c r="H33" i="3" s="1"/>
  <c r="G36" i="3"/>
  <c r="F36" i="3" s="1"/>
  <c r="K35" i="3"/>
  <c r="J35" i="3"/>
  <c r="J33" i="3" s="1"/>
  <c r="I35" i="3"/>
  <c r="E35" i="3"/>
  <c r="E33" i="3" s="1"/>
  <c r="K34" i="3"/>
  <c r="J34" i="3"/>
  <c r="I34" i="3"/>
  <c r="H34" i="3"/>
  <c r="G34" i="3"/>
  <c r="F34" i="3" s="1"/>
  <c r="E34" i="3"/>
  <c r="N32" i="3"/>
  <c r="P32" i="3" s="1"/>
  <c r="K31" i="3"/>
  <c r="K30" i="3" s="1"/>
  <c r="J31" i="3"/>
  <c r="J41" i="3" s="1"/>
  <c r="I31" i="3"/>
  <c r="I30" i="3" s="1"/>
  <c r="H31" i="3"/>
  <c r="G31" i="3"/>
  <c r="G30" i="3" s="1"/>
  <c r="F31" i="3"/>
  <c r="E31" i="3"/>
  <c r="E30" i="3" s="1"/>
  <c r="H30" i="3"/>
  <c r="F28" i="3"/>
  <c r="F27" i="3"/>
  <c r="N26" i="3"/>
  <c r="P26" i="3" s="1"/>
  <c r="F26" i="3"/>
  <c r="P25" i="3"/>
  <c r="F25" i="3"/>
  <c r="E25" i="3"/>
  <c r="P24" i="3"/>
  <c r="F24" i="3"/>
  <c r="P23" i="3"/>
  <c r="K23" i="3"/>
  <c r="J23" i="3"/>
  <c r="F23" i="3"/>
  <c r="N22" i="3"/>
  <c r="P22" i="3" s="1"/>
  <c r="F22" i="3"/>
  <c r="N21" i="3"/>
  <c r="P21" i="3" s="1"/>
  <c r="F21" i="3"/>
  <c r="P20" i="3"/>
  <c r="F20" i="3"/>
  <c r="P19" i="3"/>
  <c r="F19" i="3"/>
  <c r="P18" i="3"/>
  <c r="F18" i="3"/>
  <c r="N17" i="3"/>
  <c r="P17" i="3" s="1"/>
  <c r="F17" i="3"/>
  <c r="P16" i="3"/>
  <c r="F16" i="3"/>
  <c r="P15" i="3"/>
  <c r="F15" i="3"/>
  <c r="N14" i="3"/>
  <c r="P14" i="3" s="1"/>
  <c r="F14" i="3"/>
  <c r="E14" i="3"/>
  <c r="P13" i="3"/>
  <c r="F13" i="3"/>
  <c r="K12" i="3"/>
  <c r="K44" i="3" s="1"/>
  <c r="J12" i="3"/>
  <c r="I12" i="3"/>
  <c r="I44" i="3" s="1"/>
  <c r="H12" i="3"/>
  <c r="G12" i="3"/>
  <c r="G44" i="3" s="1"/>
  <c r="E12" i="3"/>
  <c r="E44" i="3" s="1"/>
  <c r="K11" i="3"/>
  <c r="K42" i="3" s="1"/>
  <c r="J11" i="3"/>
  <c r="I11" i="3"/>
  <c r="H11" i="3"/>
  <c r="G11" i="3"/>
  <c r="E11" i="3"/>
  <c r="E42" i="3" s="1"/>
  <c r="K10" i="3"/>
  <c r="K41" i="3" s="1"/>
  <c r="J10" i="3"/>
  <c r="I10" i="3"/>
  <c r="H10" i="3"/>
  <c r="H41" i="3" s="1"/>
  <c r="G10" i="3"/>
  <c r="G41" i="3" s="1"/>
  <c r="E10" i="3"/>
  <c r="E9" i="3" s="1"/>
  <c r="G9" i="3"/>
  <c r="K33" i="8"/>
  <c r="I33" i="8"/>
  <c r="H141" i="2"/>
  <c r="N125" i="2"/>
  <c r="P125" i="2" s="1"/>
  <c r="F125" i="2"/>
  <c r="P124" i="2"/>
  <c r="F124" i="2"/>
  <c r="N123" i="2"/>
  <c r="P123" i="2" s="1"/>
  <c r="F123" i="2"/>
  <c r="N122" i="2"/>
  <c r="P122" i="2" s="1"/>
  <c r="O121" i="2"/>
  <c r="N121" i="2"/>
  <c r="G121" i="2"/>
  <c r="F121" i="2" s="1"/>
  <c r="H120" i="2"/>
  <c r="H111" i="2" s="1"/>
  <c r="I119" i="2"/>
  <c r="I112" i="2" s="1"/>
  <c r="H119" i="2"/>
  <c r="H112" i="2" s="1"/>
  <c r="G119" i="2"/>
  <c r="E119" i="2"/>
  <c r="G118" i="2"/>
  <c r="G111" i="2" s="1"/>
  <c r="F117" i="2"/>
  <c r="F116" i="2"/>
  <c r="E116" i="2"/>
  <c r="E111" i="2" s="1"/>
  <c r="P115" i="2"/>
  <c r="F115" i="2"/>
  <c r="P114" i="2"/>
  <c r="F114" i="2"/>
  <c r="G141" i="2"/>
  <c r="E141" i="2"/>
  <c r="K112" i="2"/>
  <c r="J112" i="2"/>
  <c r="E112" i="2"/>
  <c r="N108" i="2"/>
  <c r="P108" i="2" s="1"/>
  <c r="G108" i="2"/>
  <c r="F108" i="2" s="1"/>
  <c r="N107" i="2"/>
  <c r="P107" i="2" s="1"/>
  <c r="G107" i="2"/>
  <c r="F107" i="2" s="1"/>
  <c r="K106" i="2"/>
  <c r="J106" i="2"/>
  <c r="I106" i="2"/>
  <c r="H106" i="2"/>
  <c r="N80" i="2"/>
  <c r="P80" i="2" s="1"/>
  <c r="F80" i="2"/>
  <c r="N79" i="2"/>
  <c r="P79" i="2" s="1"/>
  <c r="F79" i="2"/>
  <c r="P78" i="2"/>
  <c r="F78" i="2"/>
  <c r="O77" i="2"/>
  <c r="N77" i="2"/>
  <c r="I77" i="2"/>
  <c r="I13" i="2" s="1"/>
  <c r="G77" i="2"/>
  <c r="N76" i="2"/>
  <c r="P76" i="2" s="1"/>
  <c r="F76" i="2"/>
  <c r="P75" i="2"/>
  <c r="F75" i="2"/>
  <c r="N74" i="2"/>
  <c r="P74" i="2" s="1"/>
  <c r="G74" i="2"/>
  <c r="F74" i="2"/>
  <c r="N73" i="2"/>
  <c r="P73" i="2" s="1"/>
  <c r="G73" i="2"/>
  <c r="F73" i="2" s="1"/>
  <c r="O72" i="2"/>
  <c r="N72" i="2"/>
  <c r="F72" i="2"/>
  <c r="N71" i="2"/>
  <c r="P71" i="2" s="1"/>
  <c r="F71" i="2"/>
  <c r="P70" i="2"/>
  <c r="F70" i="2"/>
  <c r="P69" i="2"/>
  <c r="F69" i="2"/>
  <c r="N68" i="2"/>
  <c r="P68" i="2" s="1"/>
  <c r="F68" i="2"/>
  <c r="O67" i="2"/>
  <c r="N67" i="2"/>
  <c r="P67" i="2" s="1"/>
  <c r="H67" i="2"/>
  <c r="G67" i="2"/>
  <c r="E67" i="2"/>
  <c r="P66" i="2"/>
  <c r="F66" i="2"/>
  <c r="P65" i="2"/>
  <c r="F65" i="2"/>
  <c r="P64" i="2"/>
  <c r="F64" i="2"/>
  <c r="O63" i="2"/>
  <c r="O59" i="2" s="1"/>
  <c r="P59" i="2" s="1"/>
  <c r="F63" i="2"/>
  <c r="O62" i="2"/>
  <c r="P62" i="2" s="1"/>
  <c r="G62" i="2"/>
  <c r="F62" i="2" s="1"/>
  <c r="O61" i="2"/>
  <c r="P61" i="2" s="1"/>
  <c r="F61" i="2"/>
  <c r="O60" i="2"/>
  <c r="P60" i="2" s="1"/>
  <c r="J60" i="2"/>
  <c r="J14" i="2" s="1"/>
  <c r="H60" i="2"/>
  <c r="H59" i="2"/>
  <c r="H137" i="2" s="1"/>
  <c r="H29" i="8" s="1"/>
  <c r="N58" i="2"/>
  <c r="K58" i="2"/>
  <c r="K13" i="2" s="1"/>
  <c r="J58" i="2"/>
  <c r="J13" i="2" s="1"/>
  <c r="H58" i="2"/>
  <c r="O57" i="2"/>
  <c r="N57" i="2"/>
  <c r="K57" i="2"/>
  <c r="K12" i="2" s="1"/>
  <c r="J57" i="2"/>
  <c r="J12" i="2" s="1"/>
  <c r="H57" i="2"/>
  <c r="G57" i="2"/>
  <c r="N56" i="2"/>
  <c r="P56" i="2" s="1"/>
  <c r="G56" i="2"/>
  <c r="F56" i="2" s="1"/>
  <c r="P55" i="2"/>
  <c r="F55" i="2"/>
  <c r="N54" i="2"/>
  <c r="P54" i="2" s="1"/>
  <c r="F54" i="2"/>
  <c r="E54" i="2"/>
  <c r="N53" i="2"/>
  <c r="P53" i="2" s="1"/>
  <c r="F53" i="2"/>
  <c r="O52" i="2"/>
  <c r="P52" i="2" s="1"/>
  <c r="F52" i="2"/>
  <c r="N51" i="2"/>
  <c r="P51" i="2" s="1"/>
  <c r="F51" i="2"/>
  <c r="E51" i="2"/>
  <c r="N49" i="2"/>
  <c r="P49" i="2" s="1"/>
  <c r="F49" i="2"/>
  <c r="O48" i="2"/>
  <c r="N48" i="2"/>
  <c r="G48" i="2"/>
  <c r="F48" i="2" s="1"/>
  <c r="P47" i="2"/>
  <c r="F47" i="2"/>
  <c r="N46" i="2"/>
  <c r="P46" i="2" s="1"/>
  <c r="G46" i="2"/>
  <c r="F46" i="2" s="1"/>
  <c r="N45" i="2"/>
  <c r="P45" i="2" s="1"/>
  <c r="F45" i="2"/>
  <c r="P44" i="2"/>
  <c r="F44" i="2"/>
  <c r="P43" i="2"/>
  <c r="F43" i="2"/>
  <c r="P42" i="2"/>
  <c r="F42" i="2"/>
  <c r="P41" i="2"/>
  <c r="F41" i="2"/>
  <c r="O40" i="2"/>
  <c r="N40" i="2"/>
  <c r="H40" i="2"/>
  <c r="F40" i="2" s="1"/>
  <c r="E40" i="2"/>
  <c r="N39" i="2"/>
  <c r="P39" i="2" s="1"/>
  <c r="G39" i="2"/>
  <c r="O38" i="2"/>
  <c r="P38" i="2" s="1"/>
  <c r="G38" i="2"/>
  <c r="F38" i="2" s="1"/>
  <c r="O37" i="2"/>
  <c r="N37" i="2"/>
  <c r="G37" i="2"/>
  <c r="P36" i="2"/>
  <c r="F36" i="2"/>
  <c r="O35" i="2"/>
  <c r="N35" i="2"/>
  <c r="G35" i="2"/>
  <c r="F35" i="2" s="1"/>
  <c r="P34" i="2"/>
  <c r="F34" i="2"/>
  <c r="N33" i="2"/>
  <c r="P33" i="2" s="1"/>
  <c r="F33" i="2"/>
  <c r="N32" i="2"/>
  <c r="P32" i="2" s="1"/>
  <c r="F32" i="2"/>
  <c r="N31" i="2"/>
  <c r="P31" i="2" s="1"/>
  <c r="F31" i="2"/>
  <c r="O29" i="2"/>
  <c r="N29" i="2"/>
  <c r="F29" i="2"/>
  <c r="N28" i="2"/>
  <c r="P28" i="2" s="1"/>
  <c r="F28" i="2"/>
  <c r="N27" i="2"/>
  <c r="P27" i="2" s="1"/>
  <c r="F27" i="2"/>
  <c r="E27" i="2"/>
  <c r="N26" i="2"/>
  <c r="P26" i="2" s="1"/>
  <c r="F26" i="2"/>
  <c r="N25" i="2"/>
  <c r="P25" i="2" s="1"/>
  <c r="G25" i="2"/>
  <c r="F23" i="2"/>
  <c r="O22" i="2"/>
  <c r="N22" i="2"/>
  <c r="H22" i="2"/>
  <c r="F22" i="2" s="1"/>
  <c r="P21" i="2"/>
  <c r="F21" i="2"/>
  <c r="O20" i="2"/>
  <c r="N20" i="2"/>
  <c r="F20" i="2"/>
  <c r="P19" i="2"/>
  <c r="F19" i="2"/>
  <c r="O18" i="2"/>
  <c r="P18" i="2" s="1"/>
  <c r="G18" i="2"/>
  <c r="F18" i="2" s="1"/>
  <c r="N17" i="2"/>
  <c r="P17" i="2" s="1"/>
  <c r="F17" i="2"/>
  <c r="K16" i="2"/>
  <c r="K140" i="2" s="1"/>
  <c r="J16" i="2"/>
  <c r="J140" i="2" s="1"/>
  <c r="I16" i="2"/>
  <c r="I140" i="2" s="1"/>
  <c r="H16" i="2"/>
  <c r="H140" i="2" s="1"/>
  <c r="G16" i="2"/>
  <c r="G140" i="2" s="1"/>
  <c r="E16" i="2"/>
  <c r="E140" i="2" s="1"/>
  <c r="K139" i="2"/>
  <c r="J139" i="2"/>
  <c r="I139" i="2"/>
  <c r="E15" i="2"/>
  <c r="E139" i="2" s="1"/>
  <c r="K14" i="2"/>
  <c r="I14" i="2"/>
  <c r="E14" i="2"/>
  <c r="K89" i="1"/>
  <c r="J89" i="1"/>
  <c r="I89" i="1"/>
  <c r="Q88" i="1"/>
  <c r="P88" i="1"/>
  <c r="O88" i="1"/>
  <c r="Q87" i="1"/>
  <c r="P87" i="1"/>
  <c r="O87" i="1"/>
  <c r="P86" i="1"/>
  <c r="Q85" i="1"/>
  <c r="P85" i="1"/>
  <c r="O85" i="1"/>
  <c r="N85" i="1"/>
  <c r="E85" i="1"/>
  <c r="Q84" i="1"/>
  <c r="P84" i="1"/>
  <c r="Q83" i="1"/>
  <c r="P83" i="1"/>
  <c r="E82" i="1"/>
  <c r="E26" i="8" s="1"/>
  <c r="P74" i="1"/>
  <c r="F74" i="1"/>
  <c r="P73" i="1"/>
  <c r="P72" i="1"/>
  <c r="P71" i="1"/>
  <c r="N70" i="1"/>
  <c r="P70" i="1" s="1"/>
  <c r="N69" i="1"/>
  <c r="P69" i="1" s="1"/>
  <c r="P68" i="1"/>
  <c r="F68" i="1"/>
  <c r="P67" i="1"/>
  <c r="F67" i="1"/>
  <c r="P66" i="1"/>
  <c r="F66" i="1"/>
  <c r="P65" i="1"/>
  <c r="F65" i="1"/>
  <c r="P64" i="1"/>
  <c r="F64" i="1"/>
  <c r="E64" i="1"/>
  <c r="E58" i="1" s="1"/>
  <c r="F63" i="1"/>
  <c r="P62" i="1"/>
  <c r="F62" i="1"/>
  <c r="P61" i="1"/>
  <c r="H61" i="1"/>
  <c r="H89" i="1" s="1"/>
  <c r="G61" i="1"/>
  <c r="G89" i="1" s="1"/>
  <c r="E61" i="1"/>
  <c r="E89" i="1" s="1"/>
  <c r="N60" i="1"/>
  <c r="N63" i="1" s="1"/>
  <c r="P63" i="1" s="1"/>
  <c r="K60" i="1"/>
  <c r="J60" i="1"/>
  <c r="I60" i="1"/>
  <c r="H60" i="1"/>
  <c r="G60" i="1"/>
  <c r="E60" i="1"/>
  <c r="P59" i="1"/>
  <c r="P58" i="1"/>
  <c r="P57" i="1"/>
  <c r="K57" i="1"/>
  <c r="J57" i="1"/>
  <c r="J82" i="1" s="1"/>
  <c r="J26" i="8" s="1"/>
  <c r="I57" i="1"/>
  <c r="H57" i="1"/>
  <c r="H82" i="1" s="1"/>
  <c r="H26" i="8" s="1"/>
  <c r="G57" i="1"/>
  <c r="G82" i="1" s="1"/>
  <c r="G26" i="8" s="1"/>
  <c r="E57" i="1"/>
  <c r="P56" i="1"/>
  <c r="N52" i="1"/>
  <c r="P52" i="1" s="1"/>
  <c r="F52" i="1"/>
  <c r="P51" i="1"/>
  <c r="G51" i="1"/>
  <c r="F51" i="1"/>
  <c r="N50" i="1"/>
  <c r="P50" i="1" s="1"/>
  <c r="F50" i="1"/>
  <c r="N49" i="1"/>
  <c r="P49" i="1" s="1"/>
  <c r="H49" i="1"/>
  <c r="G49" i="1"/>
  <c r="F49" i="1"/>
  <c r="P48" i="1"/>
  <c r="F48" i="1"/>
  <c r="N47" i="1"/>
  <c r="P47" i="1" s="1"/>
  <c r="H47" i="1"/>
  <c r="G47" i="1"/>
  <c r="N46" i="1"/>
  <c r="P46" i="1" s="1"/>
  <c r="H46" i="1"/>
  <c r="G46" i="1"/>
  <c r="F46" i="1" s="1"/>
  <c r="E46" i="1"/>
  <c r="E16" i="1" s="1"/>
  <c r="P45" i="1"/>
  <c r="J45" i="1"/>
  <c r="Q86" i="1" s="1"/>
  <c r="H45" i="1"/>
  <c r="O86" i="1" s="1"/>
  <c r="P44" i="1"/>
  <c r="F44" i="1"/>
  <c r="P43" i="1"/>
  <c r="F43" i="1"/>
  <c r="E43" i="1"/>
  <c r="P42" i="1"/>
  <c r="F42" i="1"/>
  <c r="P40" i="1"/>
  <c r="G40" i="1"/>
  <c r="F40" i="1" s="1"/>
  <c r="N39" i="1"/>
  <c r="P39" i="1" s="1"/>
  <c r="F39" i="1"/>
  <c r="N37" i="1"/>
  <c r="P37" i="1" s="1"/>
  <c r="F37" i="1"/>
  <c r="E37" i="1"/>
  <c r="E17" i="1" s="1"/>
  <c r="P36" i="1"/>
  <c r="G36" i="1"/>
  <c r="F36" i="1" s="1"/>
  <c r="P35" i="1"/>
  <c r="G35" i="1"/>
  <c r="F35" i="1"/>
  <c r="P34" i="1"/>
  <c r="G34" i="1"/>
  <c r="F34" i="1"/>
  <c r="N33" i="1"/>
  <c r="P33" i="1" s="1"/>
  <c r="G33" i="1"/>
  <c r="F33" i="1" s="1"/>
  <c r="P32" i="1"/>
  <c r="G32" i="1"/>
  <c r="N87" i="1" s="1"/>
  <c r="F32" i="1"/>
  <c r="N31" i="1"/>
  <c r="P31" i="1" s="1"/>
  <c r="G31" i="1"/>
  <c r="N86" i="1" s="1"/>
  <c r="E31" i="1"/>
  <c r="N30" i="1"/>
  <c r="P30" i="1" s="1"/>
  <c r="G30" i="1"/>
  <c r="P29" i="1"/>
  <c r="F29" i="1"/>
  <c r="N28" i="1"/>
  <c r="P28" i="1" s="1"/>
  <c r="F28" i="1"/>
  <c r="N27" i="1"/>
  <c r="P27" i="1" s="1"/>
  <c r="F27" i="1"/>
  <c r="N26" i="1"/>
  <c r="P26" i="1" s="1"/>
  <c r="F26" i="1"/>
  <c r="P25" i="1"/>
  <c r="F25" i="1"/>
  <c r="N24" i="1"/>
  <c r="P24" i="1" s="1"/>
  <c r="F24" i="1"/>
  <c r="N23" i="1"/>
  <c r="P23" i="1" s="1"/>
  <c r="G23" i="1"/>
  <c r="G20" i="1" s="1"/>
  <c r="G88" i="1" s="1"/>
  <c r="P22" i="1"/>
  <c r="F22" i="1"/>
  <c r="N21" i="1"/>
  <c r="P21" i="1" s="1"/>
  <c r="F21" i="1"/>
  <c r="K20" i="1"/>
  <c r="K88" i="1" s="1"/>
  <c r="J20" i="1"/>
  <c r="J88" i="1" s="1"/>
  <c r="I20" i="1"/>
  <c r="I88" i="1" s="1"/>
  <c r="H20" i="1"/>
  <c r="H88" i="1" s="1"/>
  <c r="E20" i="1"/>
  <c r="E88" i="1" s="1"/>
  <c r="K19" i="1"/>
  <c r="K87" i="1" s="1"/>
  <c r="J19" i="1"/>
  <c r="J87" i="1" s="1"/>
  <c r="I19" i="1"/>
  <c r="I87" i="1" s="1"/>
  <c r="H19" i="1"/>
  <c r="E19" i="1"/>
  <c r="E87" i="1" s="1"/>
  <c r="K18" i="1"/>
  <c r="I18" i="1"/>
  <c r="H18" i="1"/>
  <c r="K84" i="1"/>
  <c r="J84" i="1"/>
  <c r="I84" i="1"/>
  <c r="E84" i="1"/>
  <c r="K16" i="1"/>
  <c r="J16" i="1"/>
  <c r="I16" i="1"/>
  <c r="J30" i="3" l="1"/>
  <c r="F10" i="3"/>
  <c r="H42" i="3"/>
  <c r="H40" i="3" s="1"/>
  <c r="J9" i="3"/>
  <c r="G35" i="3"/>
  <c r="K33" i="3"/>
  <c r="O42" i="3"/>
  <c r="E41" i="3"/>
  <c r="E40" i="3" s="1"/>
  <c r="N42" i="3"/>
  <c r="O84" i="1"/>
  <c r="H17" i="1"/>
  <c r="H84" i="1" s="1"/>
  <c r="N83" i="1"/>
  <c r="H16" i="1"/>
  <c r="H83" i="1" s="1"/>
  <c r="F30" i="1"/>
  <c r="G17" i="1"/>
  <c r="F47" i="1"/>
  <c r="O83" i="1"/>
  <c r="J10" i="2"/>
  <c r="K10" i="2"/>
  <c r="I10" i="2"/>
  <c r="G14" i="2"/>
  <c r="P40" i="2"/>
  <c r="G12" i="2"/>
  <c r="E13" i="2"/>
  <c r="E136" i="2" s="1"/>
  <c r="E12" i="2"/>
  <c r="E135" i="2" s="1"/>
  <c r="F39" i="2"/>
  <c r="F118" i="2"/>
  <c r="P72" i="2"/>
  <c r="P22" i="2"/>
  <c r="H12" i="2"/>
  <c r="P77" i="2"/>
  <c r="I16" i="6"/>
  <c r="F16" i="6" s="1"/>
  <c r="F67" i="2"/>
  <c r="F77" i="2"/>
  <c r="F119" i="2"/>
  <c r="P29" i="2"/>
  <c r="F37" i="2"/>
  <c r="H13" i="2"/>
  <c r="H136" i="2" s="1"/>
  <c r="P37" i="2"/>
  <c r="F120" i="2"/>
  <c r="F25" i="2"/>
  <c r="P48" i="2"/>
  <c r="F60" i="2"/>
  <c r="J138" i="2"/>
  <c r="G106" i="2"/>
  <c r="F106" i="2" s="1"/>
  <c r="G15" i="2"/>
  <c r="G139" i="2" s="1"/>
  <c r="O58" i="2"/>
  <c r="P58" i="2" s="1"/>
  <c r="P63" i="2"/>
  <c r="G112" i="2"/>
  <c r="H14" i="2"/>
  <c r="P20" i="2"/>
  <c r="P35" i="2"/>
  <c r="G58" i="2"/>
  <c r="G13" i="2" s="1"/>
  <c r="F31" i="6"/>
  <c r="G18" i="1"/>
  <c r="G86" i="1" s="1"/>
  <c r="F23" i="1"/>
  <c r="F45" i="1"/>
  <c r="E18" i="1"/>
  <c r="E86" i="1" s="1"/>
  <c r="G84" i="1"/>
  <c r="N88" i="1"/>
  <c r="G19" i="1"/>
  <c r="G87" i="1" s="1"/>
  <c r="F31" i="1"/>
  <c r="G16" i="1"/>
  <c r="G83" i="1" s="1"/>
  <c r="F15" i="8"/>
  <c r="F59" i="2"/>
  <c r="N25" i="6"/>
  <c r="P25" i="6" s="1"/>
  <c r="E15" i="1"/>
  <c r="J18" i="1"/>
  <c r="J86" i="1" s="1"/>
  <c r="N84" i="1"/>
  <c r="J44" i="3"/>
  <c r="J31" i="8" s="1"/>
  <c r="F12" i="3"/>
  <c r="H44" i="3"/>
  <c r="H9" i="3"/>
  <c r="H8" i="8"/>
  <c r="H24" i="8"/>
  <c r="H29" i="6"/>
  <c r="H28" i="6" s="1"/>
  <c r="N38" i="3"/>
  <c r="P38" i="3" s="1"/>
  <c r="I22" i="8"/>
  <c r="F22" i="8" s="1"/>
  <c r="F9" i="8"/>
  <c r="F16" i="8"/>
  <c r="K29" i="6"/>
  <c r="K28" i="6" s="1"/>
  <c r="F17" i="6"/>
  <c r="P57" i="2"/>
  <c r="I23" i="8"/>
  <c r="I8" i="8"/>
  <c r="F10" i="8"/>
  <c r="J29" i="6"/>
  <c r="J28" i="6" s="1"/>
  <c r="I29" i="6"/>
  <c r="I28" i="6" s="1"/>
  <c r="F8" i="6"/>
  <c r="F41" i="3"/>
  <c r="J42" i="3"/>
  <c r="I33" i="3"/>
  <c r="I42" i="3"/>
  <c r="I40" i="3" s="1"/>
  <c r="F30" i="3"/>
  <c r="K40" i="3"/>
  <c r="K9" i="3"/>
  <c r="F11" i="3"/>
  <c r="I9" i="3"/>
  <c r="F20" i="1"/>
  <c r="F16" i="2"/>
  <c r="I138" i="2"/>
  <c r="F29" i="8"/>
  <c r="K109" i="2"/>
  <c r="K136" i="2"/>
  <c r="I109" i="2"/>
  <c r="E138" i="2"/>
  <c r="F111" i="2"/>
  <c r="H109" i="2"/>
  <c r="I86" i="1"/>
  <c r="H86" i="1"/>
  <c r="F57" i="1"/>
  <c r="J56" i="1"/>
  <c r="K83" i="1"/>
  <c r="G56" i="1"/>
  <c r="K56" i="1"/>
  <c r="F85" i="1"/>
  <c r="E83" i="1"/>
  <c r="I56" i="1"/>
  <c r="F89" i="1"/>
  <c r="F88" i="1"/>
  <c r="I82" i="1"/>
  <c r="I26" i="8" s="1"/>
  <c r="K82" i="1"/>
  <c r="K26" i="8" s="1"/>
  <c r="K86" i="1"/>
  <c r="K15" i="1"/>
  <c r="E56" i="1"/>
  <c r="P60" i="1"/>
  <c r="G33" i="8"/>
  <c r="I83" i="1"/>
  <c r="J83" i="1"/>
  <c r="I15" i="1"/>
  <c r="F58" i="1"/>
  <c r="F60" i="1"/>
  <c r="E31" i="8"/>
  <c r="F61" i="1"/>
  <c r="H56" i="1"/>
  <c r="K32" i="8"/>
  <c r="E33" i="8"/>
  <c r="E32" i="8"/>
  <c r="I31" i="8"/>
  <c r="I136" i="2"/>
  <c r="K138" i="2"/>
  <c r="J136" i="2"/>
  <c r="F110" i="2"/>
  <c r="F113" i="2"/>
  <c r="J135" i="2"/>
  <c r="E109" i="2"/>
  <c r="H32" i="8"/>
  <c r="I32" i="8"/>
  <c r="K31" i="8"/>
  <c r="G32" i="8"/>
  <c r="F140" i="2"/>
  <c r="J32" i="8"/>
  <c r="F57" i="2"/>
  <c r="J33" i="8"/>
  <c r="F141" i="2"/>
  <c r="J109" i="2"/>
  <c r="K135" i="2"/>
  <c r="H33" i="8"/>
  <c r="H15" i="2"/>
  <c r="H139" i="2" s="1"/>
  <c r="H87" i="1"/>
  <c r="G42" i="3" l="1"/>
  <c r="G40" i="3" s="1"/>
  <c r="G33" i="3"/>
  <c r="F33" i="3" s="1"/>
  <c r="F35" i="3"/>
  <c r="E133" i="2"/>
  <c r="G10" i="2"/>
  <c r="F10" i="2" s="1"/>
  <c r="F14" i="2"/>
  <c r="H15" i="1"/>
  <c r="F16" i="1"/>
  <c r="H10" i="2"/>
  <c r="G135" i="2"/>
  <c r="E10" i="2"/>
  <c r="F12" i="2"/>
  <c r="H135" i="2"/>
  <c r="H138" i="2"/>
  <c r="H30" i="8" s="1"/>
  <c r="F58" i="2"/>
  <c r="G109" i="2"/>
  <c r="F112" i="2"/>
  <c r="F109" i="2" s="1"/>
  <c r="J133" i="2"/>
  <c r="K28" i="8"/>
  <c r="K133" i="2"/>
  <c r="G138" i="2"/>
  <c r="F17" i="1"/>
  <c r="E30" i="8"/>
  <c r="G15" i="1"/>
  <c r="F19" i="1"/>
  <c r="J15" i="1"/>
  <c r="G31" i="8"/>
  <c r="F18" i="1"/>
  <c r="F15" i="2"/>
  <c r="F8" i="8"/>
  <c r="J30" i="8"/>
  <c r="G81" i="1"/>
  <c r="J40" i="3"/>
  <c r="F9" i="3"/>
  <c r="F44" i="3"/>
  <c r="H21" i="8"/>
  <c r="F24" i="8"/>
  <c r="F56" i="1"/>
  <c r="I21" i="8"/>
  <c r="F23" i="8"/>
  <c r="F29" i="6"/>
  <c r="F28" i="6" s="1"/>
  <c r="I30" i="8"/>
  <c r="I28" i="8"/>
  <c r="F137" i="2"/>
  <c r="I133" i="2"/>
  <c r="E27" i="8"/>
  <c r="E81" i="1"/>
  <c r="F84" i="1"/>
  <c r="F83" i="1"/>
  <c r="K81" i="1"/>
  <c r="J81" i="1"/>
  <c r="I81" i="1"/>
  <c r="F82" i="1"/>
  <c r="N26" i="8" s="1"/>
  <c r="K30" i="8"/>
  <c r="F86" i="1"/>
  <c r="N32" i="8"/>
  <c r="H27" i="8"/>
  <c r="J27" i="8"/>
  <c r="F33" i="8"/>
  <c r="J28" i="8"/>
  <c r="K27" i="8"/>
  <c r="H28" i="8"/>
  <c r="F13" i="2"/>
  <c r="G136" i="2"/>
  <c r="E28" i="8"/>
  <c r="G27" i="8"/>
  <c r="F32" i="8"/>
  <c r="F139" i="2"/>
  <c r="F87" i="1"/>
  <c r="H81" i="1"/>
  <c r="H31" i="8"/>
  <c r="F42" i="3" l="1"/>
  <c r="F138" i="2"/>
  <c r="N30" i="8" s="1"/>
  <c r="H133" i="2"/>
  <c r="G30" i="8"/>
  <c r="F30" i="8" s="1"/>
  <c r="G133" i="2"/>
  <c r="F135" i="2"/>
  <c r="N27" i="8" s="1"/>
  <c r="F15" i="1"/>
  <c r="F40" i="3"/>
  <c r="F21" i="8"/>
  <c r="I27" i="8"/>
  <c r="I25" i="8" s="1"/>
  <c r="F26" i="8"/>
  <c r="J25" i="8"/>
  <c r="N133" i="2"/>
  <c r="E25" i="8"/>
  <c r="K25" i="8"/>
  <c r="G28" i="8"/>
  <c r="F28" i="8" s="1"/>
  <c r="F136" i="2"/>
  <c r="F31" i="8"/>
  <c r="H25" i="8"/>
  <c r="N31" i="8"/>
  <c r="F81" i="1"/>
  <c r="N28" i="8" l="1"/>
  <c r="F133" i="2"/>
  <c r="F27" i="8"/>
  <c r="G25" i="8"/>
  <c r="F25" i="8" s="1"/>
</calcChain>
</file>

<file path=xl/sharedStrings.xml><?xml version="1.0" encoding="utf-8"?>
<sst xmlns="http://schemas.openxmlformats.org/spreadsheetml/2006/main" count="958" uniqueCount="359">
  <si>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</si>
  <si>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</si>
  <si>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</si>
  <si>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</si>
  <si>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</si>
  <si>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</si>
  <si>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</si>
  <si>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</si>
  <si>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</si>
  <si>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</si>
  <si>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</si>
  <si>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</si>
  <si>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</si>
  <si>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</si>
  <si>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</si>
  <si>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</si>
  <si>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</si>
  <si>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</si>
  <si>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</si>
  <si>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</si>
  <si>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</si>
  <si>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</si>
  <si>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</si>
  <si>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</si>
  <si>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</si>
  <si>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</si>
  <si>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</si>
  <si>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</si>
  <si>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</si>
  <si>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</si>
  <si>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</si>
  <si>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</si>
  <si>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</si>
  <si>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</si>
  <si>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</si>
  <si>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</si>
  <si>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</si>
  <si>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</si>
  <si>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</si>
  <si>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</si>
  <si>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</si>
  <si>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</si>
  <si>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</si>
  <si>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</si>
  <si>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</si>
  <si>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</si>
  <si>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</si>
  <si>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</si>
  <si>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</si>
  <si>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</si>
  <si>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</si>
  <si>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</si>
  <si>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</si>
  <si>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</si>
  <si>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</si>
  <si>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</si>
  <si>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</si>
  <si>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</si>
  <si>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</si>
  <si>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</si>
  <si>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</si>
  <si>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</si>
  <si>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</si>
  <si>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</si>
  <si>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</si>
  <si>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</si>
  <si>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</si>
  <si>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</si>
  <si>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</si>
  <si>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</si>
  <si>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</si>
  <si>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</si>
  <si>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</si>
  <si>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</si>
  <si>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</si>
  <si>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</si>
  <si>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</si>
  <si>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</si>
  <si>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</si>
  <si>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</si>
  <si>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</si>
  <si>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</si>
  <si>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 xml:space="preserve">Г.Б. Кувшинникова    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</si>
  <si>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</si>
  <si>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</si>
  <si>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</si>
  <si>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</si>
  <si>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</si>
  <si>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</si>
  <si>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</si>
  <si>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</si>
  <si>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</si>
  <si>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</si>
  <si>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</si>
  <si>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</si>
  <si>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</si>
  <si>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</si>
  <si>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</si>
  <si>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</si>
  <si>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</si>
  <si>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</si>
  <si>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</si>
  <si>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</si>
  <si>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</si>
  <si>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</si>
  <si>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</si>
  <si>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</si>
  <si>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</si>
  <si>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</si>
  <si>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</si>
  <si>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</si>
  <si>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</si>
  <si>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</si>
  <si>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</si>
  <si>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</si>
  <si>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</si>
  <si>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</si>
  <si>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</si>
  <si>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</si>
  <si>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</si>
  <si>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</si>
  <si>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</si>
  <si>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</si>
  <si>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</si>
  <si>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</si>
  <si>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</si>
  <si>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</si>
  <si>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</si>
  <si>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</si>
  <si>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</si>
  <si>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</si>
  <si>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</si>
  <si>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</si>
  <si>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</si>
  <si>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</si>
  <si>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</si>
  <si>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</si>
  <si>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</si>
  <si>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</si>
  <si>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</si>
  <si>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</si>
  <si>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</si>
  <si>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</si>
  <si>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</si>
  <si>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</si>
  <si>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</si>
  <si>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</si>
  <si>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</si>
  <si>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</si>
  <si>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</si>
  <si>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</si>
  <si>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</si>
  <si>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</si>
  <si>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</si>
  <si>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</si>
  <si>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</si>
  <si>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</si>
  <si>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</si>
  <si>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</si>
  <si>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</si>
  <si>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</si>
  <si>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</si>
  <si>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</si>
  <si>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</si>
  <si>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</si>
  <si>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</si>
  <si>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</si>
  <si>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</si>
  <si>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</si>
  <si>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</si>
  <si>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</si>
  <si>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</si>
  <si>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</si>
  <si>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</si>
  <si>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</si>
  <si>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</si>
  <si>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</si>
  <si>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</si>
  <si>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</si>
  <si>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</si>
  <si>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</si>
  <si>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</si>
  <si>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</si>
  <si>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</si>
  <si>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</si>
  <si>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</si>
  <si>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</si>
  <si>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</si>
  <si>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</si>
  <si>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</si>
  <si>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</si>
  <si>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</si>
  <si>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</si>
  <si>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</si>
  <si>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</si>
  <si>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</si>
  <si>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</si>
  <si>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</si>
  <si>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</si>
  <si>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</si>
  <si>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</si>
  <si>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</si>
  <si>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</si>
  <si>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</si>
  <si>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</si>
  <si>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</si>
  <si>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</si>
  <si>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</si>
  <si>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</si>
  <si>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</si>
  <si>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</si>
  <si>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</si>
  <si>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</si>
  <si>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</si>
  <si>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</si>
  <si>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</si>
  <si>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</si>
  <si>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</si>
  <si>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</si>
  <si>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</si>
  <si>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</si>
  <si>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</si>
  <si>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</si>
  <si>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</si>
  <si>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</si>
  <si>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</si>
  <si>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</si>
  <si>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</si>
  <si>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</si>
  <si>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</si>
  <si>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</si>
  <si>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</si>
  <si>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</si>
  <si>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</si>
  <si>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</si>
  <si>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</si>
  <si>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</si>
  <si>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</si>
  <si>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</si>
  <si>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 xml:space="preserve"> -</t>
  </si>
  <si>
    <t>2019-2020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</si>
  <si>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</si>
  <si>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</si>
  <si>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</si>
  <si>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</si>
  <si>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</si>
  <si>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</si>
  <si>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</si>
  <si>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</si>
  <si>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</si>
  <si>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</si>
  <si>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</si>
  <si>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</si>
  <si>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</si>
  <si>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</si>
  <si>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</si>
  <si>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</si>
  <si>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</si>
  <si>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</si>
  <si>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</si>
  <si>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</si>
  <si>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</si>
  <si>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</si>
  <si>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</si>
  <si>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</si>
  <si>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</si>
  <si>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</si>
  <si>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</si>
  <si>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2019-2021 годы</t>
  </si>
  <si>
    <t>Мероприятие 55. Строительство. г. Одинцово, мкр. Отрадное, ул. Северная, детский сад на 280 мест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</si>
  <si>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</si>
  <si>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</si>
  <si>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</si>
  <si>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</si>
  <si>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</si>
  <si>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</si>
  <si>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</si>
  <si>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</si>
  <si>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</si>
  <si>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</si>
  <si>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</si>
  <si>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</si>
  <si>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</si>
  <si>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</si>
  <si>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</si>
  <si>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</si>
  <si>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</si>
  <si>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</si>
  <si>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</si>
  <si>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</si>
  <si>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</si>
  <si>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</si>
  <si>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</si>
  <si>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</si>
  <si>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</si>
  <si>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</si>
  <si>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</si>
  <si>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</si>
  <si>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</si>
  <si>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</si>
  <si>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</si>
  <si>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</si>
  <si>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</si>
  <si>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</si>
  <si>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приобретение мебели ДОУ 75</t>
  </si>
  <si>
    <t>1903,490 Одинбург</t>
  </si>
  <si>
    <t>Больш.Вязём ДОУ70 + 700 000,00 Успенская СОШ - 1195000,00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</si>
  <si>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</si>
  <si>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</si>
  <si>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</si>
  <si>
    <t>Проведен капитальный ремонт стадиона на территории МБОУ Барвихинская СОШ (2018 год)</t>
  </si>
  <si>
    <t>Мероприятие 56. Строительство. Детский сад на 330 мест (в том числе 70 мест кратковременного пребывания) по адресу: Московская обл., Одинцовский район, г. Кубинка (ПИР и строительство)</t>
  </si>
  <si>
    <t>2019-2022 годы</t>
  </si>
  <si>
    <t xml:space="preserve">Мероприятие 54. Строительство. "СОШ на 550 мест" по адресу: Московская область, Одинцовский район, п. Горки-2, в том числе ПИР </t>
  </si>
  <si>
    <t>Мероприятие 57. Строительство. Детский сад на 400 мест по адресу: Московская область, Одинцовский район, г. Одинцово, ЖК "Гусарская баллада" (ПИР и строительство)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</si>
  <si>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 </t>
  </si>
  <si>
    <t xml:space="preserve"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</t>
  </si>
  <si>
    <t>Строительство новых зданий, пристроек и реконструкция действующих зданий (4 объектов): 2018 год - 1 объекта, 2019 год - 1 объект, 2021 год - 1 объект, 2022 год - 1 объект, )</t>
  </si>
  <si>
    <t>Мероприятие 19. Обеспечение  дошкольных образовательных учреждений  продуктами питания</t>
  </si>
  <si>
    <t>Закупка продуктов питания для дошкольных образовательных учреждений</t>
  </si>
  <si>
    <t>в т.ч. за счет средств  родительской платы за присмотр и уход за детьми</t>
  </si>
  <si>
    <t>1.29</t>
  </si>
  <si>
    <t>Мероприятие Е1. Федеральный проект "Современная школа" национального проекта "Образование"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</si>
  <si>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</si>
  <si>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общеобразовательным программам </t>
  </si>
  <si>
    <t>Приобретение автобусов для доставки обучающихся в общеобразовательные организации (2018 -  Часцовская СОШ, 2019 - Школа "Гармония")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</si>
  <si>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</si>
  <si>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</si>
  <si>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</t>
  </si>
  <si>
    <t>Мероприятие 21. 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</si>
  <si>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</si>
  <si>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 xml:space="preserve">Приложение № 1 к муниципальной программе </t>
  </si>
  <si>
    <t>Создание центров образования цифрового и гуманитарного профилей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</si>
  <si>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</si>
  <si>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</si>
  <si>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 xml:space="preserve"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</si>
  <si>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6.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</si>
  <si>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r>
      <t xml:space="preserve">Количество обучающихся на один компьютер в муниципальных учреждениях составит 7 человек. Наличие школьных локальных сетей в 100% </t>
    </r>
    <r>
      <rPr>
        <sz val="13"/>
        <rFont val="Times New Roman"/>
        <family val="1"/>
        <charset val="204"/>
      </rPr>
      <t>муниципальных</t>
    </r>
    <r>
      <rPr>
        <sz val="14"/>
        <rFont val="Times New Roman"/>
        <family val="1"/>
        <charset val="204"/>
      </rPr>
      <t xml:space="preserve"> общеобразовательных учреждениях, оснащение компьтерным оборудованием (2018). Наличие комплекта оборудо-вания, в соответст-вии с требованиями, для проведения ГИА (2019)</t>
    </r>
  </si>
  <si>
    <t>1.30</t>
  </si>
  <si>
    <t>Мероприятие Е4. 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</si>
  <si>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</si>
  <si>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</si>
  <si>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</t>
  </si>
  <si>
    <t>Обеспечено оснащение планшетными компьютерами МБОУ Голицынская СОШ №2 и МБОУ Старогородковская СОШ</t>
  </si>
  <si>
    <t>Обеспечено оснащение мультимедийными проекторами и экранами для мультимедийных проекторов МБОУ Голицынская СОШ №2 и МБОУ Старогородковская СОШ</t>
  </si>
  <si>
    <t>Обеспечено внедрение целевой модели цифровой образовательной среды в МБОУ ОЛГ, МБОУ Одинцовская СОШ №3 и МБОУ Одинцовский лицей № 10 в рамках реализации федерального проекта "Цифровая образовательная среда" национального проекта "Образование"</t>
  </si>
  <si>
    <t>Мероприятие 56. Общеобразовательная школа на 654 мест, Одинцовский муниципальный район, р.п. Заречье</t>
  </si>
  <si>
    <t>2017- 2021 годы</t>
  </si>
  <si>
    <t>Мероприятие 57. Московская область, Одинцовский район, сельское поселение Жаворонковское, с. Перхушково</t>
  </si>
  <si>
    <t xml:space="preserve">     Строительство новых зданий, пристроек и реконструкция действующих зданий (6 объектов): 2017 год - 1 объект, 2020 год - 1 объекта, 2021 год - 3 объект, 2022 год - 1 объект.</t>
  </si>
  <si>
    <t>Мероприятие 55. Строительство. Пристройка на 500 мест к МБОУ Одинцовская гимназия №14 по адресу: Московская область, г. Одинцово, бульвар Маршала Крылова, д. 5 (ПИР и строительство)</t>
  </si>
  <si>
    <t>2018 - 2019 годы</t>
  </si>
  <si>
    <t>Приложение № 3</t>
  </si>
  <si>
    <t xml:space="preserve">к постановлению Администрации Одинцовского </t>
  </si>
  <si>
    <t>муниципального района Московской области</t>
  </si>
  <si>
    <t>Мероприятие P2.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</si>
  <si>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от «31» 05. 2019 № 2720</t>
  </si>
  <si>
    <t>Мероприятие Е1.Барвихинская средняя общеобразовательная школа по адресу:  Московская область, Одинцовский район, поселок Барвиха, дом 41</t>
  </si>
  <si>
    <t>Мероприятие Е1. Строительство. "СОШ на 2200 мест" по адресу: Московская область, Одинцовский район, г. Одинцово, ЖК "Гусарская баллада" (ПИР и 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</si>
</sst>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"/>
    <numFmt numFmtId="167" formatCode="0.000"/>
    <numFmt numFmtId="168" formatCode="#,##0.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775">
    <xf numFmtId="0" fontId="0" fillId="0" borderId="0" xfId="0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/>
    <xf numFmtId="0" fontId="5" fillId="2" borderId="0" xfId="1" applyFont="1" applyFill="1" applyAlignment="1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5" fillId="0" borderId="0" xfId="7" applyNumberFormat="1" applyFont="1" applyFill="1" applyBorder="1" applyAlignment="1" applyProtection="1">
      <alignment vertical="top" wrapText="1"/>
    </xf>
    <xf numFmtId="0" fontId="5" fillId="3" borderId="0" xfId="7" applyNumberFormat="1" applyFont="1" applyFill="1" applyBorder="1" applyAlignment="1" applyProtection="1">
      <alignment vertical="top"/>
    </xf>
    <xf numFmtId="0" fontId="7" fillId="2" borderId="0" xfId="7" applyNumberFormat="1" applyFont="1" applyFill="1" applyBorder="1" applyAlignment="1" applyProtection="1">
      <alignment horizontal="center" vertical="top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6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0" borderId="27" xfId="4" applyNumberFormat="1" applyFont="1" applyFill="1" applyBorder="1" applyAlignment="1" applyProtection="1">
      <alignment horizontal="center" vertical="top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165" fontId="6" fillId="0" borderId="0" xfId="0" applyNumberFormat="1" applyFont="1"/>
    <xf numFmtId="167" fontId="6" fillId="0" borderId="0" xfId="0" applyNumberFormat="1" applyFont="1"/>
    <xf numFmtId="165" fontId="8" fillId="11" borderId="2" xfId="7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/>
    <xf numFmtId="165" fontId="8" fillId="11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0" fontId="6" fillId="5" borderId="0" xfId="0" applyFont="1" applyFill="1"/>
    <xf numFmtId="0" fontId="6" fillId="8" borderId="0" xfId="0" applyFont="1" applyFill="1"/>
    <xf numFmtId="165" fontId="6" fillId="5" borderId="0" xfId="0" applyNumberFormat="1" applyFont="1" applyFill="1"/>
    <xf numFmtId="165" fontId="6" fillId="6" borderId="0" xfId="0" applyNumberFormat="1" applyFont="1" applyFill="1"/>
    <xf numFmtId="0" fontId="6" fillId="5" borderId="0" xfId="0" applyFont="1" applyFill="1" applyAlignment="1"/>
    <xf numFmtId="165" fontId="8" fillId="11" borderId="2" xfId="4" applyNumberFormat="1" applyFont="1" applyFill="1" applyBorder="1" applyAlignment="1" applyProtection="1">
      <alignment horizontal="center" vertical="center"/>
    </xf>
    <xf numFmtId="165" fontId="8" fillId="11" borderId="2" xfId="4" applyNumberFormat="1" applyFont="1" applyFill="1" applyBorder="1" applyAlignment="1" applyProtection="1">
      <alignment horizontal="center" vertical="center" wrapText="1"/>
    </xf>
    <xf numFmtId="165" fontId="8" fillId="0" borderId="2" xfId="7" applyNumberFormat="1" applyFont="1" applyFill="1" applyBorder="1" applyAlignment="1" applyProtection="1">
      <alignment horizontal="right" vertical="center" wrapText="1"/>
    </xf>
    <xf numFmtId="0" fontId="9" fillId="0" borderId="2" xfId="1" applyFont="1" applyFill="1" applyBorder="1"/>
    <xf numFmtId="165" fontId="8" fillId="0" borderId="2" xfId="1" applyNumberFormat="1" applyFont="1" applyFill="1" applyBorder="1" applyAlignment="1">
      <alignment horizontal="right" vertical="center"/>
    </xf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1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1" applyFont="1" applyFill="1"/>
    <xf numFmtId="0" fontId="5" fillId="10" borderId="0" xfId="7" applyNumberFormat="1" applyFont="1" applyFill="1" applyBorder="1" applyAlignment="1" applyProtection="1">
      <alignment vertical="top"/>
    </xf>
    <xf numFmtId="0" fontId="8" fillId="0" borderId="2" xfId="11" applyNumberFormat="1" applyFont="1" applyFill="1" applyBorder="1" applyAlignment="1" applyProtection="1">
      <alignment horizontal="center" vertical="center" wrapText="1"/>
    </xf>
    <xf numFmtId="164" fontId="7" fillId="2" borderId="0" xfId="4" applyNumberFormat="1" applyFont="1" applyFill="1" applyBorder="1" applyAlignment="1" applyProtection="1">
      <alignment horizontal="center" vertical="center" wrapText="1"/>
    </xf>
    <xf numFmtId="0" fontId="3" fillId="2" borderId="0" xfId="4" applyNumberFormat="1" applyFont="1" applyFill="1" applyBorder="1" applyAlignment="1" applyProtection="1">
      <alignment vertical="top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165" fontId="8" fillId="0" borderId="2" xfId="4" applyNumberFormat="1" applyFont="1" applyFill="1" applyBorder="1" applyAlignment="1" applyProtection="1">
      <alignment horizontal="center" vertical="center"/>
    </xf>
    <xf numFmtId="165" fontId="9" fillId="0" borderId="6" xfId="4" applyNumberFormat="1" applyFont="1" applyFill="1" applyBorder="1" applyAlignment="1" applyProtection="1">
      <alignment horizontal="center" vertical="center"/>
    </xf>
    <xf numFmtId="165" fontId="9" fillId="0" borderId="2" xfId="4" applyNumberFormat="1" applyFont="1" applyFill="1" applyBorder="1" applyAlignment="1" applyProtection="1">
      <alignment horizontal="center" vertical="center"/>
    </xf>
    <xf numFmtId="4" fontId="6" fillId="0" borderId="0" xfId="0" applyNumberFormat="1" applyFont="1"/>
    <xf numFmtId="165" fontId="8" fillId="11" borderId="6" xfId="4" applyNumberFormat="1" applyFont="1" applyFill="1" applyBorder="1" applyAlignment="1" applyProtection="1">
      <alignment horizontal="center" vertical="center"/>
    </xf>
    <xf numFmtId="165" fontId="8" fillId="11" borderId="6" xfId="4" applyNumberFormat="1" applyFont="1" applyFill="1" applyBorder="1" applyAlignment="1" applyProtection="1">
      <alignment horizontal="center" vertical="center" wrapText="1"/>
    </xf>
    <xf numFmtId="165" fontId="8" fillId="11" borderId="8" xfId="4" applyNumberFormat="1" applyFont="1" applyFill="1" applyBorder="1" applyAlignment="1" applyProtection="1">
      <alignment horizontal="center" vertical="center" wrapText="1"/>
    </xf>
    <xf numFmtId="165" fontId="8" fillId="11" borderId="8" xfId="1" applyNumberFormat="1" applyFont="1" applyFill="1" applyBorder="1" applyAlignment="1">
      <alignment horizontal="center" vertical="center" wrapText="1"/>
    </xf>
    <xf numFmtId="0" fontId="12" fillId="9" borderId="0" xfId="0" applyFont="1" applyFill="1"/>
    <xf numFmtId="165" fontId="8" fillId="11" borderId="2" xfId="4" applyNumberFormat="1" applyFont="1" applyFill="1" applyBorder="1" applyAlignment="1">
      <alignment horizontal="center" vertical="center" wrapText="1"/>
    </xf>
    <xf numFmtId="165" fontId="8" fillId="11" borderId="2" xfId="2" applyNumberFormat="1" applyFont="1" applyFill="1" applyBorder="1" applyAlignment="1" applyProtection="1">
      <alignment horizontal="center" vertical="center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5" fontId="9" fillId="11" borderId="2" xfId="3" applyNumberFormat="1" applyFont="1" applyFill="1" applyBorder="1" applyAlignment="1" applyProtection="1">
      <alignment horizontal="center" vertical="center" wrapText="1"/>
    </xf>
    <xf numFmtId="0" fontId="13" fillId="0" borderId="27" xfId="3" applyNumberFormat="1" applyFont="1" applyFill="1" applyBorder="1" applyAlignment="1" applyProtection="1">
      <alignment horizontal="center" vertical="top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8" xfId="3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165" fontId="8" fillId="11" borderId="2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165" fontId="9" fillId="11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9" fillId="11" borderId="2" xfId="0" applyNumberFormat="1" applyFont="1" applyFill="1" applyBorder="1" applyAlignment="1">
      <alignment horizontal="center" vertical="center" wrapText="1"/>
    </xf>
    <xf numFmtId="4" fontId="9" fillId="11" borderId="12" xfId="0" applyNumberFormat="1" applyFont="1" applyFill="1" applyBorder="1" applyAlignment="1">
      <alignment horizontal="center" vertical="center" wrapText="1"/>
    </xf>
    <xf numFmtId="165" fontId="9" fillId="11" borderId="12" xfId="0" applyNumberFormat="1" applyFont="1" applyFill="1" applyBorder="1" applyAlignment="1">
      <alignment horizontal="center" vertical="center"/>
    </xf>
    <xf numFmtId="4" fontId="5" fillId="11" borderId="3" xfId="0" applyNumberFormat="1" applyFont="1" applyFill="1" applyBorder="1" applyAlignment="1">
      <alignment horizontal="center" vertical="center" wrapText="1"/>
    </xf>
    <xf numFmtId="165" fontId="5" fillId="11" borderId="12" xfId="0" applyNumberFormat="1" applyFont="1" applyFill="1" applyBorder="1" applyAlignment="1">
      <alignment horizontal="center" vertical="center" wrapText="1"/>
    </xf>
    <xf numFmtId="165" fontId="8" fillId="0" borderId="2" xfId="4" applyNumberFormat="1" applyFont="1" applyFill="1" applyBorder="1" applyAlignment="1" applyProtection="1">
      <alignment horizontal="right" vertical="center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8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4" fontId="6" fillId="0" borderId="0" xfId="0" applyNumberFormat="1" applyFont="1" applyFill="1"/>
    <xf numFmtId="165" fontId="9" fillId="0" borderId="2" xfId="2" applyNumberFormat="1" applyFont="1" applyFill="1" applyBorder="1" applyAlignment="1" applyProtection="1">
      <alignment horizontal="center" vertical="center" wrapText="1"/>
    </xf>
    <xf numFmtId="165" fontId="8" fillId="0" borderId="8" xfId="2" applyNumberFormat="1" applyFont="1" applyFill="1" applyBorder="1" applyAlignment="1" applyProtection="1">
      <alignment horizontal="center" vertical="center" wrapText="1"/>
    </xf>
    <xf numFmtId="165" fontId="9" fillId="0" borderId="8" xfId="2" applyNumberFormat="1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center" vertical="center" wrapText="1"/>
    </xf>
    <xf numFmtId="165" fontId="9" fillId="0" borderId="2" xfId="4" applyNumberFormat="1" applyFont="1" applyFill="1" applyBorder="1" applyAlignment="1" applyProtection="1">
      <alignment horizontal="center" vertical="center" wrapText="1"/>
    </xf>
    <xf numFmtId="0" fontId="18" fillId="0" borderId="2" xfId="4" applyNumberFormat="1" applyFont="1" applyFill="1" applyBorder="1" applyAlignment="1" applyProtection="1">
      <alignment vertical="top"/>
    </xf>
    <xf numFmtId="0" fontId="18" fillId="0" borderId="27" xfId="4" applyNumberFormat="1" applyFont="1" applyFill="1" applyBorder="1" applyAlignment="1" applyProtection="1">
      <alignment vertical="top"/>
    </xf>
    <xf numFmtId="165" fontId="8" fillId="0" borderId="37" xfId="1" applyNumberFormat="1" applyFont="1" applyFill="1" applyBorder="1" applyAlignment="1">
      <alignment horizontal="right" vertical="center"/>
    </xf>
    <xf numFmtId="0" fontId="9" fillId="0" borderId="37" xfId="1" applyFont="1" applyFill="1" applyBorder="1"/>
    <xf numFmtId="0" fontId="6" fillId="0" borderId="0" xfId="0" applyFont="1" applyAlignment="1">
      <alignment horizontal="center"/>
    </xf>
    <xf numFmtId="49" fontId="9" fillId="0" borderId="26" xfId="5" applyNumberFormat="1" applyFont="1" applyFill="1" applyBorder="1" applyAlignment="1" applyProtection="1">
      <alignment horizontal="center" vertical="top"/>
    </xf>
    <xf numFmtId="0" fontId="13" fillId="0" borderId="2" xfId="3" applyNumberFormat="1" applyFont="1" applyFill="1" applyBorder="1" applyAlignment="1" applyProtection="1">
      <alignment horizontal="center" vertical="top" wrapText="1"/>
    </xf>
    <xf numFmtId="165" fontId="8" fillId="11" borderId="2" xfId="3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165" fontId="8" fillId="11" borderId="2" xfId="5" applyNumberFormat="1" applyFont="1" applyFill="1" applyBorder="1" applyAlignment="1" applyProtection="1">
      <alignment horizontal="center" vertical="center"/>
    </xf>
    <xf numFmtId="165" fontId="9" fillId="0" borderId="2" xfId="5" applyNumberFormat="1" applyFont="1" applyFill="1" applyBorder="1" applyAlignment="1" applyProtection="1">
      <alignment horizontal="center" vertical="center"/>
    </xf>
    <xf numFmtId="165" fontId="9" fillId="11" borderId="2" xfId="5" applyNumberFormat="1" applyFont="1" applyFill="1" applyBorder="1" applyAlignment="1" applyProtection="1">
      <alignment horizontal="center" vertical="center"/>
    </xf>
    <xf numFmtId="165" fontId="8" fillId="11" borderId="2" xfId="5" applyNumberFormat="1" applyFont="1" applyFill="1" applyBorder="1" applyAlignment="1" applyProtection="1">
      <alignment horizontal="center" vertical="center" wrapText="1"/>
    </xf>
    <xf numFmtId="0" fontId="8" fillId="0" borderId="27" xfId="4" applyNumberFormat="1" applyFont="1" applyFill="1" applyBorder="1" applyAlignment="1">
      <alignment horizontal="left" vertical="top" wrapText="1" indent="1"/>
    </xf>
    <xf numFmtId="165" fontId="8" fillId="0" borderId="37" xfId="4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10" fillId="10" borderId="0" xfId="0" applyFont="1" applyFill="1"/>
    <xf numFmtId="0" fontId="10" fillId="0" borderId="0" xfId="0" applyFont="1" applyFill="1"/>
    <xf numFmtId="4" fontId="6" fillId="10" borderId="0" xfId="0" applyNumberFormat="1" applyFont="1" applyFill="1"/>
    <xf numFmtId="49" fontId="8" fillId="0" borderId="2" xfId="5" applyNumberFormat="1" applyFont="1" applyFill="1" applyBorder="1" applyAlignment="1" applyProtection="1">
      <alignment horizontal="center" vertical="center" wrapText="1"/>
    </xf>
    <xf numFmtId="165" fontId="9" fillId="0" borderId="2" xfId="5" applyNumberFormat="1" applyFont="1" applyFill="1" applyBorder="1" applyAlignment="1" applyProtection="1">
      <alignment horizontal="center" vertical="center" wrapText="1"/>
    </xf>
    <xf numFmtId="0" fontId="18" fillId="0" borderId="2" xfId="5" applyNumberFormat="1" applyFont="1" applyFill="1" applyBorder="1" applyAlignment="1" applyProtection="1">
      <alignment vertical="top"/>
    </xf>
    <xf numFmtId="0" fontId="18" fillId="0" borderId="27" xfId="5" applyNumberFormat="1" applyFont="1" applyFill="1" applyBorder="1" applyAlignment="1" applyProtection="1">
      <alignment vertical="top"/>
    </xf>
    <xf numFmtId="165" fontId="8" fillId="0" borderId="37" xfId="7" applyNumberFormat="1" applyFont="1" applyFill="1" applyBorder="1" applyAlignment="1" applyProtection="1">
      <alignment horizontal="center" vertical="center" wrapText="1"/>
    </xf>
    <xf numFmtId="0" fontId="18" fillId="0" borderId="0" xfId="5" applyNumberFormat="1" applyFont="1" applyFill="1" applyBorder="1" applyAlignment="1" applyProtection="1">
      <alignment vertical="top"/>
    </xf>
    <xf numFmtId="0" fontId="18" fillId="3" borderId="0" xfId="5" applyNumberFormat="1" applyFont="1" applyFill="1" applyBorder="1" applyAlignment="1" applyProtection="1">
      <alignment vertical="top"/>
    </xf>
    <xf numFmtId="165" fontId="18" fillId="0" borderId="0" xfId="5" applyNumberFormat="1" applyFont="1" applyFill="1" applyBorder="1" applyAlignment="1" applyProtection="1">
      <alignment vertical="top"/>
    </xf>
    <xf numFmtId="0" fontId="18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165" fontId="5" fillId="0" borderId="0" xfId="5" applyNumberFormat="1" applyFont="1" applyFill="1" applyBorder="1" applyAlignment="1" applyProtection="1">
      <alignment vertical="top"/>
    </xf>
    <xf numFmtId="165" fontId="10" fillId="0" borderId="0" xfId="0" applyNumberFormat="1" applyFont="1"/>
    <xf numFmtId="165" fontId="10" fillId="5" borderId="0" xfId="0" applyNumberFormat="1" applyFont="1" applyFill="1"/>
    <xf numFmtId="165" fontId="8" fillId="11" borderId="8" xfId="2" applyNumberFormat="1" applyFont="1" applyFill="1" applyBorder="1" applyAlignment="1" applyProtection="1">
      <alignment horizontal="center" vertical="center"/>
    </xf>
    <xf numFmtId="165" fontId="8" fillId="11" borderId="2" xfId="11" applyNumberFormat="1" applyFont="1" applyFill="1" applyBorder="1" applyAlignment="1" applyProtection="1">
      <alignment horizontal="center" vertical="center" wrapText="1"/>
    </xf>
    <xf numFmtId="165" fontId="8" fillId="9" borderId="2" xfId="1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165" fontId="9" fillId="4" borderId="0" xfId="1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top"/>
    </xf>
    <xf numFmtId="165" fontId="8" fillId="9" borderId="2" xfId="4" applyNumberFormat="1" applyFont="1" applyFill="1" applyBorder="1" applyAlignment="1" applyProtection="1">
      <alignment horizontal="center" vertical="center"/>
    </xf>
    <xf numFmtId="165" fontId="8" fillId="9" borderId="6" xfId="4" applyNumberFormat="1" applyFont="1" applyFill="1" applyBorder="1" applyAlignment="1" applyProtection="1">
      <alignment horizontal="center" vertical="center"/>
    </xf>
    <xf numFmtId="165" fontId="8" fillId="9" borderId="2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8" fillId="4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49" fontId="8" fillId="0" borderId="0" xfId="5" applyNumberFormat="1" applyFont="1" applyFill="1" applyBorder="1" applyAlignment="1" applyProtection="1">
      <alignment horizontal="center" vertical="top"/>
    </xf>
    <xf numFmtId="0" fontId="8" fillId="4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165" fontId="8" fillId="9" borderId="2" xfId="5" applyNumberFormat="1" applyFont="1" applyFill="1" applyBorder="1" applyAlignment="1" applyProtection="1">
      <alignment horizontal="center" vertical="center" wrapText="1"/>
    </xf>
    <xf numFmtId="0" fontId="18" fillId="7" borderId="0" xfId="5" applyNumberFormat="1" applyFont="1" applyFill="1" applyBorder="1" applyAlignment="1" applyProtection="1">
      <alignment vertical="top"/>
    </xf>
    <xf numFmtId="165" fontId="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8" fillId="11" borderId="0" xfId="4" applyNumberFormat="1" applyFont="1" applyFill="1" applyBorder="1" applyAlignment="1" applyProtection="1">
      <alignment horizontal="center" vertical="center"/>
    </xf>
    <xf numFmtId="165" fontId="9" fillId="0" borderId="0" xfId="2" applyNumberFormat="1" applyFont="1" applyFill="1" applyBorder="1" applyAlignment="1" applyProtection="1">
      <alignment horizontal="center" vertical="center" wrapText="1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6" fontId="9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18" fillId="0" borderId="0" xfId="4" applyNumberFormat="1" applyFont="1" applyFill="1" applyBorder="1" applyAlignment="1" applyProtection="1">
      <alignment vertical="top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1" fillId="0" borderId="0" xfId="0" applyFont="1"/>
    <xf numFmtId="165" fontId="9" fillId="3" borderId="0" xfId="5" applyNumberFormat="1" applyFont="1" applyFill="1" applyBorder="1" applyAlignment="1" applyProtection="1">
      <alignment horizontal="center" vertical="top" wrapText="1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 wrapText="1"/>
    </xf>
    <xf numFmtId="165" fontId="9" fillId="11" borderId="2" xfId="1" applyNumberFormat="1" applyFont="1" applyFill="1" applyBorder="1" applyAlignment="1" applyProtection="1">
      <alignment horizontal="center" vertical="center" wrapText="1"/>
    </xf>
    <xf numFmtId="165" fontId="9" fillId="0" borderId="2" xfId="3" applyNumberFormat="1" applyFont="1" applyFill="1" applyBorder="1" applyAlignment="1" applyProtection="1">
      <alignment horizontal="center" vertical="center" wrapText="1"/>
    </xf>
    <xf numFmtId="0" fontId="5" fillId="3" borderId="0" xfId="7" applyNumberFormat="1" applyFont="1" applyFill="1" applyBorder="1" applyAlignment="1" applyProtection="1">
      <alignment vertical="top" wrapText="1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0" fontId="5" fillId="3" borderId="0" xfId="1" applyFont="1" applyFill="1" applyAlignment="1"/>
    <xf numFmtId="165" fontId="7" fillId="3" borderId="0" xfId="1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9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top"/>
    </xf>
    <xf numFmtId="0" fontId="8" fillId="2" borderId="0" xfId="7" applyNumberFormat="1" applyFont="1" applyFill="1" applyBorder="1" applyAlignment="1" applyProtection="1">
      <alignment horizontal="center" vertical="top" wrapText="1"/>
    </xf>
    <xf numFmtId="0" fontId="8" fillId="3" borderId="0" xfId="7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165" fontId="5" fillId="5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168" fontId="8" fillId="0" borderId="2" xfId="1" applyNumberFormat="1" applyFont="1" applyFill="1" applyBorder="1" applyAlignment="1">
      <alignment horizontal="center" vertical="center"/>
    </xf>
    <xf numFmtId="168" fontId="9" fillId="0" borderId="2" xfId="1" applyNumberFormat="1" applyFont="1" applyFill="1" applyBorder="1" applyAlignment="1">
      <alignment horizontal="center" vertical="center" wrapText="1"/>
    </xf>
    <xf numFmtId="168" fontId="9" fillId="0" borderId="2" xfId="1" applyNumberFormat="1" applyFont="1" applyFill="1" applyBorder="1" applyAlignment="1">
      <alignment horizontal="center" vertical="center"/>
    </xf>
    <xf numFmtId="168" fontId="9" fillId="0" borderId="8" xfId="1" applyNumberFormat="1" applyFont="1" applyFill="1" applyBorder="1" applyAlignment="1">
      <alignment horizontal="center" vertical="center" wrapText="1"/>
    </xf>
    <xf numFmtId="168" fontId="8" fillId="0" borderId="2" xfId="7" applyNumberFormat="1" applyFont="1" applyFill="1" applyBorder="1" applyAlignment="1" applyProtection="1">
      <alignment horizontal="right" vertical="center" wrapText="1"/>
    </xf>
    <xf numFmtId="168" fontId="8" fillId="0" borderId="2" xfId="1" applyNumberFormat="1" applyFont="1" applyFill="1" applyBorder="1" applyAlignment="1">
      <alignment horizontal="right" vertical="center"/>
    </xf>
    <xf numFmtId="168" fontId="6" fillId="0" borderId="0" xfId="0" applyNumberFormat="1" applyFont="1" applyFill="1"/>
    <xf numFmtId="168" fontId="6" fillId="0" borderId="0" xfId="0" applyNumberFormat="1" applyFont="1"/>
    <xf numFmtId="168" fontId="8" fillId="0" borderId="2" xfId="4" applyNumberFormat="1" applyFont="1" applyFill="1" applyBorder="1" applyAlignment="1" applyProtection="1">
      <alignment horizontal="center" vertical="center"/>
    </xf>
    <xf numFmtId="168" fontId="9" fillId="0" borderId="2" xfId="3" applyNumberFormat="1" applyFont="1" applyFill="1" applyBorder="1" applyAlignment="1" applyProtection="1">
      <alignment horizontal="center" vertical="center" wrapText="1"/>
    </xf>
    <xf numFmtId="168" fontId="8" fillId="0" borderId="2" xfId="4" applyNumberFormat="1" applyFont="1" applyFill="1" applyBorder="1" applyAlignment="1" applyProtection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24" fillId="0" borderId="2" xfId="1" applyNumberFormat="1" applyFont="1" applyFill="1" applyBorder="1" applyAlignment="1">
      <alignment horizontal="center" vertical="center" wrapText="1"/>
    </xf>
    <xf numFmtId="165" fontId="24" fillId="11" borderId="3" xfId="0" applyNumberFormat="1" applyFont="1" applyFill="1" applyBorder="1" applyAlignment="1">
      <alignment horizontal="center" vertical="center" wrapText="1"/>
    </xf>
    <xf numFmtId="165" fontId="23" fillId="11" borderId="0" xfId="4" applyNumberFormat="1" applyFont="1" applyFill="1" applyBorder="1" applyAlignment="1" applyProtection="1">
      <alignment horizontal="center" vertical="center"/>
    </xf>
    <xf numFmtId="0" fontId="22" fillId="0" borderId="0" xfId="0" applyFont="1"/>
    <xf numFmtId="165" fontId="24" fillId="11" borderId="12" xfId="0" applyNumberFormat="1" applyFont="1" applyFill="1" applyBorder="1" applyAlignment="1">
      <alignment horizontal="center" vertical="center" wrapText="1"/>
    </xf>
    <xf numFmtId="165" fontId="25" fillId="11" borderId="12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168" fontId="9" fillId="0" borderId="2" xfId="2" applyNumberFormat="1" applyFont="1" applyFill="1" applyBorder="1" applyAlignment="1" applyProtection="1">
      <alignment horizontal="center" vertical="center" wrapText="1"/>
    </xf>
    <xf numFmtId="168" fontId="8" fillId="0" borderId="8" xfId="2" applyNumberFormat="1" applyFont="1" applyFill="1" applyBorder="1" applyAlignment="1" applyProtection="1">
      <alignment horizontal="center" vertical="center" wrapText="1"/>
    </xf>
    <xf numFmtId="168" fontId="9" fillId="0" borderId="8" xfId="2" applyNumberFormat="1" applyFont="1" applyFill="1" applyBorder="1" applyAlignment="1" applyProtection="1">
      <alignment horizontal="center" vertical="center" wrapText="1"/>
    </xf>
    <xf numFmtId="168" fontId="8" fillId="0" borderId="2" xfId="2" applyNumberFormat="1" applyFont="1" applyFill="1" applyBorder="1" applyAlignment="1" applyProtection="1">
      <alignment horizontal="center" vertical="center" wrapText="1"/>
    </xf>
    <xf numFmtId="168" fontId="9" fillId="0" borderId="2" xfId="4" applyNumberFormat="1" applyFont="1" applyFill="1" applyBorder="1" applyAlignment="1" applyProtection="1">
      <alignment horizontal="center" vertical="center" wrapText="1"/>
    </xf>
    <xf numFmtId="168" fontId="8" fillId="0" borderId="37" xfId="1" applyNumberFormat="1" applyFont="1" applyFill="1" applyBorder="1" applyAlignment="1">
      <alignment horizontal="right" vertical="center"/>
    </xf>
    <xf numFmtId="168" fontId="8" fillId="0" borderId="2" xfId="5" applyNumberFormat="1" applyFont="1" applyFill="1" applyBorder="1" applyAlignment="1" applyProtection="1">
      <alignment horizontal="center" vertical="center"/>
    </xf>
    <xf numFmtId="168" fontId="9" fillId="0" borderId="2" xfId="5" applyNumberFormat="1" applyFont="1" applyFill="1" applyBorder="1" applyAlignment="1" applyProtection="1">
      <alignment horizontal="center" vertical="center"/>
    </xf>
    <xf numFmtId="168" fontId="8" fillId="0" borderId="37" xfId="4" applyNumberFormat="1" applyFont="1" applyFill="1" applyBorder="1" applyAlignment="1" applyProtection="1">
      <alignment horizontal="right" vertical="center"/>
    </xf>
    <xf numFmtId="168" fontId="9" fillId="0" borderId="2" xfId="5" applyNumberFormat="1" applyFont="1" applyFill="1" applyBorder="1" applyAlignment="1" applyProtection="1">
      <alignment horizontal="center" vertical="center" wrapText="1"/>
    </xf>
    <xf numFmtId="168" fontId="8" fillId="0" borderId="2" xfId="5" applyNumberFormat="1" applyFont="1" applyFill="1" applyBorder="1" applyAlignment="1" applyProtection="1">
      <alignment horizontal="right" vertical="center"/>
    </xf>
    <xf numFmtId="168" fontId="8" fillId="0" borderId="37" xfId="7" applyNumberFormat="1" applyFont="1" applyFill="1" applyBorder="1" applyAlignment="1" applyProtection="1">
      <alignment horizontal="center" vertical="center" wrapText="1"/>
    </xf>
    <xf numFmtId="165" fontId="23" fillId="11" borderId="2" xfId="2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/>
    <xf numFmtId="165" fontId="21" fillId="0" borderId="0" xfId="0" applyNumberFormat="1" applyFont="1"/>
    <xf numFmtId="0" fontId="5" fillId="3" borderId="0" xfId="7" applyNumberFormat="1" applyFont="1" applyFill="1" applyBorder="1" applyAlignment="1" applyProtection="1">
      <alignment horizontal="left" vertical="top" wrapText="1"/>
    </xf>
    <xf numFmtId="0" fontId="9" fillId="0" borderId="31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49" fontId="8" fillId="0" borderId="30" xfId="7" applyNumberFormat="1" applyFont="1" applyFill="1" applyBorder="1" applyAlignment="1" applyProtection="1">
      <alignment horizontal="center" vertical="top"/>
    </xf>
    <xf numFmtId="49" fontId="8" fillId="0" borderId="16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49" fontId="8" fillId="0" borderId="32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30" xfId="2" applyNumberFormat="1" applyFont="1" applyFill="1" applyBorder="1" applyAlignment="1" applyProtection="1">
      <alignment horizontal="center" vertical="top" wrapText="1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16" xfId="2" applyNumberFormat="1" applyFont="1" applyFill="1" applyBorder="1" applyAlignment="1" applyProtection="1">
      <alignment horizontal="center" vertical="top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49" fontId="9" fillId="0" borderId="8" xfId="4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49" fontId="8" fillId="0" borderId="30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left" vertical="top"/>
    </xf>
    <xf numFmtId="0" fontId="8" fillId="3" borderId="25" xfId="7" applyNumberFormat="1" applyFont="1" applyFill="1" applyBorder="1" applyAlignment="1" applyProtection="1">
      <alignment horizontal="center" vertical="center" wrapText="1"/>
    </xf>
    <xf numFmtId="0" fontId="8" fillId="3" borderId="27" xfId="7" applyNumberFormat="1" applyFont="1" applyFill="1" applyBorder="1" applyAlignment="1" applyProtection="1">
      <alignment horizontal="center" vertical="center" wrapText="1"/>
    </xf>
    <xf numFmtId="0" fontId="8" fillId="3" borderId="21" xfId="7" applyNumberFormat="1" applyFont="1" applyFill="1" applyBorder="1" applyAlignment="1" applyProtection="1">
      <alignment horizontal="center" vertical="center" wrapText="1"/>
    </xf>
    <xf numFmtId="0" fontId="8" fillId="3" borderId="26" xfId="7" applyNumberFormat="1" applyFont="1" applyFill="1" applyBorder="1" applyAlignment="1" applyProtection="1">
      <alignment horizontal="center" vertical="center" wrapText="1"/>
    </xf>
    <xf numFmtId="0" fontId="9" fillId="3" borderId="26" xfId="7" applyNumberFormat="1" applyFont="1" applyFill="1" applyBorder="1" applyAlignment="1" applyProtection="1">
      <alignment horizontal="center" vertical="center" wrapText="1"/>
    </xf>
    <xf numFmtId="0" fontId="8" fillId="3" borderId="20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3" borderId="22" xfId="7" applyNumberFormat="1" applyFont="1" applyFill="1" applyBorder="1" applyAlignment="1" applyProtection="1">
      <alignment horizontal="center" vertical="center" wrapText="1"/>
    </xf>
    <xf numFmtId="0" fontId="8" fillId="3" borderId="23" xfId="7" applyNumberFormat="1" applyFont="1" applyFill="1" applyBorder="1" applyAlignment="1" applyProtection="1">
      <alignment horizontal="center" vertical="center" wrapText="1"/>
    </xf>
    <xf numFmtId="0" fontId="8" fillId="3" borderId="24" xfId="7" applyNumberFormat="1" applyFont="1" applyFill="1" applyBorder="1" applyAlignment="1" applyProtection="1">
      <alignment horizontal="center" vertical="center" wrapText="1"/>
    </xf>
    <xf numFmtId="0" fontId="8" fillId="3" borderId="13" xfId="7" applyNumberFormat="1" applyFont="1" applyFill="1" applyBorder="1" applyAlignment="1" applyProtection="1">
      <alignment horizontal="center" vertical="center" wrapText="1"/>
    </xf>
    <xf numFmtId="0" fontId="8" fillId="3" borderId="0" xfId="7" applyNumberFormat="1" applyFont="1" applyFill="1" applyBorder="1" applyAlignment="1" applyProtection="1">
      <alignment horizontal="center" vertical="center" wrapText="1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8" fillId="3" borderId="1" xfId="7" applyNumberFormat="1" applyFont="1" applyFill="1" applyBorder="1" applyAlignment="1" applyProtection="1">
      <alignment horizontal="center" vertical="center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 applyProtection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 wrapText="1"/>
    </xf>
    <xf numFmtId="49" fontId="8" fillId="0" borderId="30" xfId="7" applyNumberFormat="1" applyFont="1" applyFill="1" applyBorder="1" applyAlignment="1" applyProtection="1">
      <alignment horizontal="center" vertical="top"/>
    </xf>
    <xf numFmtId="49" fontId="8" fillId="0" borderId="32" xfId="7" applyNumberFormat="1" applyFont="1" applyFill="1" applyBorder="1" applyAlignment="1" applyProtection="1">
      <alignment horizontal="center" vertical="top"/>
    </xf>
    <xf numFmtId="49" fontId="8" fillId="0" borderId="16" xfId="7" applyNumberFormat="1" applyFont="1" applyFill="1" applyBorder="1" applyAlignment="1" applyProtection="1">
      <alignment horizontal="center" vertical="top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5" fillId="3" borderId="0" xfId="7" applyNumberFormat="1" applyFont="1" applyFill="1" applyBorder="1" applyAlignment="1" applyProtection="1">
      <alignment horizontal="right" vertical="top" wrapText="1"/>
    </xf>
    <xf numFmtId="0" fontId="26" fillId="2" borderId="0" xfId="7" applyNumberFormat="1" applyFont="1" applyFill="1" applyBorder="1" applyAlignment="1" applyProtection="1">
      <alignment horizontal="center" vertical="center"/>
    </xf>
    <xf numFmtId="0" fontId="9" fillId="0" borderId="31" xfId="7" applyNumberFormat="1" applyFont="1" applyFill="1" applyBorder="1" applyAlignment="1" applyProtection="1">
      <alignment horizontal="center" vertical="center" wrapText="1"/>
    </xf>
    <xf numFmtId="0" fontId="9" fillId="0" borderId="33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center" vertical="top"/>
    </xf>
    <xf numFmtId="0" fontId="8" fillId="2" borderId="0" xfId="7" applyNumberFormat="1" applyFont="1" applyFill="1" applyBorder="1" applyAlignment="1" applyProtection="1">
      <alignment horizontal="center" vertical="top" wrapText="1"/>
    </xf>
    <xf numFmtId="0" fontId="8" fillId="10" borderId="20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8" fillId="0" borderId="34" xfId="1" applyNumberFormat="1" applyFont="1" applyFill="1" applyBorder="1" applyAlignment="1" applyProtection="1">
      <alignment horizontal="center" vertical="center" wrapText="1"/>
    </xf>
    <xf numFmtId="0" fontId="20" fillId="2" borderId="0" xfId="7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164" fontId="8" fillId="0" borderId="14" xfId="4" applyNumberFormat="1" applyFont="1" applyFill="1" applyBorder="1" applyAlignment="1" applyProtection="1">
      <alignment horizontal="center" vertical="center" wrapText="1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28" xfId="4" applyNumberFormat="1" applyFont="1" applyFill="1" applyBorder="1" applyAlignment="1" applyProtection="1">
      <alignment horizontal="center" vertical="center"/>
    </xf>
    <xf numFmtId="49" fontId="8" fillId="0" borderId="4" xfId="4" applyNumberFormat="1" applyFont="1" applyFill="1" applyBorder="1" applyAlignment="1" applyProtection="1">
      <alignment horizontal="center" vertical="center"/>
    </xf>
    <xf numFmtId="49" fontId="8" fillId="0" borderId="29" xfId="4" applyNumberFormat="1" applyFont="1" applyFill="1" applyBorder="1" applyAlignment="1" applyProtection="1">
      <alignment horizontal="center" vertical="center"/>
    </xf>
    <xf numFmtId="0" fontId="8" fillId="0" borderId="14" xfId="11" applyNumberFormat="1" applyFont="1" applyFill="1" applyBorder="1" applyAlignment="1" applyProtection="1">
      <alignment horizontal="center" vertical="center" wrapText="1"/>
    </xf>
    <xf numFmtId="0" fontId="8" fillId="0" borderId="7" xfId="11" applyNumberFormat="1" applyFont="1" applyFill="1" applyBorder="1" applyAlignment="1" applyProtection="1">
      <alignment horizontal="center" vertical="center" wrapText="1"/>
    </xf>
    <xf numFmtId="0" fontId="8" fillId="0" borderId="8" xfId="11" applyNumberFormat="1" applyFont="1" applyFill="1" applyBorder="1" applyAlignment="1" applyProtection="1">
      <alignment horizontal="center" vertical="center" wrapText="1"/>
    </xf>
    <xf numFmtId="0" fontId="8" fillId="0" borderId="15" xfId="11" applyNumberFormat="1" applyFont="1" applyFill="1" applyBorder="1" applyAlignment="1" applyProtection="1">
      <alignment horizontal="center" vertical="center" wrapText="1"/>
    </xf>
    <xf numFmtId="0" fontId="8" fillId="0" borderId="32" xfId="11" applyNumberFormat="1" applyFont="1" applyFill="1" applyBorder="1" applyAlignment="1" applyProtection="1">
      <alignment horizontal="center" vertical="center" wrapText="1"/>
    </xf>
    <xf numFmtId="0" fontId="8" fillId="0" borderId="16" xfId="11" applyNumberFormat="1" applyFont="1" applyFill="1" applyBorder="1" applyAlignment="1" applyProtection="1">
      <alignment horizontal="center" vertical="center" wrapText="1"/>
    </xf>
    <xf numFmtId="164" fontId="8" fillId="0" borderId="39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34" xfId="4" applyNumberFormat="1" applyFont="1" applyFill="1" applyBorder="1" applyAlignment="1" applyProtection="1">
      <alignment horizontal="center" vertical="center" wrapText="1"/>
    </xf>
    <xf numFmtId="0" fontId="8" fillId="0" borderId="22" xfId="4" applyNumberFormat="1" applyFont="1" applyFill="1" applyBorder="1" applyAlignment="1" applyProtection="1">
      <alignment horizontal="center" vertical="center" wrapText="1"/>
    </xf>
    <xf numFmtId="0" fontId="8" fillId="0" borderId="23" xfId="4" applyNumberFormat="1" applyFont="1" applyFill="1" applyBorder="1" applyAlignment="1" applyProtection="1">
      <alignment horizontal="center" vertical="center" wrapText="1"/>
    </xf>
    <xf numFmtId="0" fontId="8" fillId="0" borderId="24" xfId="4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8" fillId="0" borderId="10" xfId="4" applyNumberFormat="1" applyFont="1" applyFill="1" applyBorder="1" applyAlignment="1" applyProtection="1">
      <alignment horizontal="center" vertical="center" wrapText="1"/>
    </xf>
    <xf numFmtId="49" fontId="8" fillId="0" borderId="30" xfId="4" applyNumberFormat="1" applyFont="1" applyFill="1" applyBorder="1" applyAlignment="1" applyProtection="1">
      <alignment horizontal="center" vertical="top"/>
    </xf>
    <xf numFmtId="49" fontId="8" fillId="0" borderId="32" xfId="4" applyNumberFormat="1" applyFont="1" applyFill="1" applyBorder="1" applyAlignment="1" applyProtection="1">
      <alignment horizontal="center" vertical="top"/>
    </xf>
    <xf numFmtId="49" fontId="8" fillId="0" borderId="16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center" vertical="top"/>
      <protection locked="0"/>
    </xf>
    <xf numFmtId="49" fontId="8" fillId="0" borderId="7" xfId="4" applyNumberFormat="1" applyFont="1" applyFill="1" applyBorder="1" applyAlignment="1" applyProtection="1">
      <alignment horizontal="center" vertical="top"/>
      <protection locked="0"/>
    </xf>
    <xf numFmtId="49" fontId="8" fillId="0" borderId="8" xfId="4" applyNumberFormat="1" applyFont="1" applyFill="1" applyBorder="1" applyAlignment="1" applyProtection="1">
      <alignment horizontal="center" vertical="top"/>
      <protection locked="0"/>
    </xf>
    <xf numFmtId="0" fontId="8" fillId="0" borderId="31" xfId="4" applyNumberFormat="1" applyFont="1" applyFill="1" applyBorder="1" applyAlignment="1" applyProtection="1">
      <alignment horizontal="center" vertical="top"/>
    </xf>
    <xf numFmtId="0" fontId="8" fillId="0" borderId="33" xfId="4" applyNumberFormat="1" applyFont="1" applyFill="1" applyBorder="1" applyAlignment="1" applyProtection="1">
      <alignment horizontal="center" vertical="top"/>
    </xf>
    <xf numFmtId="0" fontId="8" fillId="0" borderId="34" xfId="4" applyNumberFormat="1" applyFont="1" applyFill="1" applyBorder="1" applyAlignment="1" applyProtection="1">
      <alignment horizontal="center" vertical="top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49" fontId="8" fillId="0" borderId="7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31" xfId="2" applyNumberFormat="1" applyFont="1" applyFill="1" applyBorder="1" applyAlignment="1" applyProtection="1">
      <alignment horizontal="center" vertical="center" wrapText="1"/>
    </xf>
    <xf numFmtId="49" fontId="8" fillId="0" borderId="33" xfId="2" applyNumberFormat="1" applyFont="1" applyFill="1" applyBorder="1" applyAlignment="1" applyProtection="1">
      <alignment horizontal="center" vertical="center" wrapText="1"/>
    </xf>
    <xf numFmtId="49" fontId="8" fillId="0" borderId="34" xfId="2" applyNumberFormat="1" applyFont="1" applyFill="1" applyBorder="1" applyAlignment="1" applyProtection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39" xfId="2" applyNumberFormat="1" applyFont="1" applyFill="1" applyBorder="1" applyAlignment="1" applyProtection="1">
      <alignment horizontal="center" vertical="center" wrapText="1"/>
    </xf>
    <xf numFmtId="49" fontId="8" fillId="0" borderId="28" xfId="2" applyNumberFormat="1" applyFont="1" applyFill="1" applyBorder="1" applyAlignment="1" applyProtection="1">
      <alignment horizontal="center" vertical="center" wrapText="1"/>
    </xf>
    <xf numFmtId="49" fontId="8" fillId="0" borderId="4" xfId="2" applyNumberFormat="1" applyFont="1" applyFill="1" applyBorder="1" applyAlignment="1" applyProtection="1">
      <alignment horizontal="center" vertical="center" wrapText="1"/>
    </xf>
    <xf numFmtId="49" fontId="8" fillId="0" borderId="29" xfId="2" applyNumberFormat="1" applyFont="1" applyFill="1" applyBorder="1" applyAlignment="1" applyProtection="1">
      <alignment horizontal="center" vertical="center" wrapText="1"/>
    </xf>
    <xf numFmtId="49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22" xfId="2" applyNumberFormat="1" applyFont="1" applyFill="1" applyBorder="1" applyAlignment="1" applyProtection="1">
      <alignment horizontal="center" vertical="center" wrapText="1"/>
    </xf>
    <xf numFmtId="0" fontId="8" fillId="0" borderId="23" xfId="2" applyNumberFormat="1" applyFont="1" applyFill="1" applyBorder="1" applyAlignment="1" applyProtection="1">
      <alignment horizontal="center" vertical="center" wrapText="1"/>
    </xf>
    <xf numFmtId="0" fontId="8" fillId="0" borderId="24" xfId="2" applyNumberFormat="1" applyFont="1" applyFill="1" applyBorder="1" applyAlignment="1" applyProtection="1">
      <alignment horizontal="center" vertical="center" wrapText="1"/>
    </xf>
    <xf numFmtId="0" fontId="8" fillId="0" borderId="1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21" xfId="2" applyNumberFormat="1" applyFont="1" applyFill="1" applyBorder="1" applyAlignment="1" applyProtection="1">
      <alignment horizontal="center" vertical="center"/>
    </xf>
    <xf numFmtId="49" fontId="17" fillId="0" borderId="26" xfId="2" applyNumberFormat="1" applyFont="1" applyFill="1" applyBorder="1" applyAlignment="1" applyProtection="1">
      <alignment vertical="center"/>
    </xf>
    <xf numFmtId="49" fontId="8" fillId="0" borderId="30" xfId="2" applyNumberFormat="1" applyFont="1" applyFill="1" applyBorder="1" applyAlignment="1" applyProtection="1">
      <alignment horizontal="center" vertical="center" wrapText="1"/>
    </xf>
    <xf numFmtId="49" fontId="8" fillId="0" borderId="32" xfId="2" applyNumberFormat="1" applyFont="1" applyFill="1" applyBorder="1" applyAlignment="1" applyProtection="1">
      <alignment horizontal="center" vertical="center" wrapText="1"/>
    </xf>
    <xf numFmtId="49" fontId="8" fillId="0" borderId="16" xfId="2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18" fillId="0" borderId="31" xfId="4" applyNumberFormat="1" applyFont="1" applyFill="1" applyBorder="1" applyAlignment="1" applyProtection="1">
      <alignment horizontal="center" vertical="top"/>
    </xf>
    <xf numFmtId="0" fontId="18" fillId="0" borderId="33" xfId="4" applyNumberFormat="1" applyFont="1" applyFill="1" applyBorder="1" applyAlignment="1" applyProtection="1">
      <alignment horizontal="center" vertical="top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20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49" fontId="9" fillId="0" borderId="8" xfId="4" applyNumberFormat="1" applyFont="1" applyFill="1" applyBorder="1" applyAlignment="1" applyProtection="1">
      <alignment horizontal="center" vertical="center" wrapText="1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0" fontId="17" fillId="0" borderId="7" xfId="2" applyNumberFormat="1" applyFont="1" applyFill="1" applyBorder="1" applyAlignment="1" applyProtection="1">
      <alignment horizontal="center" vertical="center" wrapText="1"/>
    </xf>
    <xf numFmtId="0" fontId="17" fillId="0" borderId="8" xfId="2" applyNumberFormat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>
      <alignment horizontal="right" vertical="center"/>
    </xf>
    <xf numFmtId="0" fontId="8" fillId="0" borderId="36" xfId="1" applyFont="1" applyFill="1" applyBorder="1" applyAlignment="1">
      <alignment horizontal="right" vertical="center"/>
    </xf>
    <xf numFmtId="0" fontId="8" fillId="0" borderId="6" xfId="4" applyNumberFormat="1" applyFont="1" applyFill="1" applyBorder="1" applyAlignment="1" applyProtection="1">
      <alignment horizontal="center" vertical="center" wrapText="1"/>
    </xf>
    <xf numFmtId="0" fontId="8" fillId="0" borderId="7" xfId="4" applyNumberFormat="1" applyFont="1" applyFill="1" applyBorder="1" applyAlignment="1" applyProtection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30" xfId="2" applyNumberFormat="1" applyFont="1" applyFill="1" applyBorder="1" applyAlignment="1" applyProtection="1">
      <alignment horizontal="center" vertical="top" wrapText="1"/>
    </xf>
    <xf numFmtId="49" fontId="8" fillId="0" borderId="32" xfId="2" applyNumberFormat="1" applyFont="1" applyFill="1" applyBorder="1" applyAlignment="1" applyProtection="1">
      <alignment horizontal="center" vertical="top" wrapText="1"/>
    </xf>
    <xf numFmtId="49" fontId="8" fillId="0" borderId="16" xfId="2" applyNumberFormat="1" applyFont="1" applyFill="1" applyBorder="1" applyAlignment="1" applyProtection="1">
      <alignment horizontal="center" vertical="top" wrapText="1"/>
    </xf>
    <xf numFmtId="0" fontId="8" fillId="0" borderId="28" xfId="4" applyNumberFormat="1" applyFont="1" applyFill="1" applyBorder="1" applyAlignment="1" applyProtection="1">
      <alignment horizontal="right" vertical="center"/>
    </xf>
    <xf numFmtId="0" fontId="8" fillId="0" borderId="4" xfId="4" applyNumberFormat="1" applyFont="1" applyFill="1" applyBorder="1" applyAlignment="1" applyProtection="1">
      <alignment horizontal="right" vertical="center"/>
    </xf>
    <xf numFmtId="0" fontId="8" fillId="0" borderId="35" xfId="1" applyFont="1" applyFill="1" applyBorder="1" applyAlignment="1">
      <alignment horizontal="right" vertical="center" wrapText="1"/>
    </xf>
    <xf numFmtId="0" fontId="8" fillId="0" borderId="36" xfId="1" applyFont="1" applyFill="1" applyBorder="1" applyAlignment="1">
      <alignment horizontal="right" vertical="center" wrapText="1"/>
    </xf>
    <xf numFmtId="0" fontId="8" fillId="0" borderId="26" xfId="4" applyNumberFormat="1" applyFont="1" applyFill="1" applyBorder="1" applyAlignment="1" applyProtection="1">
      <alignment horizontal="right" vertical="center"/>
    </xf>
    <xf numFmtId="49" fontId="8" fillId="0" borderId="30" xfId="5" applyNumberFormat="1" applyFont="1" applyFill="1" applyBorder="1" applyAlignment="1" applyProtection="1">
      <alignment horizontal="center" vertical="top"/>
    </xf>
    <xf numFmtId="49" fontId="8" fillId="0" borderId="32" xfId="5" applyNumberFormat="1" applyFont="1" applyFill="1" applyBorder="1" applyAlignment="1" applyProtection="1">
      <alignment horizontal="center" vertical="top"/>
    </xf>
    <xf numFmtId="49" fontId="8" fillId="0" borderId="16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49" fontId="8" fillId="0" borderId="7" xfId="5" applyNumberFormat="1" applyFont="1" applyFill="1" applyBorder="1" applyAlignment="1" applyProtection="1">
      <alignment horizontal="center" vertical="center" wrapText="1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8" fillId="0" borderId="31" xfId="5" applyNumberFormat="1" applyFont="1" applyFill="1" applyBorder="1" applyAlignment="1" applyProtection="1">
      <alignment horizontal="center" vertical="top"/>
    </xf>
    <xf numFmtId="49" fontId="8" fillId="0" borderId="33" xfId="5" applyNumberFormat="1" applyFont="1" applyFill="1" applyBorder="1" applyAlignment="1" applyProtection="1">
      <alignment horizontal="center" vertical="top"/>
    </xf>
    <xf numFmtId="49" fontId="8" fillId="0" borderId="34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top"/>
    </xf>
    <xf numFmtId="49" fontId="8" fillId="0" borderId="7" xfId="5" applyNumberFormat="1" applyFont="1" applyFill="1" applyBorder="1" applyAlignment="1" applyProtection="1">
      <alignment horizontal="center" vertical="top"/>
    </xf>
    <xf numFmtId="49" fontId="8" fillId="0" borderId="8" xfId="5" applyNumberFormat="1" applyFont="1" applyFill="1" applyBorder="1" applyAlignment="1" applyProtection="1">
      <alignment horizontal="center" vertical="top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165" fontId="5" fillId="5" borderId="0" xfId="5" applyNumberFormat="1" applyFont="1" applyFill="1" applyBorder="1" applyAlignment="1" applyProtection="1">
      <alignment horizontal="center" vertical="top"/>
    </xf>
    <xf numFmtId="0" fontId="8" fillId="0" borderId="28" xfId="1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horizontal="right" vertical="center" wrapText="1"/>
    </xf>
    <xf numFmtId="0" fontId="8" fillId="0" borderId="28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9" fillId="0" borderId="0" xfId="5" applyNumberFormat="1" applyFont="1" applyFill="1" applyBorder="1" applyAlignment="1" applyProtection="1">
      <alignment horizontal="left" vertical="top"/>
    </xf>
    <xf numFmtId="0" fontId="8" fillId="0" borderId="26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8" fillId="0" borderId="28" xfId="7" applyNumberFormat="1" applyFont="1" applyFill="1" applyBorder="1" applyAlignment="1" applyProtection="1">
      <alignment horizontal="center" vertical="center" wrapText="1"/>
    </xf>
    <xf numFmtId="0" fontId="8" fillId="0" borderId="4" xfId="7" applyNumberFormat="1" applyFont="1" applyFill="1" applyBorder="1" applyAlignment="1" applyProtection="1">
      <alignment horizontal="center" vertical="center" wrapText="1"/>
    </xf>
    <xf numFmtId="0" fontId="8" fillId="0" borderId="29" xfId="7" applyNumberFormat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168" fontId="8" fillId="0" borderId="2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8" fillId="0" borderId="6" xfId="7" applyNumberFormat="1" applyFont="1" applyFill="1" applyBorder="1" applyAlignment="1" applyProtection="1">
      <alignment horizontal="left" vertical="top" wrapText="1"/>
    </xf>
    <xf numFmtId="165" fontId="8" fillId="0" borderId="2" xfId="7" applyNumberFormat="1" applyFont="1" applyFill="1" applyBorder="1" applyAlignment="1" applyProtection="1">
      <alignment horizontal="center" vertical="center" wrapText="1"/>
    </xf>
    <xf numFmtId="168" fontId="8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7" xfId="7" applyNumberFormat="1" applyFont="1" applyFill="1" applyBorder="1" applyAlignment="1" applyProtection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left" vertical="top" wrapText="1"/>
    </xf>
    <xf numFmtId="165" fontId="8" fillId="0" borderId="2" xfId="1" applyNumberFormat="1" applyFont="1" applyFill="1" applyBorder="1" applyAlignment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left" vertical="top" wrapText="1"/>
    </xf>
    <xf numFmtId="16" fontId="8" fillId="0" borderId="8" xfId="7" applyNumberFormat="1" applyFont="1" applyFill="1" applyBorder="1" applyAlignment="1" applyProtection="1">
      <alignment horizontal="left" vertical="top" wrapText="1"/>
    </xf>
    <xf numFmtId="0" fontId="9" fillId="0" borderId="8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wrapText="1"/>
    </xf>
    <xf numFmtId="49" fontId="8" fillId="0" borderId="26" xfId="7" applyNumberFormat="1" applyFont="1" applyFill="1" applyBorder="1" applyAlignment="1" applyProtection="1">
      <alignment horizontal="center" vertical="top"/>
    </xf>
    <xf numFmtId="0" fontId="8" fillId="0" borderId="2" xfId="7" applyNumberFormat="1" applyFont="1" applyFill="1" applyBorder="1" applyAlignment="1" applyProtection="1">
      <alignment horizontal="left" vertical="top" wrapText="1"/>
    </xf>
    <xf numFmtId="0" fontId="9" fillId="0" borderId="27" xfId="7" applyNumberFormat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0" fontId="9" fillId="0" borderId="3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9" fillId="0" borderId="33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 vertical="top" wrapText="1"/>
    </xf>
    <xf numFmtId="0" fontId="9" fillId="0" borderId="34" xfId="1" applyFont="1" applyFill="1" applyBorder="1" applyAlignment="1">
      <alignment horizontal="center" vertical="center" wrapText="1"/>
    </xf>
    <xf numFmtId="49" fontId="8" fillId="0" borderId="30" xfId="7" applyNumberFormat="1" applyFont="1" applyFill="1" applyBorder="1" applyAlignment="1" applyProtection="1">
      <alignment horizontal="center" vertical="top" wrapText="1"/>
    </xf>
    <xf numFmtId="164" fontId="8" fillId="0" borderId="6" xfId="1" applyNumberFormat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 applyProtection="1">
      <alignment horizontal="left" vertical="top" wrapText="1"/>
    </xf>
    <xf numFmtId="0" fontId="9" fillId="0" borderId="6" xfId="7" applyNumberFormat="1" applyFont="1" applyFill="1" applyBorder="1" applyAlignment="1" applyProtection="1">
      <alignment horizontal="center" vertical="center" wrapText="1"/>
    </xf>
    <xf numFmtId="0" fontId="9" fillId="0" borderId="6" xfId="7" applyNumberFormat="1" applyFont="1" applyFill="1" applyBorder="1" applyAlignment="1" applyProtection="1">
      <alignment horizontal="center" vertical="center" wrapText="1"/>
    </xf>
    <xf numFmtId="0" fontId="9" fillId="0" borderId="8" xfId="7" applyNumberFormat="1" applyFont="1" applyFill="1" applyBorder="1" applyAlignment="1" applyProtection="1">
      <alignment horizontal="center" vertical="center" wrapText="1"/>
    </xf>
    <xf numFmtId="1" fontId="8" fillId="0" borderId="6" xfId="4" applyNumberFormat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center" vertical="center" wrapText="1"/>
    </xf>
    <xf numFmtId="1" fontId="8" fillId="0" borderId="7" xfId="4" applyNumberFormat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center" vertical="center" wrapText="1"/>
    </xf>
    <xf numFmtId="1" fontId="8" fillId="0" borderId="8" xfId="4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center" vertical="center" wrapText="1"/>
    </xf>
    <xf numFmtId="49" fontId="8" fillId="0" borderId="30" xfId="7" applyNumberFormat="1" applyFont="1" applyFill="1" applyBorder="1" applyAlignment="1" applyProtection="1">
      <alignment horizontal="center" vertical="top" wrapText="1" shrinkToFit="1"/>
    </xf>
    <xf numFmtId="0" fontId="9" fillId="0" borderId="6" xfId="1" applyFont="1" applyFill="1" applyBorder="1" applyAlignment="1">
      <alignment horizontal="center" vertical="center" wrapText="1" shrinkToFit="1"/>
    </xf>
    <xf numFmtId="49" fontId="8" fillId="0" borderId="32" xfId="7" applyNumberFormat="1" applyFont="1" applyFill="1" applyBorder="1" applyAlignment="1" applyProtection="1">
      <alignment horizontal="center" vertical="top" wrapText="1" shrinkToFit="1"/>
    </xf>
    <xf numFmtId="0" fontId="9" fillId="0" borderId="7" xfId="1" applyFont="1" applyFill="1" applyBorder="1" applyAlignment="1">
      <alignment horizontal="center" vertical="center" wrapText="1" shrinkToFit="1"/>
    </xf>
    <xf numFmtId="49" fontId="8" fillId="0" borderId="16" xfId="7" applyNumberFormat="1" applyFont="1" applyFill="1" applyBorder="1" applyAlignment="1" applyProtection="1">
      <alignment horizontal="center" vertical="top" wrapText="1" shrinkToFit="1"/>
    </xf>
    <xf numFmtId="0" fontId="9" fillId="0" borderId="8" xfId="1" applyFont="1" applyFill="1" applyBorder="1" applyAlignment="1">
      <alignment horizontal="center" vertical="center" wrapText="1" shrinkToFit="1"/>
    </xf>
    <xf numFmtId="1" fontId="8" fillId="0" borderId="4" xfId="4" applyNumberFormat="1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center" vertical="center" wrapText="1"/>
    </xf>
    <xf numFmtId="49" fontId="8" fillId="0" borderId="26" xfId="7" applyNumberFormat="1" applyFont="1" applyFill="1" applyBorder="1" applyAlignment="1" applyProtection="1">
      <alignment horizontal="center" vertical="top" wrapText="1"/>
    </xf>
    <xf numFmtId="0" fontId="8" fillId="0" borderId="4" xfId="1" applyFont="1" applyFill="1" applyBorder="1" applyAlignment="1">
      <alignment vertical="top" wrapText="1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6" fontId="8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 shrinkToFit="1"/>
    </xf>
    <xf numFmtId="49" fontId="8" fillId="0" borderId="6" xfId="4" applyNumberFormat="1" applyFont="1" applyFill="1" applyBorder="1" applyAlignment="1" applyProtection="1">
      <alignment horizontal="left" vertical="top" wrapText="1"/>
    </xf>
    <xf numFmtId="164" fontId="9" fillId="0" borderId="31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left" vertical="top" wrapText="1"/>
    </xf>
    <xf numFmtId="165" fontId="8" fillId="0" borderId="2" xfId="4" applyNumberFormat="1" applyFont="1" applyFill="1" applyBorder="1" applyAlignment="1" applyProtection="1">
      <alignment horizontal="center" vertical="center" wrapText="1"/>
    </xf>
    <xf numFmtId="168" fontId="8" fillId="0" borderId="2" xfId="4" applyNumberFormat="1" applyFont="1" applyFill="1" applyBorder="1" applyAlignment="1" applyProtection="1">
      <alignment horizontal="center" vertical="center" wrapText="1"/>
    </xf>
    <xf numFmtId="164" fontId="9" fillId="0" borderId="34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left" vertical="top" wrapTex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164" fontId="11" fillId="0" borderId="2" xfId="4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left" vertical="top" wrapText="1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49" fontId="8" fillId="0" borderId="40" xfId="4" applyNumberFormat="1" applyFont="1" applyFill="1" applyBorder="1" applyAlignment="1" applyProtection="1">
      <alignment horizontal="center" vertical="top"/>
    </xf>
    <xf numFmtId="164" fontId="9" fillId="0" borderId="6" xfId="4" applyNumberFormat="1" applyFont="1" applyFill="1" applyBorder="1" applyAlignment="1" applyProtection="1">
      <alignment horizontal="center" vertical="center" wrapText="1"/>
    </xf>
    <xf numFmtId="49" fontId="8" fillId="0" borderId="10" xfId="4" applyNumberFormat="1" applyFont="1" applyFill="1" applyBorder="1" applyAlignment="1" applyProtection="1">
      <alignment horizontal="center" vertical="top"/>
    </xf>
    <xf numFmtId="164" fontId="9" fillId="0" borderId="8" xfId="4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168" fontId="8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left" vertical="top" wrapText="1"/>
    </xf>
    <xf numFmtId="2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left" vertical="top" wrapText="1"/>
    </xf>
    <xf numFmtId="2" fontId="8" fillId="0" borderId="7" xfId="1" applyNumberFormat="1" applyFont="1" applyFill="1" applyBorder="1" applyAlignment="1" applyProtection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left" vertical="top" wrapText="1"/>
    </xf>
    <xf numFmtId="2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168" fontId="9" fillId="0" borderId="3" xfId="1" applyNumberFormat="1" applyFont="1" applyFill="1" applyBorder="1" applyAlignment="1" applyProtection="1">
      <alignment horizontal="center" vertical="center" wrapText="1"/>
    </xf>
    <xf numFmtId="2" fontId="8" fillId="0" borderId="5" xfId="1" applyNumberFormat="1" applyFont="1" applyFill="1" applyBorder="1" applyAlignment="1" applyProtection="1">
      <alignment horizontal="center" vertical="center" wrapText="1"/>
    </xf>
    <xf numFmtId="2" fontId="8" fillId="0" borderId="4" xfId="1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8" fillId="0" borderId="28" xfId="7" applyNumberFormat="1" applyFont="1" applyFill="1" applyBorder="1" applyAlignment="1" applyProtection="1">
      <alignment horizontal="right" vertical="center" wrapText="1"/>
    </xf>
    <xf numFmtId="0" fontId="8" fillId="0" borderId="4" xfId="7" applyNumberFormat="1" applyFont="1" applyFill="1" applyBorder="1" applyAlignment="1" applyProtection="1">
      <alignment horizontal="right" vertical="center" wrapText="1"/>
    </xf>
    <xf numFmtId="0" fontId="9" fillId="0" borderId="27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168" fontId="9" fillId="0" borderId="6" xfId="4" applyNumberFormat="1" applyFont="1" applyFill="1" applyBorder="1" applyAlignment="1" applyProtection="1">
      <alignment horizontal="center" vertical="center"/>
    </xf>
    <xf numFmtId="168" fontId="9" fillId="0" borderId="2" xfId="4" applyNumberFormat="1" applyFont="1" applyFill="1" applyBorder="1" applyAlignment="1" applyProtection="1">
      <alignment horizontal="center" vertical="center"/>
    </xf>
    <xf numFmtId="49" fontId="8" fillId="0" borderId="30" xfId="4" applyNumberFormat="1" applyFont="1" applyFill="1" applyBorder="1" applyAlignment="1" applyProtection="1">
      <alignment horizontal="center" vertical="top" wrapTex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27" xfId="10" applyFont="1" applyFill="1" applyBorder="1" applyAlignment="1">
      <alignment horizontal="center" vertical="center" wrapText="1"/>
    </xf>
    <xf numFmtId="49" fontId="8" fillId="0" borderId="32" xfId="4" applyNumberFormat="1" applyFont="1" applyFill="1" applyBorder="1" applyAlignment="1" applyProtection="1">
      <alignment horizontal="center" vertical="top" wrapText="1"/>
    </xf>
    <xf numFmtId="49" fontId="8" fillId="0" borderId="7" xfId="4" applyNumberFormat="1" applyFont="1" applyFill="1" applyBorder="1" applyAlignment="1" applyProtection="1">
      <alignment horizontal="left" vertical="top" wrapText="1"/>
    </xf>
    <xf numFmtId="49" fontId="8" fillId="0" borderId="16" xfId="4" applyNumberFormat="1" applyFont="1" applyFill="1" applyBorder="1" applyAlignment="1" applyProtection="1">
      <alignment horizontal="center" vertical="top" wrapText="1"/>
    </xf>
    <xf numFmtId="0" fontId="9" fillId="0" borderId="31" xfId="10" applyFont="1" applyFill="1" applyBorder="1" applyAlignment="1">
      <alignment horizontal="center" vertical="center" wrapText="1"/>
    </xf>
    <xf numFmtId="0" fontId="9" fillId="0" borderId="33" xfId="10" applyFont="1" applyFill="1" applyBorder="1" applyAlignment="1">
      <alignment horizontal="center" vertical="center" wrapText="1"/>
    </xf>
    <xf numFmtId="0" fontId="8" fillId="0" borderId="6" xfId="4" quotePrefix="1" applyNumberFormat="1" applyFont="1" applyFill="1" applyBorder="1" applyAlignment="1" applyProtection="1">
      <alignment horizontal="left" vertical="top" wrapText="1"/>
    </xf>
    <xf numFmtId="0" fontId="9" fillId="0" borderId="6" xfId="10" applyFont="1" applyFill="1" applyBorder="1" applyAlignment="1">
      <alignment horizontal="center" vertical="center" wrapText="1"/>
    </xf>
    <xf numFmtId="0" fontId="8" fillId="0" borderId="7" xfId="4" quotePrefix="1" applyNumberFormat="1" applyFont="1" applyFill="1" applyBorder="1" applyAlignment="1" applyProtection="1">
      <alignment horizontal="left" vertical="top" wrapText="1"/>
    </xf>
    <xf numFmtId="0" fontId="9" fillId="0" borderId="7" xfId="10" applyFont="1" applyFill="1" applyBorder="1" applyAlignment="1">
      <alignment horizontal="center" vertical="center" wrapText="1"/>
    </xf>
    <xf numFmtId="0" fontId="8" fillId="0" borderId="8" xfId="4" quotePrefix="1" applyNumberFormat="1" applyFont="1" applyFill="1" applyBorder="1" applyAlignment="1" applyProtection="1">
      <alignment horizontal="left" vertical="top" wrapText="1"/>
    </xf>
    <xf numFmtId="0" fontId="9" fillId="0" borderId="8" xfId="10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left" vertical="top" wrapText="1"/>
    </xf>
    <xf numFmtId="0" fontId="9" fillId="0" borderId="27" xfId="10" applyFont="1" applyFill="1" applyBorder="1" applyAlignment="1">
      <alignment horizontal="center" vertical="center" wrapText="1"/>
    </xf>
    <xf numFmtId="49" fontId="8" fillId="0" borderId="26" xfId="4" applyNumberFormat="1" applyFont="1" applyFill="1" applyBorder="1" applyAlignment="1" applyProtection="1">
      <alignment horizontal="center" vertical="top" wrapText="1"/>
    </xf>
    <xf numFmtId="0" fontId="9" fillId="0" borderId="31" xfId="10" applyFont="1" applyFill="1" applyBorder="1" applyAlignment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left" vertical="top" wrapText="1"/>
    </xf>
    <xf numFmtId="165" fontId="8" fillId="0" borderId="6" xfId="4" applyNumberFormat="1" applyFont="1" applyFill="1" applyBorder="1" applyAlignment="1" applyProtection="1">
      <alignment horizontal="center" vertical="center"/>
    </xf>
    <xf numFmtId="168" fontId="8" fillId="0" borderId="6" xfId="4" applyNumberFormat="1" applyFont="1" applyFill="1" applyBorder="1" applyAlignment="1" applyProtection="1">
      <alignment horizontal="center" vertical="center"/>
    </xf>
    <xf numFmtId="164" fontId="9" fillId="0" borderId="31" xfId="4" applyNumberFormat="1" applyFont="1" applyFill="1" applyBorder="1" applyAlignment="1" applyProtection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left" vertical="top" wrapText="1"/>
    </xf>
    <xf numFmtId="0" fontId="8" fillId="0" borderId="7" xfId="4" applyNumberFormat="1" applyFont="1" applyFill="1" applyBorder="1" applyAlignment="1" applyProtection="1">
      <alignment horizontal="left" vertical="top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left" vertical="top" wrapText="1"/>
    </xf>
    <xf numFmtId="164" fontId="9" fillId="0" borderId="27" xfId="4" applyNumberFormat="1" applyFont="1" applyFill="1" applyBorder="1" applyAlignment="1" applyProtection="1">
      <alignment horizontal="center" vertical="center" wrapText="1"/>
    </xf>
    <xf numFmtId="165" fontId="8" fillId="0" borderId="6" xfId="4" applyNumberFormat="1" applyFont="1" applyFill="1" applyBorder="1" applyAlignment="1" applyProtection="1">
      <alignment horizontal="center" vertical="center" wrapText="1"/>
    </xf>
    <xf numFmtId="168" fontId="8" fillId="0" borderId="6" xfId="4" applyNumberFormat="1" applyFont="1" applyFill="1" applyBorder="1" applyAlignment="1" applyProtection="1">
      <alignment horizontal="center" vertical="center" wrapText="1"/>
    </xf>
    <xf numFmtId="164" fontId="9" fillId="0" borderId="7" xfId="4" applyNumberFormat="1" applyFont="1" applyFill="1" applyBorder="1" applyAlignment="1" applyProtection="1">
      <alignment horizontal="center" vertical="center" wrapText="1"/>
    </xf>
    <xf numFmtId="165" fontId="8" fillId="0" borderId="8" xfId="4" applyNumberFormat="1" applyFont="1" applyFill="1" applyBorder="1" applyAlignment="1" applyProtection="1">
      <alignment horizontal="center" vertical="center" wrapText="1"/>
    </xf>
    <xf numFmtId="168" fontId="8" fillId="0" borderId="8" xfId="4" applyNumberFormat="1" applyFont="1" applyFill="1" applyBorder="1" applyAlignment="1" applyProtection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 wrapText="1"/>
    </xf>
    <xf numFmtId="168" fontId="8" fillId="0" borderId="8" xfId="1" applyNumberFormat="1" applyFont="1" applyFill="1" applyBorder="1" applyAlignment="1">
      <alignment horizontal="center" vertical="center" wrapText="1"/>
    </xf>
    <xf numFmtId="165" fontId="8" fillId="0" borderId="8" xfId="4" applyNumberFormat="1" applyFont="1" applyFill="1" applyBorder="1" applyAlignment="1" applyProtection="1">
      <alignment horizontal="center" vertical="center"/>
    </xf>
    <xf numFmtId="168" fontId="8" fillId="0" borderId="8" xfId="4" applyNumberFormat="1" applyFont="1" applyFill="1" applyBorder="1" applyAlignment="1" applyProtection="1">
      <alignment horizontal="center" vertical="center"/>
    </xf>
    <xf numFmtId="0" fontId="9" fillId="0" borderId="34" xfId="10" applyFont="1" applyFill="1" applyBorder="1" applyAlignment="1">
      <alignment horizontal="center" vertical="center" wrapText="1"/>
    </xf>
    <xf numFmtId="164" fontId="8" fillId="0" borderId="6" xfId="10" applyNumberFormat="1" applyFont="1" applyFill="1" applyBorder="1" applyAlignment="1">
      <alignment horizontal="left" vertical="top" wrapText="1"/>
    </xf>
    <xf numFmtId="164" fontId="8" fillId="0" borderId="8" xfId="10" applyNumberFormat="1" applyFont="1" applyFill="1" applyBorder="1" applyAlignment="1">
      <alignment horizontal="left" vertical="top" wrapText="1"/>
    </xf>
    <xf numFmtId="49" fontId="8" fillId="0" borderId="30" xfId="4" applyNumberFormat="1" applyFont="1" applyFill="1" applyBorder="1" applyAlignment="1">
      <alignment horizontal="center" vertical="top" wrapText="1"/>
    </xf>
    <xf numFmtId="165" fontId="8" fillId="0" borderId="2" xfId="4" applyNumberFormat="1" applyFont="1" applyFill="1" applyBorder="1" applyAlignment="1">
      <alignment horizontal="center" vertical="center" wrapText="1"/>
    </xf>
    <xf numFmtId="168" fontId="8" fillId="0" borderId="2" xfId="4" applyNumberFormat="1" applyFont="1" applyFill="1" applyBorder="1" applyAlignment="1">
      <alignment horizontal="center" vertical="center" wrapText="1"/>
    </xf>
    <xf numFmtId="0" fontId="9" fillId="0" borderId="6" xfId="4" applyNumberFormat="1" applyFont="1" applyFill="1" applyBorder="1" applyAlignment="1">
      <alignment horizontal="center" vertical="center" wrapText="1"/>
    </xf>
    <xf numFmtId="0" fontId="9" fillId="0" borderId="31" xfId="4" applyNumberFormat="1" applyFont="1" applyFill="1" applyBorder="1" applyAlignment="1">
      <alignment horizontal="center" vertical="center" wrapText="1"/>
    </xf>
    <xf numFmtId="49" fontId="8" fillId="0" borderId="32" xfId="4" applyNumberFormat="1" applyFont="1" applyFill="1" applyBorder="1" applyAlignment="1">
      <alignment horizontal="center" vertical="top" wrapText="1"/>
    </xf>
    <xf numFmtId="0" fontId="9" fillId="0" borderId="7" xfId="4" applyNumberFormat="1" applyFont="1" applyFill="1" applyBorder="1" applyAlignment="1">
      <alignment horizontal="center" vertical="center" wrapText="1"/>
    </xf>
    <xf numFmtId="0" fontId="9" fillId="0" borderId="33" xfId="4" applyNumberFormat="1" applyFont="1" applyFill="1" applyBorder="1" applyAlignment="1">
      <alignment horizontal="center" vertical="center" wrapText="1"/>
    </xf>
    <xf numFmtId="49" fontId="8" fillId="0" borderId="16" xfId="4" applyNumberFormat="1" applyFont="1" applyFill="1" applyBorder="1" applyAlignment="1">
      <alignment horizontal="center" vertical="top" wrapText="1"/>
    </xf>
    <xf numFmtId="0" fontId="9" fillId="0" borderId="8" xfId="4" applyNumberFormat="1" applyFont="1" applyFill="1" applyBorder="1" applyAlignment="1">
      <alignment horizontal="center" vertical="center" wrapText="1"/>
    </xf>
    <xf numFmtId="0" fontId="9" fillId="0" borderId="34" xfId="4" applyNumberFormat="1" applyFont="1" applyFill="1" applyBorder="1" applyAlignment="1">
      <alignment horizontal="center" vertical="center" wrapText="1"/>
    </xf>
    <xf numFmtId="0" fontId="8" fillId="0" borderId="6" xfId="11" applyNumberFormat="1" applyFont="1" applyFill="1" applyBorder="1" applyAlignment="1" applyProtection="1">
      <alignment horizontal="left" vertical="top" wrapText="1"/>
    </xf>
    <xf numFmtId="165" fontId="8" fillId="0" borderId="2" xfId="11" applyNumberFormat="1" applyFont="1" applyFill="1" applyBorder="1" applyAlignment="1" applyProtection="1">
      <alignment horizontal="center" vertical="center" wrapText="1"/>
    </xf>
    <xf numFmtId="168" fontId="8" fillId="0" borderId="2" xfId="11" applyNumberFormat="1" applyFont="1" applyFill="1" applyBorder="1" applyAlignment="1" applyProtection="1">
      <alignment horizontal="center" vertical="center" wrapText="1"/>
    </xf>
    <xf numFmtId="0" fontId="8" fillId="0" borderId="7" xfId="11" applyNumberFormat="1" applyFont="1" applyFill="1" applyBorder="1" applyAlignment="1" applyProtection="1">
      <alignment horizontal="left" vertical="top" wrapText="1"/>
    </xf>
    <xf numFmtId="0" fontId="8" fillId="0" borderId="8" xfId="11" applyNumberFormat="1" applyFont="1" applyFill="1" applyBorder="1" applyAlignment="1" applyProtection="1">
      <alignment horizontal="left" vertical="top" wrapText="1"/>
    </xf>
    <xf numFmtId="0" fontId="8" fillId="0" borderId="4" xfId="7" applyNumberFormat="1" applyFont="1" applyFill="1" applyBorder="1" applyAlignment="1" applyProtection="1">
      <alignment horizontal="center" vertical="center" wrapText="1"/>
    </xf>
    <xf numFmtId="49" fontId="8" fillId="0" borderId="26" xfId="2" applyNumberFormat="1" applyFont="1" applyFill="1" applyBorder="1" applyAlignment="1" applyProtection="1">
      <alignment horizontal="center" vertical="top"/>
    </xf>
    <xf numFmtId="0" fontId="8" fillId="0" borderId="2" xfId="2" applyNumberFormat="1" applyFont="1" applyFill="1" applyBorder="1" applyAlignment="1" applyProtection="1">
      <alignment vertical="top" wrapText="1"/>
    </xf>
    <xf numFmtId="165" fontId="8" fillId="0" borderId="2" xfId="2" applyNumberFormat="1" applyFont="1" applyFill="1" applyBorder="1" applyAlignment="1" applyProtection="1">
      <alignment horizontal="center" vertical="center"/>
    </xf>
    <xf numFmtId="168" fontId="8" fillId="0" borderId="2" xfId="2" applyNumberFormat="1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8" fillId="0" borderId="30" xfId="2" applyNumberFormat="1" applyFont="1" applyFill="1" applyBorder="1" applyAlignment="1" applyProtection="1">
      <alignment horizontal="center" vertical="top"/>
    </xf>
    <xf numFmtId="0" fontId="8" fillId="0" borderId="6" xfId="2" applyNumberFormat="1" applyFont="1" applyFill="1" applyBorder="1" applyAlignment="1" applyProtection="1">
      <alignment horizontal="left" vertical="top" wrapText="1"/>
    </xf>
    <xf numFmtId="49" fontId="8" fillId="0" borderId="16" xfId="2" applyNumberFormat="1" applyFont="1" applyFill="1" applyBorder="1" applyAlignment="1" applyProtection="1">
      <alignment horizontal="center" vertical="top"/>
    </xf>
    <xf numFmtId="0" fontId="8" fillId="0" borderId="8" xfId="2" applyNumberFormat="1" applyFont="1" applyFill="1" applyBorder="1" applyAlignment="1" applyProtection="1">
      <alignment horizontal="left" vertical="top" wrapText="1"/>
    </xf>
    <xf numFmtId="0" fontId="8" fillId="0" borderId="2" xfId="2" applyNumberFormat="1" applyFont="1" applyFill="1" applyBorder="1" applyAlignment="1" applyProtection="1">
      <alignment horizontal="left" vertical="top" wrapText="1"/>
    </xf>
    <xf numFmtId="49" fontId="8" fillId="0" borderId="32" xfId="2" applyNumberFormat="1" applyFont="1" applyFill="1" applyBorder="1" applyAlignment="1" applyProtection="1">
      <alignment horizontal="center" vertical="top"/>
    </xf>
    <xf numFmtId="0" fontId="8" fillId="0" borderId="7" xfId="2" applyNumberFormat="1" applyFont="1" applyFill="1" applyBorder="1" applyAlignment="1" applyProtection="1">
      <alignment horizontal="left" vertical="top" wrapText="1"/>
    </xf>
    <xf numFmtId="49" fontId="8" fillId="0" borderId="2" xfId="2" applyNumberFormat="1" applyFont="1" applyFill="1" applyBorder="1" applyAlignment="1" applyProtection="1">
      <alignment horizontal="center" vertical="top"/>
    </xf>
    <xf numFmtId="0" fontId="8" fillId="0" borderId="2" xfId="2" applyNumberFormat="1" applyFont="1" applyFill="1" applyBorder="1" applyAlignment="1" applyProtection="1">
      <alignment horizontal="left" vertical="top" wrapText="1"/>
    </xf>
    <xf numFmtId="49" fontId="8" fillId="0" borderId="16" xfId="2" applyNumberFormat="1" applyFont="1" applyFill="1" applyBorder="1" applyAlignment="1" applyProtection="1">
      <alignment horizontal="center" vertical="top"/>
    </xf>
    <xf numFmtId="0" fontId="8" fillId="0" borderId="8" xfId="2" applyNumberFormat="1" applyFont="1" applyFill="1" applyBorder="1" applyAlignment="1" applyProtection="1">
      <alignment horizontal="left" vertical="top" wrapText="1"/>
    </xf>
    <xf numFmtId="0" fontId="8" fillId="0" borderId="1" xfId="7" applyNumberFormat="1" applyFont="1" applyFill="1" applyBorder="1" applyAlignment="1" applyProtection="1">
      <alignment horizontal="center" vertical="center" wrapText="1"/>
    </xf>
    <xf numFmtId="165" fontId="8" fillId="0" borderId="8" xfId="2" applyNumberFormat="1" applyFont="1" applyFill="1" applyBorder="1" applyAlignment="1" applyProtection="1">
      <alignment horizontal="center" vertical="center"/>
    </xf>
    <xf numFmtId="168" fontId="8" fillId="0" borderId="8" xfId="2" applyNumberFormat="1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168" fontId="8" fillId="0" borderId="2" xfId="3" applyNumberFormat="1" applyFont="1" applyFill="1" applyBorder="1" applyAlignment="1" applyProtection="1">
      <alignment horizontal="center" vertical="center" wrapText="1"/>
    </xf>
    <xf numFmtId="49" fontId="13" fillId="0" borderId="30" xfId="3" applyNumberFormat="1" applyFont="1" applyFill="1" applyBorder="1" applyAlignment="1" applyProtection="1">
      <alignment horizontal="center" vertical="top" wrapText="1"/>
    </xf>
    <xf numFmtId="0" fontId="13" fillId="0" borderId="2" xfId="3" applyNumberFormat="1" applyFont="1" applyFill="1" applyBorder="1" applyAlignment="1" applyProtection="1">
      <alignment horizontal="left" vertical="top" wrapText="1"/>
    </xf>
    <xf numFmtId="0" fontId="8" fillId="0" borderId="6" xfId="3" applyNumberFormat="1" applyFont="1" applyFill="1" applyBorder="1" applyAlignment="1" applyProtection="1">
      <alignment horizontal="center" vertical="center" wrapText="1"/>
    </xf>
    <xf numFmtId="165" fontId="13" fillId="0" borderId="2" xfId="3" applyNumberFormat="1" applyFont="1" applyFill="1" applyBorder="1" applyAlignment="1" applyProtection="1">
      <alignment horizontal="center" vertical="center" wrapText="1"/>
    </xf>
    <xf numFmtId="168" fontId="13" fillId="0" borderId="2" xfId="3" applyNumberFormat="1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4" fillId="0" borderId="31" xfId="3" applyFont="1" applyFill="1" applyBorder="1" applyAlignment="1">
      <alignment horizontal="center" vertical="center" wrapText="1"/>
    </xf>
    <xf numFmtId="49" fontId="13" fillId="0" borderId="26" xfId="3" applyNumberFormat="1" applyFont="1" applyFill="1" applyBorder="1" applyAlignment="1" applyProtection="1">
      <alignment horizontal="center" vertical="top" wrapText="1"/>
    </xf>
    <xf numFmtId="0" fontId="13" fillId="0" borderId="8" xfId="3" applyNumberFormat="1" applyFont="1" applyFill="1" applyBorder="1" applyAlignment="1" applyProtection="1">
      <alignment horizontal="left" vertical="top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165" fontId="13" fillId="0" borderId="8" xfId="3" applyNumberFormat="1" applyFont="1" applyFill="1" applyBorder="1" applyAlignment="1" applyProtection="1">
      <alignment horizontal="center" vertical="center" wrapText="1"/>
    </xf>
    <xf numFmtId="168" fontId="13" fillId="0" borderId="8" xfId="3" applyNumberFormat="1" applyFont="1" applyFill="1" applyBorder="1" applyAlignment="1" applyProtection="1">
      <alignment horizontal="center" vertical="center" wrapText="1"/>
    </xf>
    <xf numFmtId="168" fontId="8" fillId="0" borderId="8" xfId="3" applyNumberFormat="1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49" fontId="9" fillId="0" borderId="30" xfId="1" applyNumberFormat="1" applyFont="1" applyFill="1" applyBorder="1" applyAlignment="1" applyProtection="1">
      <alignment horizontal="center" vertical="top" wrapText="1"/>
    </xf>
    <xf numFmtId="49" fontId="9" fillId="0" borderId="32" xfId="1" applyNumberFormat="1" applyFont="1" applyFill="1" applyBorder="1" applyAlignment="1" applyProtection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 wrapText="1"/>
    </xf>
    <xf numFmtId="168" fontId="8" fillId="0" borderId="6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top"/>
    </xf>
    <xf numFmtId="165" fontId="9" fillId="0" borderId="3" xfId="1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68" fontId="9" fillId="0" borderId="6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165" fontId="9" fillId="0" borderId="12" xfId="0" applyNumberFormat="1" applyFont="1" applyFill="1" applyBorder="1" applyAlignment="1">
      <alignment horizontal="center" vertical="center"/>
    </xf>
    <xf numFmtId="168" fontId="9" fillId="0" borderId="6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right" vertical="center" wrapText="1"/>
    </xf>
    <xf numFmtId="0" fontId="16" fillId="0" borderId="2" xfId="10" applyFont="1" applyFill="1" applyBorder="1" applyAlignment="1">
      <alignment horizontal="right" vertical="center" wrapText="1"/>
    </xf>
    <xf numFmtId="165" fontId="8" fillId="0" borderId="2" xfId="4" applyNumberFormat="1" applyFont="1" applyFill="1" applyBorder="1" applyAlignment="1">
      <alignment horizontal="right" vertical="center" wrapText="1"/>
    </xf>
    <xf numFmtId="168" fontId="8" fillId="0" borderId="2" xfId="4" applyNumberFormat="1" applyFont="1" applyFill="1" applyBorder="1" applyAlignment="1">
      <alignment horizontal="right" vertical="center" wrapText="1"/>
    </xf>
    <xf numFmtId="49" fontId="8" fillId="0" borderId="6" xfId="2" applyNumberFormat="1" applyFont="1" applyFill="1" applyBorder="1" applyAlignment="1" applyProtection="1">
      <alignment horizontal="left" vertical="top" wrapText="1"/>
    </xf>
    <xf numFmtId="49" fontId="9" fillId="0" borderId="6" xfId="2" applyNumberFormat="1" applyFont="1" applyFill="1" applyBorder="1" applyAlignment="1" applyProtection="1">
      <alignment horizontal="center" vertical="center" wrapText="1"/>
    </xf>
    <xf numFmtId="164" fontId="9" fillId="0" borderId="31" xfId="0" applyNumberFormat="1" applyFont="1" applyFill="1" applyBorder="1" applyAlignment="1" applyProtection="1">
      <alignment horizontal="center" vertical="center" wrapText="1"/>
    </xf>
    <xf numFmtId="49" fontId="8" fillId="0" borderId="7" xfId="2" applyNumberFormat="1" applyFont="1" applyFill="1" applyBorder="1" applyAlignment="1" applyProtection="1">
      <alignment horizontal="left" vertical="top" wrapText="1"/>
    </xf>
    <xf numFmtId="49" fontId="9" fillId="0" borderId="7" xfId="2" applyNumberFormat="1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left" vertical="top" wrapText="1"/>
    </xf>
    <xf numFmtId="165" fontId="8" fillId="0" borderId="8" xfId="4" applyNumberFormat="1" applyFont="1" applyFill="1" applyBorder="1" applyAlignment="1">
      <alignment horizontal="center" vertical="center" wrapText="1"/>
    </xf>
    <xf numFmtId="168" fontId="8" fillId="0" borderId="8" xfId="4" applyNumberFormat="1" applyFont="1" applyFill="1" applyBorder="1" applyAlignment="1">
      <alignment horizontal="center" vertical="center" wrapText="1"/>
    </xf>
    <xf numFmtId="49" fontId="9" fillId="0" borderId="8" xfId="2" applyNumberFormat="1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49" fontId="8" fillId="0" borderId="26" xfId="2" applyNumberFormat="1" applyFont="1" applyFill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top" wrapText="1"/>
    </xf>
    <xf numFmtId="1" fontId="8" fillId="0" borderId="4" xfId="4" applyNumberFormat="1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 applyProtection="1">
      <alignment horizontal="center" vertical="center" wrapText="1"/>
    </xf>
    <xf numFmtId="49" fontId="8" fillId="0" borderId="6" xfId="2" applyNumberFormat="1" applyFont="1" applyFill="1" applyBorder="1" applyAlignment="1" applyProtection="1">
      <alignment horizontal="left" vertical="top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vertical="top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left" vertical="top" wrapText="1"/>
    </xf>
    <xf numFmtId="0" fontId="8" fillId="0" borderId="6" xfId="2" applyNumberFormat="1" applyFont="1" applyFill="1" applyBorder="1" applyAlignment="1" applyProtection="1">
      <alignment horizontal="left" vertical="top" wrapText="1"/>
    </xf>
    <xf numFmtId="165" fontId="8" fillId="0" borderId="7" xfId="2" applyNumberFormat="1" applyFont="1" applyFill="1" applyBorder="1" applyAlignment="1" applyProtection="1">
      <alignment horizontal="center" vertical="center" wrapText="1"/>
    </xf>
    <xf numFmtId="168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26" xfId="4" applyNumberFormat="1" applyFont="1" applyFill="1" applyBorder="1" applyAlignment="1" applyProtection="1">
      <alignment horizontal="right" vertical="center" wrapText="1"/>
    </xf>
    <xf numFmtId="0" fontId="8" fillId="0" borderId="2" xfId="4" applyNumberFormat="1" applyFont="1" applyFill="1" applyBorder="1" applyAlignment="1" applyProtection="1">
      <alignment horizontal="right" vertical="center" wrapText="1"/>
    </xf>
    <xf numFmtId="0" fontId="9" fillId="0" borderId="38" xfId="1" applyFont="1" applyFill="1" applyBorder="1" applyAlignment="1">
      <alignment vertical="center"/>
    </xf>
    <xf numFmtId="0" fontId="8" fillId="0" borderId="15" xfId="1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center" vertical="center" wrapText="1"/>
    </xf>
    <xf numFmtId="0" fontId="8" fillId="0" borderId="17" xfId="1" applyNumberFormat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9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27" xfId="1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49" fontId="13" fillId="0" borderId="16" xfId="3" applyNumberFormat="1" applyFont="1" applyFill="1" applyBorder="1" applyAlignment="1" applyProtection="1">
      <alignment horizontal="center" vertical="top" wrapText="1"/>
    </xf>
    <xf numFmtId="0" fontId="13" fillId="0" borderId="8" xfId="3" applyNumberFormat="1" applyFont="1" applyFill="1" applyBorder="1" applyAlignment="1" applyProtection="1">
      <alignment vertical="top" wrapText="1"/>
    </xf>
    <xf numFmtId="49" fontId="8" fillId="0" borderId="26" xfId="3" applyNumberFormat="1" applyFont="1" applyFill="1" applyBorder="1" applyAlignment="1" applyProtection="1">
      <alignment horizontal="center" vertical="top" wrapText="1"/>
    </xf>
    <xf numFmtId="0" fontId="8" fillId="0" borderId="2" xfId="3" applyNumberFormat="1" applyFont="1" applyFill="1" applyBorder="1" applyAlignment="1" applyProtection="1">
      <alignment vertical="top" wrapText="1"/>
    </xf>
    <xf numFmtId="165" fontId="8" fillId="0" borderId="2" xfId="3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left" vertical="top" wrapText="1"/>
    </xf>
    <xf numFmtId="168" fontId="13" fillId="0" borderId="2" xfId="2" applyNumberFormat="1" applyFont="1" applyFill="1" applyBorder="1" applyAlignment="1" applyProtection="1">
      <alignment horizontal="center" vertical="center"/>
    </xf>
    <xf numFmtId="0" fontId="9" fillId="0" borderId="31" xfId="3" applyFont="1" applyFill="1" applyBorder="1" applyAlignment="1">
      <alignment horizontal="center" vertical="center" wrapText="1"/>
    </xf>
    <xf numFmtId="168" fontId="13" fillId="0" borderId="2" xfId="5" applyNumberFormat="1" applyFont="1" applyFill="1" applyBorder="1" applyAlignment="1" applyProtection="1">
      <alignment horizontal="center" vertical="center"/>
    </xf>
    <xf numFmtId="168" fontId="27" fillId="0" borderId="2" xfId="5" applyNumberFormat="1" applyFont="1" applyFill="1" applyBorder="1" applyAlignment="1" applyProtection="1">
      <alignment horizontal="center" vertical="center"/>
    </xf>
    <xf numFmtId="49" fontId="8" fillId="0" borderId="26" xfId="5" applyNumberFormat="1" applyFont="1" applyFill="1" applyBorder="1" applyAlignment="1" applyProtection="1">
      <alignment horizontal="center" vertical="top" wrapText="1"/>
    </xf>
    <xf numFmtId="49" fontId="8" fillId="0" borderId="2" xfId="5" applyNumberFormat="1" applyFont="1" applyFill="1" applyBorder="1" applyAlignment="1" applyProtection="1">
      <alignment horizontal="left" vertical="top" wrapText="1"/>
    </xf>
    <xf numFmtId="165" fontId="8" fillId="0" borderId="2" xfId="5" applyNumberFormat="1" applyFont="1" applyFill="1" applyBorder="1" applyAlignment="1" applyProtection="1">
      <alignment horizontal="center" vertical="center" wrapText="1"/>
    </xf>
    <xf numFmtId="168" fontId="8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 applyProtection="1">
      <alignment horizontal="center" vertical="center" wrapText="1"/>
    </xf>
    <xf numFmtId="49" fontId="9" fillId="0" borderId="27" xfId="5" applyNumberFormat="1" applyFont="1" applyFill="1" applyBorder="1" applyAlignment="1" applyProtection="1">
      <alignment horizontal="center" vertical="center" wrapText="1"/>
    </xf>
    <xf numFmtId="49" fontId="8" fillId="0" borderId="2" xfId="5" applyNumberFormat="1" applyFont="1" applyFill="1" applyBorder="1" applyAlignment="1" applyProtection="1">
      <alignment vertical="top" wrapText="1"/>
    </xf>
    <xf numFmtId="168" fontId="13" fillId="0" borderId="2" xfId="5" applyNumberFormat="1" applyFont="1" applyFill="1" applyBorder="1" applyAlignment="1" applyProtection="1">
      <alignment horizontal="center" vertical="center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49" fontId="9" fillId="0" borderId="31" xfId="5" applyNumberFormat="1" applyFont="1" applyFill="1" applyBorder="1" applyAlignment="1" applyProtection="1">
      <alignment horizontal="center" vertical="center" wrapText="1"/>
    </xf>
    <xf numFmtId="49" fontId="8" fillId="0" borderId="30" xfId="5" applyNumberFormat="1" applyFont="1" applyFill="1" applyBorder="1" applyAlignment="1" applyProtection="1">
      <alignment horizontal="center" vertical="top" wrapText="1"/>
    </xf>
    <xf numFmtId="49" fontId="8" fillId="0" borderId="6" xfId="5" applyNumberFormat="1" applyFont="1" applyFill="1" applyBorder="1" applyAlignment="1" applyProtection="1">
      <alignment horizontal="left" vertical="top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0" fontId="9" fillId="0" borderId="31" xfId="5" applyNumberFormat="1" applyFont="1" applyFill="1" applyBorder="1" applyAlignment="1" applyProtection="1">
      <alignment horizontal="center" vertical="center" wrapText="1"/>
    </xf>
    <xf numFmtId="49" fontId="8" fillId="0" borderId="16" xfId="5" applyNumberFormat="1" applyFont="1" applyFill="1" applyBorder="1" applyAlignment="1" applyProtection="1">
      <alignment horizontal="center" vertical="top" wrapText="1"/>
    </xf>
    <xf numFmtId="49" fontId="8" fillId="0" borderId="8" xfId="5" applyNumberFormat="1" applyFont="1" applyFill="1" applyBorder="1" applyAlignment="1" applyProtection="1">
      <alignment horizontal="left" vertical="top" wrapText="1"/>
    </xf>
    <xf numFmtId="49" fontId="9" fillId="0" borderId="8" xfId="5" applyNumberFormat="1" applyFont="1" applyFill="1" applyBorder="1" applyAlignment="1" applyProtection="1">
      <alignment horizontal="center" vertical="center" wrapText="1"/>
    </xf>
    <xf numFmtId="0" fontId="9" fillId="0" borderId="34" xfId="5" applyNumberFormat="1" applyFont="1" applyFill="1" applyBorder="1" applyAlignment="1" applyProtection="1">
      <alignment horizontal="center" vertical="center" wrapText="1"/>
    </xf>
    <xf numFmtId="49" fontId="8" fillId="0" borderId="26" xfId="5" applyNumberFormat="1" applyFont="1" applyFill="1" applyBorder="1" applyAlignment="1" applyProtection="1">
      <alignment horizontal="center" vertical="top"/>
    </xf>
    <xf numFmtId="0" fontId="8" fillId="0" borderId="2" xfId="5" applyNumberFormat="1" applyFont="1" applyFill="1" applyBorder="1" applyAlignment="1" applyProtection="1">
      <alignment horizontal="left" vertical="top" wrapText="1"/>
    </xf>
    <xf numFmtId="0" fontId="9" fillId="0" borderId="27" xfId="5" applyNumberFormat="1" applyFont="1" applyFill="1" applyBorder="1" applyAlignment="1" applyProtection="1">
      <alignment horizontal="center" vertical="center" wrapText="1"/>
    </xf>
    <xf numFmtId="49" fontId="9" fillId="0" borderId="31" xfId="5" applyNumberFormat="1" applyFont="1" applyFill="1" applyBorder="1" applyAlignment="1" applyProtection="1">
      <alignment horizontal="center" vertical="center" wrapText="1"/>
    </xf>
    <xf numFmtId="49" fontId="8" fillId="0" borderId="32" xfId="5" applyNumberFormat="1" applyFont="1" applyFill="1" applyBorder="1" applyAlignment="1" applyProtection="1">
      <alignment horizontal="center" vertical="top" wrapText="1"/>
    </xf>
    <xf numFmtId="49" fontId="8" fillId="0" borderId="7" xfId="5" applyNumberFormat="1" applyFont="1" applyFill="1" applyBorder="1" applyAlignment="1" applyProtection="1">
      <alignment horizontal="left" vertical="top" wrapText="1"/>
    </xf>
    <xf numFmtId="0" fontId="8" fillId="0" borderId="7" xfId="3" applyNumberFormat="1" applyFont="1" applyFill="1" applyBorder="1" applyAlignment="1" applyProtection="1">
      <alignment horizontal="center" vertical="center" wrapText="1"/>
    </xf>
    <xf numFmtId="49" fontId="9" fillId="0" borderId="7" xfId="5" applyNumberFormat="1" applyFont="1" applyFill="1" applyBorder="1" applyAlignment="1" applyProtection="1">
      <alignment horizontal="center" vertical="center" wrapText="1"/>
    </xf>
    <xf numFmtId="49" fontId="9" fillId="0" borderId="33" xfId="5" applyNumberFormat="1" applyFont="1" applyFill="1" applyBorder="1" applyAlignment="1" applyProtection="1">
      <alignment horizontal="center" vertical="center" wrapText="1"/>
    </xf>
    <xf numFmtId="49" fontId="9" fillId="0" borderId="34" xfId="5" applyNumberFormat="1" applyFont="1" applyFill="1" applyBorder="1" applyAlignment="1" applyProtection="1">
      <alignment horizontal="center" vertical="center" wrapText="1"/>
    </xf>
    <xf numFmtId="0" fontId="8" fillId="0" borderId="26" xfId="4" applyNumberFormat="1" applyFont="1" applyFill="1" applyBorder="1" applyAlignment="1">
      <alignment horizontal="right" vertical="center" wrapText="1"/>
    </xf>
    <xf numFmtId="168" fontId="13" fillId="0" borderId="2" xfId="4" applyNumberFormat="1" applyFont="1" applyFill="1" applyBorder="1" applyAlignment="1">
      <alignment horizontal="right" vertical="center" wrapText="1"/>
    </xf>
    <xf numFmtId="168" fontId="13" fillId="0" borderId="2" xfId="4" applyNumberFormat="1" applyFont="1" applyFill="1" applyBorder="1" applyAlignment="1" applyProtection="1">
      <alignment horizontal="right" vertical="center"/>
    </xf>
    <xf numFmtId="168" fontId="13" fillId="0" borderId="37" xfId="4" applyNumberFormat="1" applyFont="1" applyFill="1" applyBorder="1" applyAlignment="1" applyProtection="1">
      <alignment horizontal="right" vertical="center"/>
    </xf>
    <xf numFmtId="0" fontId="8" fillId="0" borderId="6" xfId="3" applyNumberFormat="1" applyFont="1" applyFill="1" applyBorder="1" applyAlignment="1" applyProtection="1">
      <alignment horizontal="left" vertical="top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 applyProtection="1">
      <alignment horizontal="left" vertical="top" wrapText="1"/>
    </xf>
    <xf numFmtId="0" fontId="9" fillId="0" borderId="6" xfId="3" applyNumberFormat="1" applyFont="1" applyFill="1" applyBorder="1" applyAlignment="1" applyProtection="1">
      <alignment horizontal="center" vertical="center" wrapText="1"/>
    </xf>
    <xf numFmtId="0" fontId="9" fillId="0" borderId="31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left" vertical="top" wrapText="1"/>
    </xf>
    <xf numFmtId="0" fontId="9" fillId="0" borderId="8" xfId="3" applyNumberFormat="1" applyFont="1" applyFill="1" applyBorder="1" applyAlignment="1" applyProtection="1">
      <alignment horizontal="center" vertical="center" wrapText="1"/>
    </xf>
    <xf numFmtId="0" fontId="9" fillId="0" borderId="34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left" vertical="top" wrapText="1"/>
    </xf>
    <xf numFmtId="0" fontId="9" fillId="0" borderId="7" xfId="3" applyNumberFormat="1" applyFont="1" applyFill="1" applyBorder="1" applyAlignment="1" applyProtection="1">
      <alignment horizontal="center" vertical="center" wrapText="1"/>
    </xf>
    <xf numFmtId="0" fontId="9" fillId="0" borderId="33" xfId="3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right" vertical="center"/>
    </xf>
    <xf numFmtId="0" fontId="8" fillId="0" borderId="21" xfId="5" applyNumberFormat="1" applyFont="1" applyFill="1" applyBorder="1" applyAlignment="1" applyProtection="1">
      <alignment horizontal="right" vertical="center" wrapText="1"/>
    </xf>
    <xf numFmtId="0" fontId="8" fillId="0" borderId="20" xfId="5" applyNumberFormat="1" applyFont="1" applyFill="1" applyBorder="1" applyAlignment="1" applyProtection="1">
      <alignment horizontal="right" vertical="center" wrapText="1"/>
    </xf>
    <xf numFmtId="165" fontId="8" fillId="0" borderId="20" xfId="5" applyNumberFormat="1" applyFont="1" applyFill="1" applyBorder="1" applyAlignment="1" applyProtection="1">
      <alignment horizontal="center" vertical="center"/>
    </xf>
    <xf numFmtId="168" fontId="8" fillId="0" borderId="20" xfId="5" applyNumberFormat="1" applyFont="1" applyFill="1" applyBorder="1" applyAlignment="1" applyProtection="1">
      <alignment horizontal="center" vertical="center"/>
    </xf>
    <xf numFmtId="0" fontId="18" fillId="0" borderId="20" xfId="5" applyNumberFormat="1" applyFont="1" applyFill="1" applyBorder="1" applyAlignment="1" applyProtection="1">
      <alignment vertical="top"/>
    </xf>
    <xf numFmtId="0" fontId="18" fillId="0" borderId="25" xfId="5" applyNumberFormat="1" applyFont="1" applyFill="1" applyBorder="1" applyAlignment="1" applyProtection="1">
      <alignment vertical="top"/>
    </xf>
    <xf numFmtId="168" fontId="8" fillId="0" borderId="37" xfId="5" applyNumberFormat="1" applyFont="1" applyFill="1" applyBorder="1" applyAlignment="1" applyProtection="1">
      <alignment horizontal="center" vertical="center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center" vertical="top" wrapText="1"/>
    </xf>
    <xf numFmtId="165" fontId="9" fillId="0" borderId="0" xfId="5" applyNumberFormat="1" applyFont="1" applyFill="1" applyBorder="1" applyAlignment="1" applyProtection="1">
      <alignment horizontal="center" vertical="top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4%20&#1074;&#1072;&#1088;&#1080;&#1072;&#1085;&#1090;%2024.07.2018%20&#8470;3423\13.09.2018\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06"/>
  <sheetViews>
    <sheetView view="pageBreakPreview" zoomScale="70" zoomScaleNormal="70" zoomScaleSheetLayoutView="70" workbookViewId="0">
      <pane ySplit="13" topLeftCell="A44" activePane="bottomLeft" state="frozen"/>
      <selection activeCell="F60" sqref="F60"/>
      <selection pane="bottomLeft" activeCell="I104" sqref="I104"/>
    </sheetView>
  </sheetViews>
  <sheetFormatPr defaultColWidth="9.140625" defaultRowHeight="15" x14ac:dyDescent="0.25"/>
  <cols>
    <col min="1" max="1" width="9.140625" style="6"/>
    <col min="2" max="2" width="57.28515625" style="6" customWidth="1"/>
    <col min="3" max="3" width="18.28515625" style="6" customWidth="1"/>
    <col min="4" max="4" width="33.42578125" style="6" customWidth="1"/>
    <col min="5" max="5" width="19.42578125" style="6" customWidth="1"/>
    <col min="6" max="6" width="22.7109375" style="41" customWidth="1"/>
    <col min="7" max="7" width="18.140625" style="6" customWidth="1"/>
    <col min="8" max="8" width="19" style="182" customWidth="1"/>
    <col min="9" max="9" width="20.28515625" style="42" customWidth="1"/>
    <col min="10" max="10" width="20.28515625" style="6" customWidth="1"/>
    <col min="11" max="11" width="20.7109375" style="6" customWidth="1"/>
    <col min="12" max="12" width="20.42578125" style="6" customWidth="1"/>
    <col min="13" max="13" width="28.42578125" style="6" customWidth="1"/>
    <col min="14" max="16" width="22" style="6" hidden="1" customWidth="1"/>
    <col min="17" max="17" width="22.42578125" style="6" hidden="1" customWidth="1"/>
    <col min="18" max="18" width="11.5703125" style="6" customWidth="1"/>
    <col min="19" max="21" width="11.140625" style="6" customWidth="1"/>
    <col min="22" max="22" width="9.140625" style="6" customWidth="1"/>
    <col min="23" max="16384" width="9.140625" style="6"/>
  </cols>
  <sheetData>
    <row r="1" spans="1:17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290" t="s">
        <v>352</v>
      </c>
      <c r="L1" s="290"/>
      <c r="M1" s="290"/>
    </row>
    <row r="2" spans="1:17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290" t="s">
        <v>353</v>
      </c>
      <c r="L2" s="290"/>
      <c r="M2" s="290"/>
    </row>
    <row r="3" spans="1:17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290" t="s">
        <v>354</v>
      </c>
      <c r="L3" s="290"/>
      <c r="M3" s="290"/>
    </row>
    <row r="4" spans="1:17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290" t="s">
        <v>356</v>
      </c>
      <c r="L4" s="290"/>
      <c r="M4" s="290"/>
    </row>
    <row r="5" spans="1:17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232"/>
      <c r="L5" s="232"/>
      <c r="M5" s="232"/>
    </row>
    <row r="6" spans="1:17" ht="18" customHeight="1" x14ac:dyDescent="0.25">
      <c r="A6" s="172"/>
      <c r="B6" s="7"/>
      <c r="C6" s="8"/>
      <c r="D6" s="9"/>
      <c r="E6" s="291"/>
      <c r="F6" s="291"/>
      <c r="G6" s="291"/>
      <c r="H6" s="291"/>
      <c r="I6" s="11"/>
      <c r="J6" s="10"/>
      <c r="K6" s="290" t="s">
        <v>331</v>
      </c>
      <c r="L6" s="290"/>
      <c r="M6" s="290"/>
      <c r="N6" s="194"/>
      <c r="O6" s="194"/>
      <c r="P6" s="194"/>
    </row>
    <row r="7" spans="1:17" ht="18.75" x14ac:dyDescent="0.25">
      <c r="A7" s="13"/>
      <c r="B7" s="296" t="s">
        <v>130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192"/>
      <c r="O7" s="192"/>
      <c r="P7" s="192"/>
    </row>
    <row r="8" spans="1:17" ht="16.5" thickBot="1" x14ac:dyDescent="0.3">
      <c r="A8" s="13"/>
      <c r="B8" s="9"/>
      <c r="C8" s="8"/>
      <c r="D8" s="9"/>
      <c r="E8" s="9"/>
      <c r="F8" s="12"/>
      <c r="G8" s="295"/>
      <c r="H8" s="295"/>
      <c r="I8" s="295"/>
      <c r="J8" s="295"/>
      <c r="K8" s="295"/>
      <c r="L8" s="295"/>
      <c r="M8" s="295"/>
      <c r="N8" s="191" t="s">
        <v>299</v>
      </c>
      <c r="O8" s="191" t="s">
        <v>300</v>
      </c>
      <c r="P8" s="191"/>
    </row>
    <row r="9" spans="1:17" ht="15" customHeight="1" x14ac:dyDescent="0.25">
      <c r="A9" s="261" t="s">
        <v>1</v>
      </c>
      <c r="B9" s="264" t="s">
        <v>6</v>
      </c>
      <c r="C9" s="264" t="s">
        <v>0</v>
      </c>
      <c r="D9" s="264" t="s">
        <v>2</v>
      </c>
      <c r="E9" s="264" t="s">
        <v>145</v>
      </c>
      <c r="F9" s="297" t="s">
        <v>3</v>
      </c>
      <c r="G9" s="267" t="s">
        <v>48</v>
      </c>
      <c r="H9" s="268"/>
      <c r="I9" s="268"/>
      <c r="J9" s="268"/>
      <c r="K9" s="269"/>
      <c r="L9" s="264" t="s">
        <v>17</v>
      </c>
      <c r="M9" s="259" t="s">
        <v>7</v>
      </c>
      <c r="N9" s="193"/>
      <c r="O9" s="193"/>
      <c r="P9" s="193"/>
    </row>
    <row r="10" spans="1:17" ht="18.75" x14ac:dyDescent="0.25">
      <c r="A10" s="262"/>
      <c r="B10" s="265"/>
      <c r="C10" s="265"/>
      <c r="D10" s="265"/>
      <c r="E10" s="265"/>
      <c r="F10" s="298"/>
      <c r="G10" s="270"/>
      <c r="H10" s="271"/>
      <c r="I10" s="271"/>
      <c r="J10" s="271"/>
      <c r="K10" s="272"/>
      <c r="L10" s="265"/>
      <c r="M10" s="260"/>
      <c r="N10" s="193"/>
      <c r="O10" s="193"/>
      <c r="P10" s="193"/>
    </row>
    <row r="11" spans="1:17" ht="27.75" customHeight="1" x14ac:dyDescent="0.25">
      <c r="A11" s="263"/>
      <c r="B11" s="266"/>
      <c r="C11" s="266"/>
      <c r="D11" s="266"/>
      <c r="E11" s="265"/>
      <c r="F11" s="299"/>
      <c r="G11" s="273"/>
      <c r="H11" s="274"/>
      <c r="I11" s="274"/>
      <c r="J11" s="274"/>
      <c r="K11" s="275"/>
      <c r="L11" s="265"/>
      <c r="M11" s="260"/>
      <c r="N11" s="193"/>
      <c r="O11" s="193"/>
      <c r="P11" s="193"/>
    </row>
    <row r="12" spans="1:17" ht="73.5" customHeight="1" x14ac:dyDescent="0.25">
      <c r="A12" s="263"/>
      <c r="B12" s="266"/>
      <c r="C12" s="266"/>
      <c r="D12" s="266"/>
      <c r="E12" s="265"/>
      <c r="F12" s="299"/>
      <c r="G12" s="240" t="s">
        <v>46</v>
      </c>
      <c r="H12" s="240" t="s">
        <v>47</v>
      </c>
      <c r="I12" s="14" t="s">
        <v>147</v>
      </c>
      <c r="J12" s="240" t="s">
        <v>148</v>
      </c>
      <c r="K12" s="240" t="s">
        <v>149</v>
      </c>
      <c r="L12" s="265"/>
      <c r="M12" s="260"/>
      <c r="N12" s="193"/>
      <c r="O12" s="193"/>
      <c r="P12" s="193"/>
    </row>
    <row r="13" spans="1:17" ht="18" customHeight="1" x14ac:dyDescent="0.25">
      <c r="A13" s="15">
        <v>1</v>
      </c>
      <c r="B13" s="16">
        <v>2</v>
      </c>
      <c r="C13" s="16" t="s">
        <v>18</v>
      </c>
      <c r="D13" s="16">
        <v>4</v>
      </c>
      <c r="E13" s="16" t="s">
        <v>19</v>
      </c>
      <c r="F13" s="16" t="s">
        <v>131</v>
      </c>
      <c r="G13" s="16" t="s">
        <v>20</v>
      </c>
      <c r="H13" s="16" t="s">
        <v>132</v>
      </c>
      <c r="I13" s="16" t="s">
        <v>21</v>
      </c>
      <c r="J13" s="16" t="s">
        <v>22</v>
      </c>
      <c r="K13" s="16" t="s">
        <v>30</v>
      </c>
      <c r="L13" s="16" t="s">
        <v>31</v>
      </c>
      <c r="M13" s="17" t="s">
        <v>50</v>
      </c>
      <c r="N13" s="138"/>
      <c r="O13" s="138"/>
      <c r="P13" s="138"/>
    </row>
    <row r="14" spans="1:17" ht="35.25" customHeight="1" x14ac:dyDescent="0.25">
      <c r="A14" s="417" t="s">
        <v>61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9"/>
      <c r="N14" s="193"/>
      <c r="O14" s="193"/>
      <c r="P14" s="193"/>
    </row>
    <row r="15" spans="1:17" ht="31.5" customHeight="1" x14ac:dyDescent="0.3">
      <c r="A15" s="284"/>
      <c r="B15" s="279" t="s">
        <v>245</v>
      </c>
      <c r="C15" s="276" t="s">
        <v>146</v>
      </c>
      <c r="D15" s="18" t="s">
        <v>10</v>
      </c>
      <c r="E15" s="173">
        <f>SUM(E16:E20)</f>
        <v>2336141.8930000002</v>
      </c>
      <c r="F15" s="198">
        <f>SUM(F16:F20)</f>
        <v>14783790.95397</v>
      </c>
      <c r="G15" s="173">
        <f t="shared" ref="G15:K15" si="0">SUM(G16:G20)</f>
        <v>2616864.3339999998</v>
      </c>
      <c r="H15" s="173">
        <f>SUM(H16:H20)</f>
        <v>2939480.7</v>
      </c>
      <c r="I15" s="198">
        <f t="shared" si="0"/>
        <v>3093213.27397</v>
      </c>
      <c r="J15" s="198">
        <f t="shared" si="0"/>
        <v>3067116.3230000003</v>
      </c>
      <c r="K15" s="198">
        <f t="shared" si="0"/>
        <v>3067116.3230000003</v>
      </c>
      <c r="L15" s="420"/>
      <c r="M15" s="421"/>
      <c r="N15" s="139"/>
      <c r="O15" s="139"/>
      <c r="P15" s="139"/>
    </row>
    <row r="16" spans="1:17" ht="37.5" x14ac:dyDescent="0.3">
      <c r="A16" s="285"/>
      <c r="B16" s="280"/>
      <c r="C16" s="277"/>
      <c r="D16" s="19" t="s">
        <v>5</v>
      </c>
      <c r="E16" s="174">
        <f>E25+E26+E27+E36+E42+E46+E47+E48</f>
        <v>1302780</v>
      </c>
      <c r="F16" s="422">
        <f>SUM(G16:K16)</f>
        <v>8763377</v>
      </c>
      <c r="G16" s="174">
        <f>G25+G26+G27+G36+G42+G46+G47+G48</f>
        <v>1531991</v>
      </c>
      <c r="H16" s="174">
        <f>H25+H26+H27+H36+H42+H46+H47+H48</f>
        <v>1771998</v>
      </c>
      <c r="I16" s="199">
        <f>I25+I26+I27+I36+I42+I46+I47+I48</f>
        <v>1803274</v>
      </c>
      <c r="J16" s="199">
        <f>J25+J26+J27+J36+J42+J46+J47+J48</f>
        <v>1828057</v>
      </c>
      <c r="K16" s="199">
        <f>K25+K26+K27+K36+K42+K46+K47+K48</f>
        <v>1828057</v>
      </c>
      <c r="L16" s="423"/>
      <c r="M16" s="424"/>
      <c r="N16" s="139"/>
      <c r="O16" s="139"/>
      <c r="P16" s="139"/>
      <c r="Q16" s="20"/>
    </row>
    <row r="17" spans="1:23" ht="56.25" x14ac:dyDescent="0.3">
      <c r="A17" s="285"/>
      <c r="B17" s="280"/>
      <c r="C17" s="277"/>
      <c r="D17" s="19" t="s">
        <v>12</v>
      </c>
      <c r="E17" s="175">
        <f>E21+E24+E28+E30+E33+E34+E35+E37+E40+E44+E49+E50+E52+E54</f>
        <v>731334.36599999992</v>
      </c>
      <c r="F17" s="422">
        <f t="shared" ref="F17:F19" si="1">SUM(G17:K17)</f>
        <v>4909103.6630000006</v>
      </c>
      <c r="G17" s="175">
        <f>G21+G24+G28+G30+G33+G34+G35+G37+G40+G44+G49+G50+G52+G54</f>
        <v>746450.82100000011</v>
      </c>
      <c r="H17" s="175">
        <f>H21+H24+H28+H30+H33+H34+H35+H37+H40+H44+H49+H50+H52+H54</f>
        <v>807400.03600000008</v>
      </c>
      <c r="I17" s="200">
        <f>I21+I24+I28+I30+I33+I34+I35+I37+I40+I44+I49+I50+I52+I54</f>
        <v>1043256.8999999998</v>
      </c>
      <c r="J17" s="200">
        <f>J21+J24+J28+J30+J33+J34+J35+J37+J40+J44+J49+J50+J52+J54</f>
        <v>1155997.9530000002</v>
      </c>
      <c r="K17" s="200">
        <f>K21+K24+K28+K30+K33+K34+K35+K37+K40+K44+K49+K50+K52+K54</f>
        <v>1155997.9530000002</v>
      </c>
      <c r="L17" s="423"/>
      <c r="M17" s="424"/>
      <c r="N17" s="139"/>
      <c r="O17" s="139"/>
      <c r="P17" s="139"/>
      <c r="Q17" s="20"/>
    </row>
    <row r="18" spans="1:23" ht="123" customHeight="1" x14ac:dyDescent="0.3">
      <c r="A18" s="285"/>
      <c r="B18" s="280"/>
      <c r="C18" s="277"/>
      <c r="D18" s="19" t="s">
        <v>89</v>
      </c>
      <c r="E18" s="175">
        <f>E43+E31+E45+E51+E39</f>
        <v>13678.833999999999</v>
      </c>
      <c r="F18" s="422">
        <f>SUM(G18:K18)</f>
        <v>20255.629000000001</v>
      </c>
      <c r="G18" s="175">
        <f>G31+G39+G43+G45+G51</f>
        <v>8216.7669999999998</v>
      </c>
      <c r="H18" s="175">
        <f t="shared" ref="H18:K18" si="2">H31+H39+H43+H45+H51</f>
        <v>6147.8620000000001</v>
      </c>
      <c r="I18" s="200">
        <f t="shared" si="2"/>
        <v>5891</v>
      </c>
      <c r="J18" s="200">
        <f t="shared" si="2"/>
        <v>0</v>
      </c>
      <c r="K18" s="200">
        <f t="shared" si="2"/>
        <v>0</v>
      </c>
      <c r="L18" s="423"/>
      <c r="M18" s="424"/>
      <c r="N18" s="139"/>
      <c r="O18" s="139"/>
      <c r="P18" s="139"/>
      <c r="Q18" s="20"/>
    </row>
    <row r="19" spans="1:23" ht="75" x14ac:dyDescent="0.3">
      <c r="A19" s="285"/>
      <c r="B19" s="280"/>
      <c r="C19" s="277"/>
      <c r="D19" s="14" t="s">
        <v>51</v>
      </c>
      <c r="E19" s="174">
        <f>E22+E32</f>
        <v>36793.925999999999</v>
      </c>
      <c r="F19" s="422">
        <f t="shared" si="1"/>
        <v>274852.48397</v>
      </c>
      <c r="G19" s="174">
        <f>G22+G32</f>
        <v>38885.425999999999</v>
      </c>
      <c r="H19" s="174">
        <f>H22+H32</f>
        <v>41319.222999999998</v>
      </c>
      <c r="I19" s="199">
        <f>I22+I32</f>
        <v>62685.430970000001</v>
      </c>
      <c r="J19" s="199">
        <f>J22+J32</f>
        <v>65981.202000000005</v>
      </c>
      <c r="K19" s="199">
        <f>K22+K32</f>
        <v>65981.202000000005</v>
      </c>
      <c r="L19" s="423"/>
      <c r="M19" s="424"/>
      <c r="N19" s="139"/>
      <c r="O19" s="139"/>
      <c r="P19" s="139"/>
      <c r="R19" s="20"/>
      <c r="S19" s="21"/>
      <c r="T19" s="21"/>
    </row>
    <row r="20" spans="1:23" ht="56.25" x14ac:dyDescent="0.3">
      <c r="A20" s="286"/>
      <c r="B20" s="281"/>
      <c r="C20" s="278"/>
      <c r="D20" s="14" t="s">
        <v>64</v>
      </c>
      <c r="E20" s="174">
        <f t="shared" ref="E20" si="3">E23</f>
        <v>251554.76699999999</v>
      </c>
      <c r="F20" s="422">
        <f>SUM(G20:K20)</f>
        <v>816202.17800000007</v>
      </c>
      <c r="G20" s="174">
        <f>G23</f>
        <v>291320.32000000001</v>
      </c>
      <c r="H20" s="174">
        <f>H23</f>
        <v>312615.57899999997</v>
      </c>
      <c r="I20" s="199">
        <f t="shared" ref="I20:K20" si="4">I23</f>
        <v>178105.943</v>
      </c>
      <c r="J20" s="199">
        <f t="shared" si="4"/>
        <v>17080.168000000005</v>
      </c>
      <c r="K20" s="199">
        <f t="shared" si="4"/>
        <v>17080.168000000005</v>
      </c>
      <c r="L20" s="425"/>
      <c r="M20" s="426"/>
      <c r="N20" s="139"/>
      <c r="O20" s="139"/>
      <c r="P20" s="139"/>
      <c r="S20" s="21"/>
      <c r="T20" s="21"/>
      <c r="U20" s="21"/>
    </row>
    <row r="21" spans="1:23" ht="66" customHeight="1" x14ac:dyDescent="0.25">
      <c r="A21" s="284" t="s">
        <v>91</v>
      </c>
      <c r="B21" s="427" t="s">
        <v>65</v>
      </c>
      <c r="C21" s="276" t="s">
        <v>146</v>
      </c>
      <c r="D21" s="14" t="s">
        <v>12</v>
      </c>
      <c r="E21" s="428">
        <v>607188.58499999996</v>
      </c>
      <c r="F21" s="429">
        <f>SUM(G21:K21)</f>
        <v>2821561.7040000004</v>
      </c>
      <c r="G21" s="428">
        <v>587406.33700000006</v>
      </c>
      <c r="H21" s="428">
        <v>594303.50199999998</v>
      </c>
      <c r="I21" s="429">
        <f>580539.236-27293.989-2709-6971.916+4121.584</f>
        <v>547685.91500000004</v>
      </c>
      <c r="J21" s="429">
        <f>580539.236-34456.261</f>
        <v>546082.97500000009</v>
      </c>
      <c r="K21" s="429">
        <f>580539.236-34456.261</f>
        <v>546082.97500000009</v>
      </c>
      <c r="L21" s="430" t="s">
        <v>11</v>
      </c>
      <c r="M21" s="431" t="s">
        <v>66</v>
      </c>
      <c r="N21" s="174">
        <f>('[1]Лист 1'!$F$315+'[1]Лист 1'!$F$316+'[1]Лист 1'!$F$317+'[1]Лист 1'!$F$318+'[1]Лист 1'!$F$319)/1000</f>
        <v>586716.05299999996</v>
      </c>
      <c r="O21" s="159">
        <v>590642.84799999988</v>
      </c>
      <c r="P21" s="159">
        <f>N21-O21</f>
        <v>-3926.7949999999255</v>
      </c>
      <c r="Q21" s="168" t="s">
        <v>287</v>
      </c>
    </row>
    <row r="22" spans="1:23" ht="75" x14ac:dyDescent="0.25">
      <c r="A22" s="285"/>
      <c r="B22" s="432"/>
      <c r="C22" s="277"/>
      <c r="D22" s="19" t="s">
        <v>51</v>
      </c>
      <c r="E22" s="433">
        <v>25069.506000000001</v>
      </c>
      <c r="F22" s="429">
        <f t="shared" ref="F22:F55" si="5">SUM(G22:K22)</f>
        <v>200176.55145999999</v>
      </c>
      <c r="G22" s="433">
        <v>31072.702000000001</v>
      </c>
      <c r="H22" s="428">
        <f>33669.566-1603.889</f>
        <v>32065.677</v>
      </c>
      <c r="I22" s="422">
        <f>46740.622-3504.63554</f>
        <v>43235.98646</v>
      </c>
      <c r="J22" s="422">
        <v>46901.093000000001</v>
      </c>
      <c r="K22" s="422">
        <v>46901.093000000001</v>
      </c>
      <c r="L22" s="430"/>
      <c r="M22" s="431"/>
      <c r="N22" s="174">
        <v>33049.506000000001</v>
      </c>
      <c r="O22" s="159">
        <v>33049.506000000001</v>
      </c>
      <c r="P22" s="159">
        <f t="shared" ref="P22:P74" si="6">N22-O22</f>
        <v>0</v>
      </c>
      <c r="Q22" s="97" t="s">
        <v>294</v>
      </c>
      <c r="R22" s="25"/>
      <c r="S22" s="25"/>
      <c r="T22" s="25"/>
    </row>
    <row r="23" spans="1:23" ht="56.25" x14ac:dyDescent="0.25">
      <c r="A23" s="286"/>
      <c r="B23" s="434"/>
      <c r="C23" s="277"/>
      <c r="D23" s="19" t="s">
        <v>64</v>
      </c>
      <c r="E23" s="433">
        <v>251554.76699999999</v>
      </c>
      <c r="F23" s="429">
        <f t="shared" si="5"/>
        <v>816202.17800000007</v>
      </c>
      <c r="G23" s="433">
        <f>286338.82+4981.5</f>
        <v>291320.32000000001</v>
      </c>
      <c r="H23" s="428">
        <f>308770.32+1903.49+1941.769</f>
        <v>312615.57899999997</v>
      </c>
      <c r="I23" s="422">
        <f>362047.105-273260.311+41142.878+19106.008+29070.263</f>
        <v>178105.943</v>
      </c>
      <c r="J23" s="422">
        <f>362047.105-344966.937</f>
        <v>17080.168000000005</v>
      </c>
      <c r="K23" s="422">
        <f>362047.105-344966.937</f>
        <v>17080.168000000005</v>
      </c>
      <c r="L23" s="430"/>
      <c r="M23" s="431"/>
      <c r="N23" s="174">
        <f>314335.695+1903.49</f>
        <v>316239.185</v>
      </c>
      <c r="O23" s="159">
        <v>308770.32</v>
      </c>
      <c r="P23" s="159">
        <f t="shared" si="6"/>
        <v>7468.8649999999907</v>
      </c>
      <c r="Q23" s="167" t="s">
        <v>305</v>
      </c>
      <c r="R23" s="25"/>
      <c r="S23" s="25"/>
      <c r="T23" s="25"/>
    </row>
    <row r="24" spans="1:23" ht="99" customHeight="1" x14ac:dyDescent="0.3">
      <c r="A24" s="239" t="s">
        <v>92</v>
      </c>
      <c r="B24" s="435" t="s">
        <v>69</v>
      </c>
      <c r="C24" s="19" t="s">
        <v>146</v>
      </c>
      <c r="D24" s="19" t="s">
        <v>12</v>
      </c>
      <c r="E24" s="433">
        <v>97943.71</v>
      </c>
      <c r="F24" s="429">
        <f t="shared" si="5"/>
        <v>495272.17600000004</v>
      </c>
      <c r="G24" s="433">
        <v>123994.07</v>
      </c>
      <c r="H24" s="433">
        <v>73401.635999999999</v>
      </c>
      <c r="I24" s="422">
        <f>95233.25+6550-2550+184.7</f>
        <v>99417.95</v>
      </c>
      <c r="J24" s="422">
        <v>99229.26</v>
      </c>
      <c r="K24" s="422">
        <v>99229.26</v>
      </c>
      <c r="L24" s="436" t="s">
        <v>11</v>
      </c>
      <c r="M24" s="437" t="s">
        <v>66</v>
      </c>
      <c r="N24" s="174">
        <f>('[1]Лист 1'!$F$320+'[1]Лист 1'!$F$321+'[1]Лист 1'!$F$322)/1000</f>
        <v>73401.635999999999</v>
      </c>
      <c r="O24" s="159">
        <v>84512.56</v>
      </c>
      <c r="P24" s="159">
        <f t="shared" si="6"/>
        <v>-11110.923999999999</v>
      </c>
      <c r="Q24" s="23"/>
      <c r="R24" s="25"/>
      <c r="S24" s="25"/>
      <c r="T24" s="25"/>
    </row>
    <row r="25" spans="1:23" ht="213" customHeight="1" x14ac:dyDescent="0.25">
      <c r="A25" s="438" t="s">
        <v>93</v>
      </c>
      <c r="B25" s="439" t="s">
        <v>335</v>
      </c>
      <c r="C25" s="19" t="s">
        <v>146</v>
      </c>
      <c r="D25" s="14" t="s">
        <v>5</v>
      </c>
      <c r="E25" s="433">
        <v>1114065</v>
      </c>
      <c r="F25" s="429">
        <f t="shared" si="5"/>
        <v>7479908</v>
      </c>
      <c r="G25" s="428">
        <v>1330105</v>
      </c>
      <c r="H25" s="433">
        <v>1528024</v>
      </c>
      <c r="I25" s="422">
        <f>1491924.154+48668.846</f>
        <v>1540593</v>
      </c>
      <c r="J25" s="422">
        <v>1540593</v>
      </c>
      <c r="K25" s="422">
        <v>1540593</v>
      </c>
      <c r="L25" s="436" t="s">
        <v>11</v>
      </c>
      <c r="M25" s="440" t="s">
        <v>215</v>
      </c>
      <c r="N25" s="174">
        <v>1441905</v>
      </c>
      <c r="O25" s="159">
        <v>1369809</v>
      </c>
      <c r="P25" s="159">
        <f t="shared" si="6"/>
        <v>72096</v>
      </c>
      <c r="R25" s="26"/>
      <c r="S25" s="26"/>
      <c r="T25" s="25"/>
      <c r="U25" s="25"/>
      <c r="V25" s="27"/>
      <c r="W25" s="27"/>
    </row>
    <row r="26" spans="1:23" ht="183.75" customHeight="1" x14ac:dyDescent="0.25">
      <c r="A26" s="239" t="s">
        <v>94</v>
      </c>
      <c r="B26" s="439" t="s">
        <v>316</v>
      </c>
      <c r="C26" s="19" t="s">
        <v>146</v>
      </c>
      <c r="D26" s="19" t="s">
        <v>5</v>
      </c>
      <c r="E26" s="433">
        <v>76694</v>
      </c>
      <c r="F26" s="429">
        <f t="shared" si="5"/>
        <v>477294</v>
      </c>
      <c r="G26" s="433">
        <v>64520</v>
      </c>
      <c r="H26" s="433">
        <v>94952</v>
      </c>
      <c r="I26" s="422">
        <f>107480-4618</f>
        <v>102862</v>
      </c>
      <c r="J26" s="422">
        <v>107480</v>
      </c>
      <c r="K26" s="422">
        <v>107480</v>
      </c>
      <c r="L26" s="235" t="s">
        <v>11</v>
      </c>
      <c r="M26" s="234" t="s">
        <v>211</v>
      </c>
      <c r="N26" s="174">
        <f>'[2]Лист 1'!$J$327/1000</f>
        <v>92501</v>
      </c>
      <c r="O26" s="159">
        <v>75898</v>
      </c>
      <c r="P26" s="159">
        <f t="shared" si="6"/>
        <v>16603</v>
      </c>
      <c r="R26" s="27"/>
      <c r="S26" s="27"/>
      <c r="T26" s="27"/>
    </row>
    <row r="27" spans="1:23" ht="63.75" customHeight="1" x14ac:dyDescent="0.25">
      <c r="A27" s="284" t="s">
        <v>95</v>
      </c>
      <c r="B27" s="427" t="s">
        <v>355</v>
      </c>
      <c r="C27" s="276" t="s">
        <v>146</v>
      </c>
      <c r="D27" s="19" t="s">
        <v>5</v>
      </c>
      <c r="E27" s="433">
        <v>31013</v>
      </c>
      <c r="F27" s="429">
        <f t="shared" si="5"/>
        <v>173110</v>
      </c>
      <c r="G27" s="433">
        <v>28213</v>
      </c>
      <c r="H27" s="433">
        <v>27631</v>
      </c>
      <c r="I27" s="422">
        <f>41572-7450</f>
        <v>34122</v>
      </c>
      <c r="J27" s="422">
        <v>41572</v>
      </c>
      <c r="K27" s="422">
        <v>41572</v>
      </c>
      <c r="L27" s="287" t="s">
        <v>11</v>
      </c>
      <c r="M27" s="292" t="s">
        <v>206</v>
      </c>
      <c r="N27" s="174">
        <f>'[1]Лист 1'!$F$328/1000</f>
        <v>26927</v>
      </c>
      <c r="O27" s="159">
        <v>26927</v>
      </c>
      <c r="P27" s="159">
        <f t="shared" si="6"/>
        <v>0</v>
      </c>
      <c r="R27" s="25"/>
      <c r="S27" s="25"/>
      <c r="T27" s="25"/>
    </row>
    <row r="28" spans="1:23" ht="63.75" customHeight="1" x14ac:dyDescent="0.25">
      <c r="A28" s="285"/>
      <c r="B28" s="432"/>
      <c r="C28" s="277"/>
      <c r="D28" s="19" t="s">
        <v>12</v>
      </c>
      <c r="E28" s="433">
        <v>6352</v>
      </c>
      <c r="F28" s="429">
        <f t="shared" si="5"/>
        <v>101098</v>
      </c>
      <c r="G28" s="433">
        <v>9405</v>
      </c>
      <c r="H28" s="433">
        <v>16864</v>
      </c>
      <c r="I28" s="422">
        <v>24943</v>
      </c>
      <c r="J28" s="422">
        <v>24943</v>
      </c>
      <c r="K28" s="422">
        <v>24943</v>
      </c>
      <c r="L28" s="288"/>
      <c r="M28" s="293"/>
      <c r="N28" s="174">
        <f>'[1]Лист 1'!$F$329/1000</f>
        <v>16433</v>
      </c>
      <c r="O28" s="159">
        <v>16433</v>
      </c>
      <c r="P28" s="159">
        <f t="shared" si="6"/>
        <v>0</v>
      </c>
    </row>
    <row r="29" spans="1:23" ht="93.75" x14ac:dyDescent="0.25">
      <c r="A29" s="286"/>
      <c r="B29" s="434"/>
      <c r="C29" s="278"/>
      <c r="D29" s="14" t="s">
        <v>276</v>
      </c>
      <c r="E29" s="433">
        <v>0</v>
      </c>
      <c r="F29" s="429">
        <f t="shared" si="5"/>
        <v>41376</v>
      </c>
      <c r="G29" s="433">
        <v>0</v>
      </c>
      <c r="H29" s="433">
        <v>16433</v>
      </c>
      <c r="I29" s="422">
        <v>24943</v>
      </c>
      <c r="J29" s="422">
        <v>0</v>
      </c>
      <c r="K29" s="422">
        <v>0</v>
      </c>
      <c r="L29" s="289"/>
      <c r="M29" s="294"/>
      <c r="N29" s="174">
        <v>16433</v>
      </c>
      <c r="O29" s="159">
        <v>16433</v>
      </c>
      <c r="P29" s="159">
        <f t="shared" si="6"/>
        <v>0</v>
      </c>
    </row>
    <row r="30" spans="1:23" ht="68.25" customHeight="1" x14ac:dyDescent="0.25">
      <c r="A30" s="284" t="s">
        <v>96</v>
      </c>
      <c r="B30" s="441" t="s">
        <v>150</v>
      </c>
      <c r="C30" s="276" t="s">
        <v>146</v>
      </c>
      <c r="D30" s="14" t="s">
        <v>12</v>
      </c>
      <c r="E30" s="433">
        <v>2739.2159999999999</v>
      </c>
      <c r="F30" s="429">
        <f t="shared" si="5"/>
        <v>18847.306</v>
      </c>
      <c r="G30" s="433">
        <f>4200+185+2601+236.5+2237+1000</f>
        <v>10459.5</v>
      </c>
      <c r="H30" s="433">
        <v>8387.8060000000005</v>
      </c>
      <c r="I30" s="422">
        <v>0</v>
      </c>
      <c r="J30" s="422">
        <v>0</v>
      </c>
      <c r="K30" s="422">
        <v>0</v>
      </c>
      <c r="L30" s="287" t="s">
        <v>41</v>
      </c>
      <c r="M30" s="442" t="s">
        <v>302</v>
      </c>
      <c r="N30" s="174">
        <f>('[1]Лист 1'!$F$330)/1000</f>
        <v>8387.8060000000005</v>
      </c>
      <c r="O30" s="159">
        <v>421.036</v>
      </c>
      <c r="P30" s="159">
        <f t="shared" si="6"/>
        <v>7966.77</v>
      </c>
      <c r="Q30" s="134" t="s">
        <v>304</v>
      </c>
      <c r="R30" s="26"/>
      <c r="S30" s="26"/>
      <c r="T30" s="26"/>
      <c r="U30" s="26"/>
    </row>
    <row r="31" spans="1:23" ht="117.75" customHeight="1" x14ac:dyDescent="0.25">
      <c r="A31" s="285"/>
      <c r="B31" s="443"/>
      <c r="C31" s="277"/>
      <c r="D31" s="14" t="s">
        <v>89</v>
      </c>
      <c r="E31" s="433">
        <f>6845.601+4543.233</f>
        <v>11388.833999999999</v>
      </c>
      <c r="F31" s="429">
        <f t="shared" si="5"/>
        <v>16070.396000000001</v>
      </c>
      <c r="G31" s="433">
        <f>4426.868+1634.4+300</f>
        <v>6361.268</v>
      </c>
      <c r="H31" s="433">
        <v>3818.1280000000002</v>
      </c>
      <c r="I31" s="422">
        <f>900+4991</f>
        <v>5891</v>
      </c>
      <c r="J31" s="422">
        <v>0</v>
      </c>
      <c r="K31" s="422">
        <v>0</v>
      </c>
      <c r="L31" s="288"/>
      <c r="M31" s="444"/>
      <c r="N31" s="174">
        <f>'[1]Лист 1'!$F$331/1000</f>
        <v>2572.9209999999998</v>
      </c>
      <c r="O31" s="159">
        <v>2572.9210000000003</v>
      </c>
      <c r="P31" s="159">
        <f t="shared" si="6"/>
        <v>0</v>
      </c>
      <c r="Q31" s="28"/>
      <c r="R31" s="26"/>
      <c r="S31" s="26"/>
      <c r="T31" s="26"/>
      <c r="U31" s="26"/>
      <c r="V31" s="26"/>
    </row>
    <row r="32" spans="1:23" ht="75" customHeight="1" x14ac:dyDescent="0.25">
      <c r="A32" s="286"/>
      <c r="B32" s="445"/>
      <c r="C32" s="278"/>
      <c r="D32" s="19" t="s">
        <v>51</v>
      </c>
      <c r="E32" s="433">
        <v>11724.42</v>
      </c>
      <c r="F32" s="429">
        <f t="shared" si="5"/>
        <v>74675.932509999984</v>
      </c>
      <c r="G32" s="433">
        <f>8743.755-931.031</f>
        <v>7812.7239999999993</v>
      </c>
      <c r="H32" s="433">
        <f>12258.728-3005.182</f>
        <v>9253.5459999999985</v>
      </c>
      <c r="I32" s="422">
        <f>19040.581+408.86351</f>
        <v>19449.444509999998</v>
      </c>
      <c r="J32" s="422">
        <v>19080.109</v>
      </c>
      <c r="K32" s="422">
        <v>19080.109</v>
      </c>
      <c r="L32" s="289"/>
      <c r="M32" s="446"/>
      <c r="N32" s="174">
        <v>12875.625</v>
      </c>
      <c r="O32" s="159">
        <v>12875.625</v>
      </c>
      <c r="P32" s="159">
        <f t="shared" si="6"/>
        <v>0</v>
      </c>
      <c r="Q32" s="20" t="s">
        <v>294</v>
      </c>
      <c r="R32" s="29"/>
      <c r="S32" s="25"/>
      <c r="T32" s="25"/>
    </row>
    <row r="33" spans="1:23" ht="117" customHeight="1" x14ac:dyDescent="0.25">
      <c r="A33" s="447" t="s">
        <v>97</v>
      </c>
      <c r="B33" s="448" t="s">
        <v>155</v>
      </c>
      <c r="C33" s="19" t="s">
        <v>146</v>
      </c>
      <c r="D33" s="14" t="s">
        <v>12</v>
      </c>
      <c r="E33" s="433">
        <v>4800</v>
      </c>
      <c r="F33" s="429">
        <f t="shared" si="5"/>
        <v>3437.9800000000005</v>
      </c>
      <c r="G33" s="433">
        <f>1135.422-184.356</f>
        <v>951.06600000000003</v>
      </c>
      <c r="H33" s="433">
        <v>1974.248</v>
      </c>
      <c r="I33" s="422">
        <f>433.05+79.616</f>
        <v>512.66600000000005</v>
      </c>
      <c r="J33" s="422">
        <v>0</v>
      </c>
      <c r="K33" s="422">
        <v>0</v>
      </c>
      <c r="L33" s="449" t="s">
        <v>8</v>
      </c>
      <c r="M33" s="233" t="s">
        <v>210</v>
      </c>
      <c r="N33" s="174">
        <f>('[1]Лист 1'!$F$332+'[1]Лист 1'!$F$333)/1000</f>
        <v>1974.248</v>
      </c>
      <c r="O33" s="159">
        <v>1974.248</v>
      </c>
      <c r="P33" s="159">
        <f t="shared" si="6"/>
        <v>0</v>
      </c>
      <c r="Q33" s="20"/>
    </row>
    <row r="34" spans="1:23" ht="89.25" customHeight="1" x14ac:dyDescent="0.25">
      <c r="A34" s="238" t="s">
        <v>98</v>
      </c>
      <c r="B34" s="450" t="s">
        <v>156</v>
      </c>
      <c r="C34" s="19" t="s">
        <v>146</v>
      </c>
      <c r="D34" s="14" t="s">
        <v>12</v>
      </c>
      <c r="E34" s="428">
        <v>490</v>
      </c>
      <c r="F34" s="429">
        <f t="shared" si="5"/>
        <v>0</v>
      </c>
      <c r="G34" s="428">
        <f>1000-1000</f>
        <v>0</v>
      </c>
      <c r="H34" s="428">
        <v>0</v>
      </c>
      <c r="I34" s="429">
        <v>0</v>
      </c>
      <c r="J34" s="429">
        <v>0</v>
      </c>
      <c r="K34" s="429">
        <v>0</v>
      </c>
      <c r="L34" s="451" t="s">
        <v>11</v>
      </c>
      <c r="M34" s="233" t="s">
        <v>207</v>
      </c>
      <c r="N34" s="174"/>
      <c r="O34" s="159">
        <v>0</v>
      </c>
      <c r="P34" s="159">
        <f t="shared" si="6"/>
        <v>0</v>
      </c>
      <c r="R34" s="25"/>
      <c r="S34" s="25"/>
      <c r="T34" s="25"/>
    </row>
    <row r="35" spans="1:23" ht="97.5" customHeight="1" x14ac:dyDescent="0.25">
      <c r="A35" s="284" t="s">
        <v>99</v>
      </c>
      <c r="B35" s="427" t="s">
        <v>263</v>
      </c>
      <c r="C35" s="276" t="s">
        <v>146</v>
      </c>
      <c r="D35" s="14" t="s">
        <v>12</v>
      </c>
      <c r="E35" s="428">
        <v>500</v>
      </c>
      <c r="F35" s="429">
        <f t="shared" si="5"/>
        <v>500</v>
      </c>
      <c r="G35" s="428">
        <f>1000-500</f>
        <v>500</v>
      </c>
      <c r="H35" s="428">
        <v>0</v>
      </c>
      <c r="I35" s="429">
        <v>0</v>
      </c>
      <c r="J35" s="429">
        <v>0</v>
      </c>
      <c r="K35" s="429">
        <v>0</v>
      </c>
      <c r="L35" s="452" t="s">
        <v>11</v>
      </c>
      <c r="M35" s="292" t="s">
        <v>208</v>
      </c>
      <c r="N35" s="174"/>
      <c r="O35" s="159">
        <v>0</v>
      </c>
      <c r="P35" s="159">
        <f t="shared" si="6"/>
        <v>0</v>
      </c>
      <c r="R35" s="25"/>
      <c r="S35" s="25"/>
      <c r="T35" s="25"/>
    </row>
    <row r="36" spans="1:23" ht="80.25" customHeight="1" x14ac:dyDescent="0.25">
      <c r="A36" s="286"/>
      <c r="B36" s="434"/>
      <c r="C36" s="278"/>
      <c r="D36" s="14" t="s">
        <v>5</v>
      </c>
      <c r="E36" s="428">
        <v>500</v>
      </c>
      <c r="F36" s="429">
        <f t="shared" si="5"/>
        <v>500</v>
      </c>
      <c r="G36" s="428">
        <f>500</f>
        <v>500</v>
      </c>
      <c r="H36" s="428">
        <v>0</v>
      </c>
      <c r="I36" s="429">
        <v>0</v>
      </c>
      <c r="J36" s="429">
        <v>0</v>
      </c>
      <c r="K36" s="429">
        <v>0</v>
      </c>
      <c r="L36" s="453"/>
      <c r="M36" s="294"/>
      <c r="N36" s="174"/>
      <c r="O36" s="159">
        <v>0</v>
      </c>
      <c r="P36" s="159">
        <f t="shared" si="6"/>
        <v>0</v>
      </c>
      <c r="Q36" s="26"/>
    </row>
    <row r="37" spans="1:23" ht="56.25" x14ac:dyDescent="0.25">
      <c r="A37" s="284" t="s">
        <v>100</v>
      </c>
      <c r="B37" s="454" t="s">
        <v>157</v>
      </c>
      <c r="C37" s="276" t="s">
        <v>146</v>
      </c>
      <c r="D37" s="14" t="s">
        <v>12</v>
      </c>
      <c r="E37" s="433">
        <f>389.25+1263.75</f>
        <v>1653</v>
      </c>
      <c r="F37" s="429">
        <f t="shared" si="5"/>
        <v>13195.67</v>
      </c>
      <c r="G37" s="433">
        <v>800</v>
      </c>
      <c r="H37" s="433">
        <v>842.23</v>
      </c>
      <c r="I37" s="422">
        <v>11553.44</v>
      </c>
      <c r="J37" s="422">
        <v>0</v>
      </c>
      <c r="K37" s="422">
        <v>0</v>
      </c>
      <c r="L37" s="455" t="s">
        <v>8</v>
      </c>
      <c r="M37" s="292" t="s">
        <v>209</v>
      </c>
      <c r="N37" s="174">
        <f>('[2]Лист 1'!$F$334+'[2]Лист 1'!$F$335+'[2]Лист 1'!$F$336+'[2]Лист 1'!$F$337)/1000</f>
        <v>842.23</v>
      </c>
      <c r="O37" s="159">
        <v>842.23</v>
      </c>
      <c r="P37" s="159">
        <f t="shared" si="6"/>
        <v>0</v>
      </c>
      <c r="R37" s="26"/>
      <c r="S37" s="26"/>
      <c r="T37" s="26"/>
      <c r="U37" s="26"/>
      <c r="V37" s="26"/>
      <c r="W37" s="26"/>
    </row>
    <row r="38" spans="1:23" ht="93.75" x14ac:dyDescent="0.25">
      <c r="A38" s="285"/>
      <c r="B38" s="456"/>
      <c r="C38" s="277"/>
      <c r="D38" s="14" t="s">
        <v>276</v>
      </c>
      <c r="E38" s="433">
        <v>0</v>
      </c>
      <c r="F38" s="429">
        <f t="shared" si="5"/>
        <v>11553.44</v>
      </c>
      <c r="G38" s="433">
        <v>0</v>
      </c>
      <c r="H38" s="433">
        <v>0</v>
      </c>
      <c r="I38" s="422">
        <v>11553.44</v>
      </c>
      <c r="J38" s="422">
        <v>0</v>
      </c>
      <c r="K38" s="422">
        <v>0</v>
      </c>
      <c r="L38" s="457"/>
      <c r="M38" s="293"/>
      <c r="N38" s="174"/>
      <c r="O38" s="159"/>
      <c r="P38" s="159"/>
      <c r="R38" s="26"/>
      <c r="S38" s="26"/>
      <c r="T38" s="26"/>
      <c r="U38" s="26"/>
      <c r="V38" s="26"/>
      <c r="W38" s="26"/>
    </row>
    <row r="39" spans="1:23" ht="119.25" customHeight="1" x14ac:dyDescent="0.25">
      <c r="A39" s="286"/>
      <c r="B39" s="458"/>
      <c r="C39" s="278"/>
      <c r="D39" s="14" t="s">
        <v>89</v>
      </c>
      <c r="E39" s="433">
        <v>0</v>
      </c>
      <c r="F39" s="429">
        <f t="shared" si="5"/>
        <v>399.10399999999998</v>
      </c>
      <c r="G39" s="433">
        <v>0</v>
      </c>
      <c r="H39" s="433">
        <v>399.10399999999998</v>
      </c>
      <c r="I39" s="422">
        <v>0</v>
      </c>
      <c r="J39" s="422">
        <v>0</v>
      </c>
      <c r="K39" s="422">
        <v>0</v>
      </c>
      <c r="L39" s="459"/>
      <c r="M39" s="294"/>
      <c r="N39" s="174">
        <f>('[2]Лист 1'!$F$338)/1000</f>
        <v>399.10399999999998</v>
      </c>
      <c r="O39" s="159">
        <v>399.10399999999998</v>
      </c>
      <c r="P39" s="159">
        <f t="shared" si="6"/>
        <v>0</v>
      </c>
      <c r="R39" s="26"/>
      <c r="S39" s="26"/>
      <c r="T39" s="26"/>
      <c r="U39" s="26"/>
      <c r="V39" s="26"/>
      <c r="W39" s="26"/>
    </row>
    <row r="40" spans="1:23" ht="61.5" customHeight="1" x14ac:dyDescent="0.25">
      <c r="A40" s="460" t="s">
        <v>101</v>
      </c>
      <c r="B40" s="427" t="s">
        <v>158</v>
      </c>
      <c r="C40" s="276" t="s">
        <v>146</v>
      </c>
      <c r="D40" s="14" t="s">
        <v>12</v>
      </c>
      <c r="E40" s="428">
        <v>3722.1550000000002</v>
      </c>
      <c r="F40" s="429">
        <f t="shared" si="5"/>
        <v>18274.513999999999</v>
      </c>
      <c r="G40" s="428">
        <f>7366.42+496.24</f>
        <v>7862.66</v>
      </c>
      <c r="H40" s="428">
        <f>10411.854</f>
        <v>10411.853999999999</v>
      </c>
      <c r="I40" s="429">
        <v>0</v>
      </c>
      <c r="J40" s="429">
        <v>0</v>
      </c>
      <c r="K40" s="429">
        <v>0</v>
      </c>
      <c r="L40" s="461" t="s">
        <v>140</v>
      </c>
      <c r="M40" s="292" t="s">
        <v>212</v>
      </c>
      <c r="N40" s="174"/>
      <c r="O40" s="159">
        <v>0</v>
      </c>
      <c r="P40" s="159">
        <f t="shared" si="6"/>
        <v>0</v>
      </c>
      <c r="Q40" s="26"/>
    </row>
    <row r="41" spans="1:23" ht="99" customHeight="1" x14ac:dyDescent="0.25">
      <c r="A41" s="462"/>
      <c r="B41" s="432"/>
      <c r="C41" s="277"/>
      <c r="D41" s="14" t="s">
        <v>276</v>
      </c>
      <c r="E41" s="428">
        <v>0</v>
      </c>
      <c r="F41" s="429">
        <f t="shared" si="5"/>
        <v>10411.853999999999</v>
      </c>
      <c r="G41" s="428">
        <v>0</v>
      </c>
      <c r="H41" s="428">
        <v>10411.853999999999</v>
      </c>
      <c r="I41" s="429">
        <v>0</v>
      </c>
      <c r="J41" s="429">
        <v>0</v>
      </c>
      <c r="K41" s="429">
        <v>0</v>
      </c>
      <c r="L41" s="463"/>
      <c r="M41" s="293"/>
      <c r="N41" s="174"/>
      <c r="O41" s="159"/>
      <c r="P41" s="159"/>
      <c r="Q41" s="26"/>
    </row>
    <row r="42" spans="1:23" ht="40.5" customHeight="1" x14ac:dyDescent="0.25">
      <c r="A42" s="462"/>
      <c r="B42" s="432"/>
      <c r="C42" s="277"/>
      <c r="D42" s="14" t="s">
        <v>5</v>
      </c>
      <c r="E42" s="428">
        <v>0</v>
      </c>
      <c r="F42" s="429">
        <f t="shared" si="5"/>
        <v>0</v>
      </c>
      <c r="G42" s="428">
        <v>0</v>
      </c>
      <c r="H42" s="428">
        <v>0</v>
      </c>
      <c r="I42" s="429">
        <v>0</v>
      </c>
      <c r="J42" s="429">
        <v>0</v>
      </c>
      <c r="K42" s="429">
        <v>0</v>
      </c>
      <c r="L42" s="463"/>
      <c r="M42" s="293"/>
      <c r="N42" s="174"/>
      <c r="O42" s="159">
        <v>0</v>
      </c>
      <c r="P42" s="159">
        <f t="shared" si="6"/>
        <v>0</v>
      </c>
      <c r="Q42" s="28"/>
    </row>
    <row r="43" spans="1:23" ht="113.25" customHeight="1" x14ac:dyDescent="0.25">
      <c r="A43" s="464"/>
      <c r="B43" s="434"/>
      <c r="C43" s="278"/>
      <c r="D43" s="14" t="s">
        <v>89</v>
      </c>
      <c r="E43" s="428">
        <f>2400-110</f>
        <v>2290</v>
      </c>
      <c r="F43" s="429">
        <f t="shared" si="5"/>
        <v>3286.1289999999999</v>
      </c>
      <c r="G43" s="428">
        <v>1355.499</v>
      </c>
      <c r="H43" s="428">
        <v>1930.63</v>
      </c>
      <c r="I43" s="429">
        <v>0</v>
      </c>
      <c r="J43" s="429">
        <v>0</v>
      </c>
      <c r="K43" s="429">
        <v>0</v>
      </c>
      <c r="L43" s="465"/>
      <c r="M43" s="294"/>
      <c r="N43" s="174"/>
      <c r="O43" s="159">
        <v>0</v>
      </c>
      <c r="P43" s="159">
        <f t="shared" si="6"/>
        <v>0</v>
      </c>
      <c r="Q43" s="30"/>
      <c r="R43" s="26"/>
      <c r="S43" s="26"/>
      <c r="T43" s="26"/>
    </row>
    <row r="44" spans="1:23" ht="55.5" customHeight="1" x14ac:dyDescent="0.25">
      <c r="A44" s="460" t="s">
        <v>102</v>
      </c>
      <c r="B44" s="427" t="s">
        <v>159</v>
      </c>
      <c r="C44" s="276" t="s">
        <v>146</v>
      </c>
      <c r="D44" s="14" t="s">
        <v>12</v>
      </c>
      <c r="E44" s="428">
        <v>0</v>
      </c>
      <c r="F44" s="429">
        <f t="shared" si="5"/>
        <v>0</v>
      </c>
      <c r="G44" s="428">
        <v>0</v>
      </c>
      <c r="H44" s="428">
        <v>0</v>
      </c>
      <c r="I44" s="429">
        <v>0</v>
      </c>
      <c r="J44" s="429">
        <v>0</v>
      </c>
      <c r="K44" s="429">
        <v>0</v>
      </c>
      <c r="L44" s="461" t="s">
        <v>140</v>
      </c>
      <c r="M44" s="292" t="s">
        <v>262</v>
      </c>
      <c r="N44" s="174"/>
      <c r="O44" s="159">
        <v>0</v>
      </c>
      <c r="P44" s="159">
        <f t="shared" si="6"/>
        <v>0</v>
      </c>
      <c r="Q44" s="26"/>
      <c r="R44" s="26"/>
      <c r="S44" s="26"/>
      <c r="T44" s="26"/>
    </row>
    <row r="45" spans="1:23" ht="121.5" customHeight="1" x14ac:dyDescent="0.25">
      <c r="A45" s="464"/>
      <c r="B45" s="434"/>
      <c r="C45" s="278"/>
      <c r="D45" s="14" t="s">
        <v>89</v>
      </c>
      <c r="E45" s="428">
        <v>0</v>
      </c>
      <c r="F45" s="429">
        <f t="shared" si="5"/>
        <v>0</v>
      </c>
      <c r="G45" s="428">
        <v>0</v>
      </c>
      <c r="H45" s="428">
        <f>20000-20000</f>
        <v>0</v>
      </c>
      <c r="I45" s="429">
        <v>0</v>
      </c>
      <c r="J45" s="429">
        <f>20000-20000</f>
        <v>0</v>
      </c>
      <c r="K45" s="429">
        <v>0</v>
      </c>
      <c r="L45" s="465"/>
      <c r="M45" s="294"/>
      <c r="N45" s="174"/>
      <c r="O45" s="159">
        <v>0</v>
      </c>
      <c r="P45" s="159">
        <f t="shared" si="6"/>
        <v>0</v>
      </c>
      <c r="Q45" s="26"/>
      <c r="R45" s="26"/>
      <c r="S45" s="26"/>
      <c r="T45" s="26"/>
    </row>
    <row r="46" spans="1:23" ht="198" customHeight="1" x14ac:dyDescent="0.25">
      <c r="A46" s="438" t="s">
        <v>103</v>
      </c>
      <c r="B46" s="466" t="s">
        <v>160</v>
      </c>
      <c r="C46" s="19" t="s">
        <v>146</v>
      </c>
      <c r="D46" s="19" t="s">
        <v>5</v>
      </c>
      <c r="E46" s="433">
        <f>5440+250+100</f>
        <v>5790</v>
      </c>
      <c r="F46" s="429">
        <f t="shared" si="5"/>
        <v>4988</v>
      </c>
      <c r="G46" s="433">
        <f>900+500+100+100+319+20+600+271+150+128</f>
        <v>3088</v>
      </c>
      <c r="H46" s="433">
        <f>1000+150+100</f>
        <v>1250</v>
      </c>
      <c r="I46" s="422">
        <f>250+200+200</f>
        <v>650</v>
      </c>
      <c r="J46" s="422">
        <v>0</v>
      </c>
      <c r="K46" s="422">
        <v>0</v>
      </c>
      <c r="L46" s="467" t="s">
        <v>8</v>
      </c>
      <c r="M46" s="440" t="s">
        <v>258</v>
      </c>
      <c r="N46" s="174">
        <f>('[2]Лист 1'!$F$339+'[2]Лист 1'!$F$340)/1000</f>
        <v>1150</v>
      </c>
      <c r="O46" s="159">
        <v>1150</v>
      </c>
      <c r="P46" s="159">
        <f t="shared" si="6"/>
        <v>0</v>
      </c>
      <c r="Q46" s="25"/>
    </row>
    <row r="47" spans="1:23" ht="164.25" customHeight="1" x14ac:dyDescent="0.25">
      <c r="A47" s="468" t="s">
        <v>104</v>
      </c>
      <c r="B47" s="469" t="s">
        <v>175</v>
      </c>
      <c r="C47" s="470" t="s">
        <v>146</v>
      </c>
      <c r="D47" s="471" t="s">
        <v>5</v>
      </c>
      <c r="E47" s="428">
        <v>74718</v>
      </c>
      <c r="F47" s="429">
        <f t="shared" si="5"/>
        <v>627577</v>
      </c>
      <c r="G47" s="472">
        <f>101366+4199</f>
        <v>105565</v>
      </c>
      <c r="H47" s="428">
        <f>115822+4319</f>
        <v>120141</v>
      </c>
      <c r="I47" s="429">
        <f>133657+4755-132-13233</f>
        <v>125047</v>
      </c>
      <c r="J47" s="429">
        <f t="shared" ref="J47:K47" si="7">133657+4755</f>
        <v>138412</v>
      </c>
      <c r="K47" s="429">
        <f t="shared" si="7"/>
        <v>138412</v>
      </c>
      <c r="L47" s="473" t="s">
        <v>44</v>
      </c>
      <c r="M47" s="440" t="s">
        <v>80</v>
      </c>
      <c r="N47" s="174">
        <f>('[2]Лист 1'!$F$524+'[2]Лист 1'!$F$525+'[2]Лист 1'!$F$543+'[2]Лист 1'!$F$544)/1000</f>
        <v>120141</v>
      </c>
      <c r="O47" s="159">
        <v>120141</v>
      </c>
      <c r="P47" s="159">
        <f t="shared" si="6"/>
        <v>0</v>
      </c>
      <c r="R47" s="25"/>
      <c r="S47" s="25"/>
    </row>
    <row r="48" spans="1:23" ht="45" customHeight="1" x14ac:dyDescent="0.25">
      <c r="A48" s="326" t="s">
        <v>105</v>
      </c>
      <c r="B48" s="474" t="s">
        <v>176</v>
      </c>
      <c r="C48" s="329" t="s">
        <v>146</v>
      </c>
      <c r="D48" s="48" t="s">
        <v>5</v>
      </c>
      <c r="E48" s="49">
        <v>0</v>
      </c>
      <c r="F48" s="429">
        <f t="shared" si="5"/>
        <v>0</v>
      </c>
      <c r="G48" s="49">
        <v>0</v>
      </c>
      <c r="H48" s="49">
        <v>0</v>
      </c>
      <c r="I48" s="206">
        <v>0</v>
      </c>
      <c r="J48" s="206">
        <v>0</v>
      </c>
      <c r="K48" s="206">
        <v>0</v>
      </c>
      <c r="L48" s="376" t="s">
        <v>11</v>
      </c>
      <c r="M48" s="475" t="s">
        <v>81</v>
      </c>
      <c r="N48" s="174"/>
      <c r="O48" s="159">
        <v>0</v>
      </c>
      <c r="P48" s="159">
        <f t="shared" si="6"/>
        <v>0</v>
      </c>
    </row>
    <row r="49" spans="1:18" ht="63" customHeight="1" x14ac:dyDescent="0.25">
      <c r="A49" s="328"/>
      <c r="B49" s="476"/>
      <c r="C49" s="331"/>
      <c r="D49" s="48" t="s">
        <v>23</v>
      </c>
      <c r="E49" s="477">
        <v>4445.7</v>
      </c>
      <c r="F49" s="429">
        <f t="shared" si="5"/>
        <v>23049.808000000001</v>
      </c>
      <c r="G49" s="477">
        <f>4398.288+286.4</f>
        <v>4684.6879999999992</v>
      </c>
      <c r="H49" s="477">
        <f>4777.56-22.8</f>
        <v>4754.76</v>
      </c>
      <c r="I49" s="478">
        <f>4484.52+156.8</f>
        <v>4641.3200000000006</v>
      </c>
      <c r="J49" s="478">
        <v>4484.5200000000004</v>
      </c>
      <c r="K49" s="478">
        <v>4484.5200000000004</v>
      </c>
      <c r="L49" s="378"/>
      <c r="M49" s="479"/>
      <c r="N49" s="174">
        <f>('[1]Лист 1'!$F$341+'[1]Лист 1'!$F$342+'[1]Лист 1'!$F$343)/1000</f>
        <v>4754.76</v>
      </c>
      <c r="O49" s="159">
        <v>4754.76</v>
      </c>
      <c r="P49" s="159">
        <f t="shared" si="6"/>
        <v>0</v>
      </c>
      <c r="Q49" s="26"/>
    </row>
    <row r="50" spans="1:18" ht="87.75" customHeight="1" x14ac:dyDescent="0.25">
      <c r="A50" s="241" t="s">
        <v>106</v>
      </c>
      <c r="B50" s="480" t="s">
        <v>177</v>
      </c>
      <c r="C50" s="243" t="s">
        <v>146</v>
      </c>
      <c r="D50" s="48" t="s">
        <v>12</v>
      </c>
      <c r="E50" s="477">
        <v>1500</v>
      </c>
      <c r="F50" s="429">
        <f t="shared" si="5"/>
        <v>1447.5</v>
      </c>
      <c r="G50" s="477">
        <v>387.5</v>
      </c>
      <c r="H50" s="477">
        <v>700</v>
      </c>
      <c r="I50" s="478">
        <f>355+5</f>
        <v>360</v>
      </c>
      <c r="J50" s="478">
        <v>0</v>
      </c>
      <c r="K50" s="478">
        <v>0</v>
      </c>
      <c r="L50" s="481" t="s">
        <v>11</v>
      </c>
      <c r="M50" s="482" t="s">
        <v>220</v>
      </c>
      <c r="N50" s="174">
        <f>('[2]Лист 1'!$F$344+'[2]Лист 1'!$F$345)/1000</f>
        <v>700</v>
      </c>
      <c r="O50" s="159">
        <v>700</v>
      </c>
      <c r="P50" s="159">
        <f t="shared" si="6"/>
        <v>0</v>
      </c>
      <c r="Q50" s="26"/>
    </row>
    <row r="51" spans="1:18" ht="121.5" customHeight="1" x14ac:dyDescent="0.25">
      <c r="A51" s="16" t="s">
        <v>107</v>
      </c>
      <c r="B51" s="483" t="s">
        <v>251</v>
      </c>
      <c r="C51" s="48" t="s">
        <v>146</v>
      </c>
      <c r="D51" s="48" t="s">
        <v>89</v>
      </c>
      <c r="E51" s="477">
        <v>0</v>
      </c>
      <c r="F51" s="429">
        <f t="shared" si="5"/>
        <v>500</v>
      </c>
      <c r="G51" s="477">
        <f>450+50</f>
        <v>500</v>
      </c>
      <c r="H51" s="477">
        <v>0</v>
      </c>
      <c r="I51" s="478">
        <v>0</v>
      </c>
      <c r="J51" s="478">
        <v>0</v>
      </c>
      <c r="K51" s="478">
        <v>0</v>
      </c>
      <c r="L51" s="481" t="s">
        <v>11</v>
      </c>
      <c r="M51" s="484" t="s">
        <v>257</v>
      </c>
      <c r="N51" s="174"/>
      <c r="O51" s="159">
        <v>0</v>
      </c>
      <c r="P51" s="159">
        <f t="shared" si="6"/>
        <v>0</v>
      </c>
      <c r="Q51" s="26"/>
    </row>
    <row r="52" spans="1:18" ht="56.25" x14ac:dyDescent="0.25">
      <c r="A52" s="485" t="s">
        <v>108</v>
      </c>
      <c r="B52" s="474" t="s">
        <v>266</v>
      </c>
      <c r="C52" s="329" t="s">
        <v>146</v>
      </c>
      <c r="D52" s="48" t="s">
        <v>12</v>
      </c>
      <c r="E52" s="477">
        <v>0</v>
      </c>
      <c r="F52" s="429">
        <f t="shared" si="5"/>
        <v>402735</v>
      </c>
      <c r="G52" s="477">
        <v>0</v>
      </c>
      <c r="H52" s="477">
        <v>95760</v>
      </c>
      <c r="I52" s="478">
        <f>101835+1470</f>
        <v>103305</v>
      </c>
      <c r="J52" s="478">
        <v>101835</v>
      </c>
      <c r="K52" s="478">
        <v>101835</v>
      </c>
      <c r="L52" s="376" t="s">
        <v>11</v>
      </c>
      <c r="M52" s="486" t="s">
        <v>267</v>
      </c>
      <c r="N52" s="174">
        <f>'[1]Лист 1'!$F$346/1000</f>
        <v>95760</v>
      </c>
      <c r="O52" s="159">
        <v>95040</v>
      </c>
      <c r="P52" s="159">
        <f t="shared" si="6"/>
        <v>720</v>
      </c>
      <c r="Q52" s="26"/>
    </row>
    <row r="53" spans="1:18" ht="93.75" x14ac:dyDescent="0.25">
      <c r="A53" s="487"/>
      <c r="B53" s="476"/>
      <c r="C53" s="331"/>
      <c r="D53" s="48" t="s">
        <v>276</v>
      </c>
      <c r="E53" s="477">
        <v>0</v>
      </c>
      <c r="F53" s="429">
        <f t="shared" si="5"/>
        <v>56083.951999999997</v>
      </c>
      <c r="G53" s="477">
        <v>0</v>
      </c>
      <c r="H53" s="477">
        <v>5165.9520000000002</v>
      </c>
      <c r="I53" s="478">
        <v>50918</v>
      </c>
      <c r="J53" s="478">
        <v>0</v>
      </c>
      <c r="K53" s="478">
        <v>0</v>
      </c>
      <c r="L53" s="378"/>
      <c r="M53" s="488"/>
      <c r="N53" s="174"/>
      <c r="O53" s="159"/>
      <c r="P53" s="159"/>
      <c r="Q53" s="26"/>
    </row>
    <row r="54" spans="1:18" ht="61.5" customHeight="1" x14ac:dyDescent="0.25">
      <c r="A54" s="485" t="s">
        <v>115</v>
      </c>
      <c r="B54" s="474" t="s">
        <v>318</v>
      </c>
      <c r="C54" s="329" t="s">
        <v>146</v>
      </c>
      <c r="D54" s="242" t="s">
        <v>12</v>
      </c>
      <c r="E54" s="477">
        <v>0</v>
      </c>
      <c r="F54" s="429">
        <f t="shared" si="5"/>
        <v>1009684.0049999999</v>
      </c>
      <c r="G54" s="477">
        <v>0</v>
      </c>
      <c r="H54" s="477">
        <v>0</v>
      </c>
      <c r="I54" s="478">
        <f>27293.989+273260.311-45595.107-4121.584</f>
        <v>250837.60899999997</v>
      </c>
      <c r="J54" s="478">
        <f>34456.261+344966.937</f>
        <v>379423.19799999997</v>
      </c>
      <c r="K54" s="478">
        <f>34456.261+344966.937</f>
        <v>379423.19799999997</v>
      </c>
      <c r="L54" s="376" t="s">
        <v>11</v>
      </c>
      <c r="M54" s="486" t="s">
        <v>319</v>
      </c>
      <c r="N54" s="174"/>
      <c r="O54" s="159"/>
      <c r="P54" s="159"/>
      <c r="Q54" s="26"/>
    </row>
    <row r="55" spans="1:18" ht="67.5" customHeight="1" x14ac:dyDescent="0.25">
      <c r="A55" s="487"/>
      <c r="B55" s="476"/>
      <c r="C55" s="331"/>
      <c r="D55" s="242" t="s">
        <v>320</v>
      </c>
      <c r="E55" s="477">
        <v>0</v>
      </c>
      <c r="F55" s="429">
        <f t="shared" si="5"/>
        <v>922051.30700000003</v>
      </c>
      <c r="G55" s="477">
        <v>0</v>
      </c>
      <c r="H55" s="477">
        <v>0</v>
      </c>
      <c r="I55" s="478">
        <f>273260.311-41142.878</f>
        <v>232117.43299999999</v>
      </c>
      <c r="J55" s="478">
        <v>344966.93699999998</v>
      </c>
      <c r="K55" s="478">
        <v>344966.93699999998</v>
      </c>
      <c r="L55" s="378"/>
      <c r="M55" s="488"/>
      <c r="N55" s="174"/>
      <c r="O55" s="159"/>
      <c r="P55" s="159"/>
      <c r="Q55" s="26"/>
    </row>
    <row r="56" spans="1:18" ht="27" customHeight="1" x14ac:dyDescent="0.25">
      <c r="A56" s="284"/>
      <c r="B56" s="279" t="s">
        <v>295</v>
      </c>
      <c r="C56" s="276" t="s">
        <v>146</v>
      </c>
      <c r="D56" s="18" t="s">
        <v>10</v>
      </c>
      <c r="E56" s="173">
        <f>SUM(E57:E61)</f>
        <v>22347.584999999999</v>
      </c>
      <c r="F56" s="198">
        <f>SUM(F57:F61)</f>
        <v>1410628.807</v>
      </c>
      <c r="G56" s="173">
        <f>SUM(G57:G61)</f>
        <v>298753.99200000003</v>
      </c>
      <c r="H56" s="173">
        <f>SUM(H57:H61)</f>
        <v>481874.55500000005</v>
      </c>
      <c r="I56" s="198">
        <f>SUM(I57:I61)</f>
        <v>6336.4</v>
      </c>
      <c r="J56" s="198">
        <f t="shared" ref="J56:K56" si="8">SUM(J57:J61)</f>
        <v>237360.78</v>
      </c>
      <c r="K56" s="198">
        <f t="shared" si="8"/>
        <v>386303.07999999996</v>
      </c>
      <c r="L56" s="287"/>
      <c r="M56" s="292"/>
      <c r="N56" s="174"/>
      <c r="O56" s="159">
        <v>503399.7</v>
      </c>
      <c r="P56" s="159">
        <f t="shared" si="6"/>
        <v>-503399.7</v>
      </c>
    </row>
    <row r="57" spans="1:18" ht="39.6" customHeight="1" x14ac:dyDescent="0.25">
      <c r="A57" s="285"/>
      <c r="B57" s="280"/>
      <c r="C57" s="277"/>
      <c r="D57" s="19" t="s">
        <v>296</v>
      </c>
      <c r="E57" s="173">
        <f>E65</f>
        <v>0</v>
      </c>
      <c r="F57" s="422">
        <f>SUM(G57:K57)</f>
        <v>49896</v>
      </c>
      <c r="G57" s="175">
        <f>G65</f>
        <v>0</v>
      </c>
      <c r="H57" s="175">
        <f>H65</f>
        <v>49896</v>
      </c>
      <c r="I57" s="200">
        <f t="shared" ref="I57:K57" si="9">I65</f>
        <v>0</v>
      </c>
      <c r="J57" s="200">
        <f t="shared" si="9"/>
        <v>0</v>
      </c>
      <c r="K57" s="200">
        <f t="shared" si="9"/>
        <v>0</v>
      </c>
      <c r="L57" s="288"/>
      <c r="M57" s="293"/>
      <c r="N57" s="174">
        <v>0</v>
      </c>
      <c r="O57" s="159">
        <v>49896</v>
      </c>
      <c r="P57" s="159">
        <f t="shared" si="6"/>
        <v>-49896</v>
      </c>
    </row>
    <row r="58" spans="1:18" ht="36.75" customHeight="1" x14ac:dyDescent="0.25">
      <c r="A58" s="285"/>
      <c r="B58" s="280"/>
      <c r="C58" s="277"/>
      <c r="D58" s="19" t="s">
        <v>5</v>
      </c>
      <c r="E58" s="175">
        <f>E64+E66+E69+E72</f>
        <v>0</v>
      </c>
      <c r="F58" s="422">
        <f t="shared" ref="F58:F61" si="10">SUM(G58:K58)</f>
        <v>434180.11499999999</v>
      </c>
      <c r="G58" s="175">
        <f>G64+G66+G69+G72+G75+G78</f>
        <v>0</v>
      </c>
      <c r="H58" s="175">
        <f t="shared" ref="H58:K58" si="11">H64+H66+H69+H72+H75+H78</f>
        <v>42504.004999999997</v>
      </c>
      <c r="I58" s="200">
        <f t="shared" si="11"/>
        <v>3323.25</v>
      </c>
      <c r="J58" s="200">
        <f t="shared" si="11"/>
        <v>147546</v>
      </c>
      <c r="K58" s="200">
        <f t="shared" si="11"/>
        <v>240806.86</v>
      </c>
      <c r="L58" s="288"/>
      <c r="M58" s="293"/>
      <c r="N58" s="174">
        <v>67697</v>
      </c>
      <c r="O58" s="159">
        <v>67697</v>
      </c>
      <c r="P58" s="159">
        <f t="shared" si="6"/>
        <v>0</v>
      </c>
    </row>
    <row r="59" spans="1:18" ht="57" customHeight="1" x14ac:dyDescent="0.25">
      <c r="A59" s="285"/>
      <c r="B59" s="280"/>
      <c r="C59" s="277"/>
      <c r="D59" s="19" t="s">
        <v>12</v>
      </c>
      <c r="E59" s="174">
        <f>E62+E67+E70+E73+E76</f>
        <v>0</v>
      </c>
      <c r="F59" s="422">
        <f>SUM(G59:K59)</f>
        <v>237827.67499999999</v>
      </c>
      <c r="G59" s="174">
        <f>G62+G67+G70+G73+G76+G79</f>
        <v>0</v>
      </c>
      <c r="H59" s="174">
        <f>H62+H67+H70+H73+H76+H79</f>
        <v>1503.5250000000001</v>
      </c>
      <c r="I59" s="199">
        <f t="shared" ref="I59:K59" si="12">I62+I67+I70+I73+I76+I79</f>
        <v>1013.15</v>
      </c>
      <c r="J59" s="199">
        <f t="shared" si="12"/>
        <v>89814.78</v>
      </c>
      <c r="K59" s="199">
        <f t="shared" si="12"/>
        <v>145496.22</v>
      </c>
      <c r="L59" s="288"/>
      <c r="M59" s="293"/>
      <c r="N59" s="174">
        <v>1326</v>
      </c>
      <c r="O59" s="159">
        <v>1326</v>
      </c>
      <c r="P59" s="159">
        <f t="shared" si="6"/>
        <v>0</v>
      </c>
    </row>
    <row r="60" spans="1:18" ht="117" customHeight="1" x14ac:dyDescent="0.25">
      <c r="A60" s="285"/>
      <c r="B60" s="280"/>
      <c r="C60" s="277"/>
      <c r="D60" s="236" t="s">
        <v>89</v>
      </c>
      <c r="E60" s="176">
        <f>E63+E68</f>
        <v>2347.585</v>
      </c>
      <c r="F60" s="422">
        <f t="shared" si="10"/>
        <v>400725.01700000005</v>
      </c>
      <c r="G60" s="176">
        <f>G63+G68</f>
        <v>10753.992</v>
      </c>
      <c r="H60" s="176">
        <f t="shared" ref="H60:K60" si="13">H63+H68</f>
        <v>387971.02500000002</v>
      </c>
      <c r="I60" s="201">
        <f t="shared" si="13"/>
        <v>2000</v>
      </c>
      <c r="J60" s="201">
        <f t="shared" si="13"/>
        <v>0</v>
      </c>
      <c r="K60" s="201">
        <f t="shared" si="13"/>
        <v>0</v>
      </c>
      <c r="L60" s="288"/>
      <c r="M60" s="293"/>
      <c r="N60" s="174">
        <f>H63+I63+H68</f>
        <v>389971.02500000002</v>
      </c>
      <c r="O60" s="159">
        <v>384480.7</v>
      </c>
      <c r="P60" s="159">
        <f t="shared" si="6"/>
        <v>5490.3250000000116</v>
      </c>
      <c r="Q60" s="160" t="s">
        <v>301</v>
      </c>
    </row>
    <row r="61" spans="1:18" ht="18.75" x14ac:dyDescent="0.25">
      <c r="A61" s="286"/>
      <c r="B61" s="281"/>
      <c r="C61" s="278"/>
      <c r="D61" s="236" t="s">
        <v>4</v>
      </c>
      <c r="E61" s="176">
        <f>E74</f>
        <v>20000</v>
      </c>
      <c r="F61" s="422">
        <f t="shared" si="10"/>
        <v>288000</v>
      </c>
      <c r="G61" s="176">
        <f>G74</f>
        <v>288000</v>
      </c>
      <c r="H61" s="176">
        <f>H74</f>
        <v>0</v>
      </c>
      <c r="I61" s="201">
        <v>0</v>
      </c>
      <c r="J61" s="201">
        <v>0</v>
      </c>
      <c r="K61" s="201">
        <v>0</v>
      </c>
      <c r="L61" s="289"/>
      <c r="M61" s="294"/>
      <c r="N61" s="174"/>
      <c r="O61" s="159">
        <v>0</v>
      </c>
      <c r="P61" s="159">
        <f t="shared" si="6"/>
        <v>0</v>
      </c>
    </row>
    <row r="62" spans="1:18" ht="56.25" customHeight="1" x14ac:dyDescent="0.25">
      <c r="A62" s="489" t="s">
        <v>109</v>
      </c>
      <c r="B62" s="490" t="s">
        <v>256</v>
      </c>
      <c r="C62" s="491" t="s">
        <v>297</v>
      </c>
      <c r="D62" s="492" t="s">
        <v>9</v>
      </c>
      <c r="E62" s="70">
        <v>0</v>
      </c>
      <c r="F62" s="493">
        <f>SUM(G62:K62)</f>
        <v>1503.5250000000001</v>
      </c>
      <c r="G62" s="70">
        <v>0</v>
      </c>
      <c r="H62" s="70">
        <v>1503.5250000000001</v>
      </c>
      <c r="I62" s="494">
        <v>0</v>
      </c>
      <c r="J62" s="494">
        <v>0</v>
      </c>
      <c r="K62" s="494">
        <v>0</v>
      </c>
      <c r="L62" s="495" t="s">
        <v>43</v>
      </c>
      <c r="M62" s="496" t="s">
        <v>317</v>
      </c>
      <c r="N62" s="174"/>
      <c r="O62" s="159">
        <v>0</v>
      </c>
      <c r="P62" s="159">
        <f t="shared" si="6"/>
        <v>0</v>
      </c>
      <c r="Q62" s="20"/>
      <c r="R62" s="20"/>
    </row>
    <row r="63" spans="1:18" ht="115.5" customHeight="1" x14ac:dyDescent="0.25">
      <c r="A63" s="489"/>
      <c r="B63" s="490"/>
      <c r="C63" s="491"/>
      <c r="D63" s="492" t="s">
        <v>89</v>
      </c>
      <c r="E63" s="70">
        <v>2347.585</v>
      </c>
      <c r="F63" s="493">
        <f t="shared" ref="F63:F74" si="14">SUM(G63:K63)</f>
        <v>192373.022</v>
      </c>
      <c r="G63" s="70">
        <v>10753.992</v>
      </c>
      <c r="H63" s="70">
        <f>176128.695+3490.334+0.001</f>
        <v>179619.03</v>
      </c>
      <c r="I63" s="494">
        <v>2000</v>
      </c>
      <c r="J63" s="494">
        <v>0</v>
      </c>
      <c r="K63" s="494">
        <v>0</v>
      </c>
      <c r="L63" s="497"/>
      <c r="M63" s="498"/>
      <c r="N63" s="174">
        <f>N60</f>
        <v>389971.02500000002</v>
      </c>
      <c r="O63" s="159">
        <v>176128.7</v>
      </c>
      <c r="P63" s="159">
        <f t="shared" si="6"/>
        <v>213842.32500000001</v>
      </c>
      <c r="Q63" s="20"/>
      <c r="R63" s="20"/>
    </row>
    <row r="64" spans="1:18" ht="37.5" x14ac:dyDescent="0.25">
      <c r="A64" s="489"/>
      <c r="B64" s="490"/>
      <c r="C64" s="491"/>
      <c r="D64" s="492" t="s">
        <v>5</v>
      </c>
      <c r="E64" s="70">
        <f>55440-55440</f>
        <v>0</v>
      </c>
      <c r="F64" s="493">
        <f t="shared" si="14"/>
        <v>0</v>
      </c>
      <c r="G64" s="70">
        <v>0</v>
      </c>
      <c r="H64" s="70">
        <v>0</v>
      </c>
      <c r="I64" s="494">
        <v>0</v>
      </c>
      <c r="J64" s="494">
        <v>0</v>
      </c>
      <c r="K64" s="494">
        <v>0</v>
      </c>
      <c r="L64" s="497"/>
      <c r="M64" s="498"/>
      <c r="N64" s="174">
        <v>0</v>
      </c>
      <c r="O64" s="159">
        <v>0</v>
      </c>
      <c r="P64" s="159">
        <f t="shared" si="6"/>
        <v>0</v>
      </c>
      <c r="Q64" s="20" t="s">
        <v>277</v>
      </c>
      <c r="R64" s="20"/>
    </row>
    <row r="65" spans="1:18" ht="37.5" x14ac:dyDescent="0.25">
      <c r="A65" s="499" t="s">
        <v>110</v>
      </c>
      <c r="B65" s="500" t="s">
        <v>298</v>
      </c>
      <c r="C65" s="501" t="s">
        <v>303</v>
      </c>
      <c r="D65" s="492" t="s">
        <v>296</v>
      </c>
      <c r="E65" s="70">
        <v>0</v>
      </c>
      <c r="F65" s="493">
        <f t="shared" si="14"/>
        <v>49896</v>
      </c>
      <c r="G65" s="70">
        <v>0</v>
      </c>
      <c r="H65" s="70">
        <v>49896</v>
      </c>
      <c r="I65" s="494">
        <v>0</v>
      </c>
      <c r="J65" s="494">
        <v>0</v>
      </c>
      <c r="K65" s="494">
        <v>0</v>
      </c>
      <c r="L65" s="497"/>
      <c r="M65" s="498"/>
      <c r="N65" s="174">
        <v>0</v>
      </c>
      <c r="O65" s="159">
        <v>49896</v>
      </c>
      <c r="P65" s="159">
        <f t="shared" si="6"/>
        <v>-49896</v>
      </c>
      <c r="Q65" s="20"/>
      <c r="R65" s="20"/>
    </row>
    <row r="66" spans="1:18" ht="37.5" x14ac:dyDescent="0.25">
      <c r="A66" s="502"/>
      <c r="B66" s="503"/>
      <c r="C66" s="504"/>
      <c r="D66" s="492" t="s">
        <v>5</v>
      </c>
      <c r="E66" s="70">
        <v>0</v>
      </c>
      <c r="F66" s="493">
        <f t="shared" si="14"/>
        <v>42504.004999999997</v>
      </c>
      <c r="G66" s="70">
        <v>0</v>
      </c>
      <c r="H66" s="70">
        <v>42504.004999999997</v>
      </c>
      <c r="I66" s="494">
        <v>0</v>
      </c>
      <c r="J66" s="494">
        <v>0</v>
      </c>
      <c r="K66" s="494">
        <v>0</v>
      </c>
      <c r="L66" s="497"/>
      <c r="M66" s="498"/>
      <c r="N66" s="174">
        <v>42504</v>
      </c>
      <c r="O66" s="159">
        <v>42504</v>
      </c>
      <c r="P66" s="159">
        <f t="shared" si="6"/>
        <v>0</v>
      </c>
      <c r="Q66" s="20"/>
      <c r="R66" s="20"/>
    </row>
    <row r="67" spans="1:18" ht="56.25" x14ac:dyDescent="0.25">
      <c r="A67" s="502"/>
      <c r="B67" s="503"/>
      <c r="C67" s="504"/>
      <c r="D67" s="492" t="s">
        <v>9</v>
      </c>
      <c r="E67" s="70">
        <v>0</v>
      </c>
      <c r="F67" s="493">
        <f t="shared" si="14"/>
        <v>0</v>
      </c>
      <c r="G67" s="70">
        <v>0</v>
      </c>
      <c r="H67" s="70">
        <v>0</v>
      </c>
      <c r="I67" s="494">
        <v>0</v>
      </c>
      <c r="J67" s="494">
        <v>0</v>
      </c>
      <c r="K67" s="494">
        <v>0</v>
      </c>
      <c r="L67" s="497"/>
      <c r="M67" s="498"/>
      <c r="N67" s="174">
        <v>0</v>
      </c>
      <c r="O67" s="159">
        <v>0</v>
      </c>
      <c r="P67" s="159">
        <f t="shared" si="6"/>
        <v>0</v>
      </c>
      <c r="Q67" s="20"/>
      <c r="R67" s="20"/>
    </row>
    <row r="68" spans="1:18" ht="111.75" customHeight="1" x14ac:dyDescent="0.25">
      <c r="A68" s="505"/>
      <c r="B68" s="506"/>
      <c r="C68" s="507"/>
      <c r="D68" s="492" t="s">
        <v>89</v>
      </c>
      <c r="E68" s="70">
        <v>0</v>
      </c>
      <c r="F68" s="493">
        <f t="shared" si="14"/>
        <v>208351.995</v>
      </c>
      <c r="G68" s="70">
        <v>0</v>
      </c>
      <c r="H68" s="70">
        <v>208351.995</v>
      </c>
      <c r="I68" s="494">
        <v>0</v>
      </c>
      <c r="J68" s="494">
        <v>0</v>
      </c>
      <c r="K68" s="494">
        <v>0</v>
      </c>
      <c r="L68" s="497"/>
      <c r="M68" s="498"/>
      <c r="N68" s="174">
        <v>0</v>
      </c>
      <c r="O68" s="159">
        <v>208352</v>
      </c>
      <c r="P68" s="159">
        <f t="shared" si="6"/>
        <v>-208352</v>
      </c>
      <c r="Q68" s="20"/>
      <c r="R68" s="20"/>
    </row>
    <row r="69" spans="1:18" ht="4.5" hidden="1" customHeight="1" x14ac:dyDescent="0.25">
      <c r="A69" s="489"/>
      <c r="B69" s="490"/>
      <c r="C69" s="508"/>
      <c r="D69" s="492"/>
      <c r="E69" s="70"/>
      <c r="F69" s="493"/>
      <c r="G69" s="70"/>
      <c r="H69" s="70"/>
      <c r="I69" s="494"/>
      <c r="J69" s="494"/>
      <c r="K69" s="494"/>
      <c r="L69" s="497"/>
      <c r="M69" s="498"/>
      <c r="N69" s="174">
        <f>'[2]Лист 1'!$F$276</f>
        <v>25193000</v>
      </c>
      <c r="O69" s="159">
        <v>25193</v>
      </c>
      <c r="P69" s="159">
        <f t="shared" si="6"/>
        <v>25167807</v>
      </c>
    </row>
    <row r="70" spans="1:18" ht="4.5" hidden="1" customHeight="1" x14ac:dyDescent="0.25">
      <c r="A70" s="489"/>
      <c r="B70" s="490"/>
      <c r="C70" s="508"/>
      <c r="D70" s="492"/>
      <c r="E70" s="70"/>
      <c r="F70" s="493"/>
      <c r="G70" s="70"/>
      <c r="H70" s="70"/>
      <c r="I70" s="494"/>
      <c r="J70" s="494"/>
      <c r="K70" s="494"/>
      <c r="L70" s="497"/>
      <c r="M70" s="498"/>
      <c r="N70" s="174">
        <f>'[2]Лист 1'!$F$277</f>
        <v>1326000</v>
      </c>
      <c r="O70" s="159">
        <v>1326</v>
      </c>
      <c r="P70" s="159">
        <f t="shared" si="6"/>
        <v>1324674</v>
      </c>
    </row>
    <row r="71" spans="1:18" ht="4.5" hidden="1" customHeight="1" x14ac:dyDescent="0.25">
      <c r="A71" s="489"/>
      <c r="B71" s="490"/>
      <c r="C71" s="508"/>
      <c r="D71" s="492"/>
      <c r="E71" s="70"/>
      <c r="F71" s="493"/>
      <c r="G71" s="70"/>
      <c r="H71" s="70"/>
      <c r="I71" s="494"/>
      <c r="J71" s="494"/>
      <c r="K71" s="494"/>
      <c r="L71" s="497"/>
      <c r="M71" s="498"/>
      <c r="N71" s="174"/>
      <c r="O71" s="159">
        <v>1326</v>
      </c>
      <c r="P71" s="159">
        <f t="shared" si="6"/>
        <v>-1326</v>
      </c>
    </row>
    <row r="72" spans="1:18" ht="4.5" hidden="1" customHeight="1" x14ac:dyDescent="0.25">
      <c r="A72" s="489"/>
      <c r="B72" s="490"/>
      <c r="C72" s="508"/>
      <c r="D72" s="492"/>
      <c r="E72" s="70"/>
      <c r="F72" s="493"/>
      <c r="G72" s="70"/>
      <c r="H72" s="70"/>
      <c r="I72" s="494"/>
      <c r="J72" s="494"/>
      <c r="K72" s="494"/>
      <c r="L72" s="497"/>
      <c r="M72" s="498"/>
      <c r="N72" s="174"/>
      <c r="O72" s="159">
        <v>0</v>
      </c>
      <c r="P72" s="159">
        <f t="shared" si="6"/>
        <v>0</v>
      </c>
    </row>
    <row r="73" spans="1:18" ht="4.5" hidden="1" customHeight="1" x14ac:dyDescent="0.25">
      <c r="A73" s="489"/>
      <c r="B73" s="490"/>
      <c r="C73" s="508"/>
      <c r="D73" s="492"/>
      <c r="E73" s="70"/>
      <c r="F73" s="493"/>
      <c r="G73" s="70"/>
      <c r="H73" s="70"/>
      <c r="I73" s="494"/>
      <c r="J73" s="494"/>
      <c r="K73" s="494"/>
      <c r="L73" s="497"/>
      <c r="M73" s="498"/>
      <c r="N73" s="174"/>
      <c r="O73" s="159">
        <v>0</v>
      </c>
      <c r="P73" s="159">
        <f t="shared" si="6"/>
        <v>0</v>
      </c>
    </row>
    <row r="74" spans="1:18" ht="56.25" x14ac:dyDescent="0.25">
      <c r="A74" s="509" t="s">
        <v>111</v>
      </c>
      <c r="B74" s="510" t="s">
        <v>269</v>
      </c>
      <c r="C74" s="511" t="s">
        <v>241</v>
      </c>
      <c r="D74" s="492" t="s">
        <v>4</v>
      </c>
      <c r="E74" s="70">
        <v>20000</v>
      </c>
      <c r="F74" s="493">
        <f t="shared" si="14"/>
        <v>288000</v>
      </c>
      <c r="G74" s="70">
        <v>288000</v>
      </c>
      <c r="H74" s="70">
        <v>0</v>
      </c>
      <c r="I74" s="494">
        <v>0</v>
      </c>
      <c r="J74" s="494">
        <v>0</v>
      </c>
      <c r="K74" s="512">
        <v>0</v>
      </c>
      <c r="L74" s="497"/>
      <c r="M74" s="498"/>
      <c r="N74" s="174"/>
      <c r="O74" s="159">
        <v>0</v>
      </c>
      <c r="P74" s="159">
        <f t="shared" si="6"/>
        <v>0</v>
      </c>
      <c r="Q74" s="20"/>
    </row>
    <row r="75" spans="1:18" ht="37.5" x14ac:dyDescent="0.25">
      <c r="A75" s="499" t="s">
        <v>112</v>
      </c>
      <c r="B75" s="500" t="s">
        <v>311</v>
      </c>
      <c r="C75" s="338" t="s">
        <v>268</v>
      </c>
      <c r="D75" s="492" t="s">
        <v>5</v>
      </c>
      <c r="E75" s="70">
        <v>0</v>
      </c>
      <c r="F75" s="493">
        <f>SUM(G75:K75)</f>
        <v>216117.78000000003</v>
      </c>
      <c r="G75" s="70">
        <v>0</v>
      </c>
      <c r="H75" s="70">
        <v>0</v>
      </c>
      <c r="I75" s="494">
        <f>42009.75-40146.75</f>
        <v>1863</v>
      </c>
      <c r="J75" s="494">
        <v>132300.98000000001</v>
      </c>
      <c r="K75" s="512">
        <v>81953.8</v>
      </c>
      <c r="L75" s="497"/>
      <c r="M75" s="498"/>
      <c r="N75" s="159"/>
      <c r="O75" s="159"/>
      <c r="P75" s="159"/>
      <c r="Q75" s="20"/>
    </row>
    <row r="76" spans="1:18" ht="56.25" x14ac:dyDescent="0.25">
      <c r="A76" s="502"/>
      <c r="B76" s="503"/>
      <c r="C76" s="339"/>
      <c r="D76" s="492" t="s">
        <v>9</v>
      </c>
      <c r="E76" s="70">
        <v>0</v>
      </c>
      <c r="F76" s="493">
        <f>SUM(G76:K76)</f>
        <v>130989.15</v>
      </c>
      <c r="G76" s="70">
        <v>0</v>
      </c>
      <c r="H76" s="70">
        <v>0</v>
      </c>
      <c r="I76" s="494">
        <f>25638.8-25501.8</f>
        <v>137</v>
      </c>
      <c r="J76" s="494">
        <v>80667.77</v>
      </c>
      <c r="K76" s="512">
        <v>50184.38</v>
      </c>
      <c r="L76" s="497"/>
      <c r="M76" s="498"/>
      <c r="N76" s="159"/>
      <c r="O76" s="159"/>
      <c r="P76" s="159"/>
      <c r="Q76" s="20"/>
    </row>
    <row r="77" spans="1:18" ht="93.75" x14ac:dyDescent="0.25">
      <c r="A77" s="505"/>
      <c r="B77" s="506"/>
      <c r="C77" s="340"/>
      <c r="D77" s="492" t="s">
        <v>276</v>
      </c>
      <c r="E77" s="70">
        <v>0</v>
      </c>
      <c r="F77" s="493">
        <f>SUM(G77:K77)</f>
        <v>137</v>
      </c>
      <c r="G77" s="70">
        <v>0</v>
      </c>
      <c r="H77" s="70">
        <v>0</v>
      </c>
      <c r="I77" s="494">
        <f>25638.8-25501.8</f>
        <v>137</v>
      </c>
      <c r="J77" s="494">
        <v>0</v>
      </c>
      <c r="K77" s="512">
        <v>0</v>
      </c>
      <c r="L77" s="497"/>
      <c r="M77" s="498"/>
      <c r="N77" s="159"/>
      <c r="O77" s="159"/>
      <c r="P77" s="159"/>
      <c r="Q77" s="20"/>
    </row>
    <row r="78" spans="1:18" ht="37.5" customHeight="1" x14ac:dyDescent="0.25">
      <c r="A78" s="489" t="s">
        <v>113</v>
      </c>
      <c r="B78" s="490" t="s">
        <v>314</v>
      </c>
      <c r="C78" s="508" t="s">
        <v>312</v>
      </c>
      <c r="D78" s="513" t="s">
        <v>5</v>
      </c>
      <c r="E78" s="70">
        <v>0</v>
      </c>
      <c r="F78" s="493">
        <f t="shared" ref="F78:F80" si="15">SUM(G78:K78)</f>
        <v>175558.33</v>
      </c>
      <c r="G78" s="70">
        <v>0</v>
      </c>
      <c r="H78" s="70">
        <v>0</v>
      </c>
      <c r="I78" s="494">
        <v>1460.25</v>
      </c>
      <c r="J78" s="494">
        <v>15245.02</v>
      </c>
      <c r="K78" s="512">
        <v>158853.06</v>
      </c>
      <c r="L78" s="497"/>
      <c r="M78" s="498"/>
      <c r="N78" s="159"/>
      <c r="O78" s="159"/>
      <c r="P78" s="159"/>
      <c r="Q78" s="20"/>
    </row>
    <row r="79" spans="1:18" ht="56.25" x14ac:dyDescent="0.25">
      <c r="A79" s="489"/>
      <c r="B79" s="490"/>
      <c r="C79" s="508"/>
      <c r="D79" s="513" t="s">
        <v>9</v>
      </c>
      <c r="E79" s="70">
        <v>0</v>
      </c>
      <c r="F79" s="493">
        <f t="shared" si="15"/>
        <v>105335</v>
      </c>
      <c r="G79" s="70">
        <v>0</v>
      </c>
      <c r="H79" s="70">
        <v>0</v>
      </c>
      <c r="I79" s="494">
        <v>876.15</v>
      </c>
      <c r="J79" s="494">
        <v>9147.01</v>
      </c>
      <c r="K79" s="512">
        <v>95311.84</v>
      </c>
      <c r="L79" s="497"/>
      <c r="M79" s="498"/>
      <c r="N79" s="159"/>
      <c r="O79" s="159"/>
      <c r="P79" s="159"/>
      <c r="Q79" s="20"/>
    </row>
    <row r="80" spans="1:18" ht="93.75" x14ac:dyDescent="0.25">
      <c r="A80" s="489"/>
      <c r="B80" s="490"/>
      <c r="C80" s="508"/>
      <c r="D80" s="514" t="s">
        <v>276</v>
      </c>
      <c r="E80" s="70">
        <v>0</v>
      </c>
      <c r="F80" s="493">
        <f t="shared" si="15"/>
        <v>876.15</v>
      </c>
      <c r="G80" s="70">
        <v>0</v>
      </c>
      <c r="H80" s="70">
        <v>0</v>
      </c>
      <c r="I80" s="494">
        <v>876.15</v>
      </c>
      <c r="J80" s="494">
        <v>0</v>
      </c>
      <c r="K80" s="512">
        <v>0</v>
      </c>
      <c r="L80" s="515"/>
      <c r="M80" s="516"/>
      <c r="N80" s="159"/>
      <c r="O80" s="159"/>
      <c r="P80" s="159"/>
      <c r="Q80" s="20"/>
    </row>
    <row r="81" spans="1:17" ht="18.75" x14ac:dyDescent="0.3">
      <c r="A81" s="517" t="s">
        <v>56</v>
      </c>
      <c r="B81" s="518"/>
      <c r="C81" s="518"/>
      <c r="D81" s="518"/>
      <c r="E81" s="33">
        <f>E82+E83+E84+E86+E87+E88+E89</f>
        <v>2358489.4780000001</v>
      </c>
      <c r="F81" s="202">
        <f>F82+F83+F84+F86+F87+F88+F89</f>
        <v>16194419.76097</v>
      </c>
      <c r="G81" s="33">
        <f>G82+G83+G84+G86+G87+G88+G89</f>
        <v>2915618.3259999999</v>
      </c>
      <c r="H81" s="33">
        <f>H82+H83+H84+H86+H87+H88+H89</f>
        <v>3421355.2549999999</v>
      </c>
      <c r="I81" s="202">
        <f t="shared" ref="I81:K81" si="16">I82+I83+I84+I86+I87+I88+I89</f>
        <v>3099549.6739699999</v>
      </c>
      <c r="J81" s="202">
        <f t="shared" si="16"/>
        <v>3304477.1030000001</v>
      </c>
      <c r="K81" s="202">
        <f t="shared" si="16"/>
        <v>3453419.4029999999</v>
      </c>
      <c r="L81" s="34"/>
      <c r="M81" s="519"/>
      <c r="N81" s="142"/>
      <c r="O81" s="142"/>
      <c r="P81" s="142"/>
    </row>
    <row r="82" spans="1:17" ht="18" customHeight="1" x14ac:dyDescent="0.3">
      <c r="A82" s="282" t="s">
        <v>296</v>
      </c>
      <c r="B82" s="282"/>
      <c r="C82" s="282"/>
      <c r="D82" s="282"/>
      <c r="E82" s="33">
        <f>E65</f>
        <v>0</v>
      </c>
      <c r="F82" s="202">
        <f>G82+H82+I82+J82+K82</f>
        <v>49896</v>
      </c>
      <c r="G82" s="33">
        <f>G57</f>
        <v>0</v>
      </c>
      <c r="H82" s="33">
        <f>H57</f>
        <v>49896</v>
      </c>
      <c r="I82" s="202">
        <f t="shared" ref="I82:K82" si="17">I57</f>
        <v>0</v>
      </c>
      <c r="J82" s="202">
        <f t="shared" si="17"/>
        <v>0</v>
      </c>
      <c r="K82" s="202">
        <f t="shared" si="17"/>
        <v>0</v>
      </c>
      <c r="L82" s="34"/>
      <c r="M82" s="520"/>
      <c r="N82" s="140"/>
      <c r="O82" s="140"/>
      <c r="P82" s="140"/>
      <c r="Q82" s="20"/>
    </row>
    <row r="83" spans="1:17" ht="18.75" x14ac:dyDescent="0.3">
      <c r="A83" s="282" t="s">
        <v>5</v>
      </c>
      <c r="B83" s="282"/>
      <c r="C83" s="282"/>
      <c r="D83" s="282"/>
      <c r="E83" s="33">
        <f>E16+E58</f>
        <v>1302780</v>
      </c>
      <c r="F83" s="202">
        <f t="shared" ref="F83:F88" si="18">G83+H83+I83+J83+K83</f>
        <v>9197557.1150000002</v>
      </c>
      <c r="G83" s="33">
        <f t="shared" ref="G83:K84" si="19">G16+G58</f>
        <v>1531991</v>
      </c>
      <c r="H83" s="33">
        <f t="shared" si="19"/>
        <v>1814502.0049999999</v>
      </c>
      <c r="I83" s="202">
        <f t="shared" si="19"/>
        <v>1806597.25</v>
      </c>
      <c r="J83" s="202">
        <f t="shared" si="19"/>
        <v>1975603</v>
      </c>
      <c r="K83" s="202">
        <f t="shared" si="19"/>
        <v>2068863.8599999999</v>
      </c>
      <c r="L83" s="34"/>
      <c r="M83" s="521"/>
      <c r="N83" s="164">
        <f>G25+G26+G27+G36+G46+G47+G48</f>
        <v>1531991</v>
      </c>
      <c r="O83" s="164">
        <f>H25+H26+H27+H36+H42+H46+H47+H48+H66+H69</f>
        <v>1814502.0049999999</v>
      </c>
      <c r="P83" s="164">
        <f>I25+I26+I27+I36+I42+I46+I47+I48+I64+I66+I69+I72</f>
        <v>1803274</v>
      </c>
      <c r="Q83" s="20">
        <f>J25+J26+J27+J36+J46+J47+J48+J64+J66+J69+J72</f>
        <v>1828057</v>
      </c>
    </row>
    <row r="84" spans="1:17" ht="18.75" x14ac:dyDescent="0.3">
      <c r="A84" s="282" t="s">
        <v>9</v>
      </c>
      <c r="B84" s="282"/>
      <c r="C84" s="282"/>
      <c r="D84" s="282"/>
      <c r="E84" s="35">
        <f>E17+E59</f>
        <v>731334.36599999992</v>
      </c>
      <c r="F84" s="202">
        <f t="shared" si="18"/>
        <v>5146931.3380000005</v>
      </c>
      <c r="G84" s="35">
        <f t="shared" si="19"/>
        <v>746450.82100000011</v>
      </c>
      <c r="H84" s="33">
        <f t="shared" si="19"/>
        <v>808903.5610000001</v>
      </c>
      <c r="I84" s="203">
        <f t="shared" si="19"/>
        <v>1044270.0499999998</v>
      </c>
      <c r="J84" s="203">
        <f t="shared" si="19"/>
        <v>1245812.7330000002</v>
      </c>
      <c r="K84" s="203">
        <f t="shared" si="19"/>
        <v>1301494.1730000002</v>
      </c>
      <c r="L84" s="34"/>
      <c r="M84" s="521"/>
      <c r="N84" s="165">
        <f>G21+G24+G28+G30+G33+G34+G35+G37+G40+G44+G49+G50+G52+G62+G67+G70+G73</f>
        <v>746450.82100000011</v>
      </c>
      <c r="O84" s="165">
        <f>H21+H24+H28+H30+H33+H34+H35+H37+H40+H44+H49+H50+H52+H62+H67+H70+H73</f>
        <v>808903.5610000001</v>
      </c>
      <c r="P84" s="165">
        <f>I21+I24+I28+I30+I33+I34+I35+I37+I40+I44+I49+I50+I52+I62+I67+I70+I73</f>
        <v>792419.29099999985</v>
      </c>
      <c r="Q84" s="165">
        <f>J21+J24+J28+J30+J33+J34+J35+J37+J40+J44+J49+J50+J52+J62+J67+J70+J73</f>
        <v>776574.75500000012</v>
      </c>
    </row>
    <row r="85" spans="1:17" ht="18.75" x14ac:dyDescent="0.3">
      <c r="A85" s="282" t="s">
        <v>276</v>
      </c>
      <c r="B85" s="282"/>
      <c r="C85" s="282"/>
      <c r="D85" s="282"/>
      <c r="E85" s="35">
        <f>E29+E71</f>
        <v>0</v>
      </c>
      <c r="F85" s="202">
        <f t="shared" si="18"/>
        <v>120438.39599999999</v>
      </c>
      <c r="G85" s="35">
        <f>G29+G38+G41+G53+G77+G80</f>
        <v>0</v>
      </c>
      <c r="H85" s="35">
        <f>H29+H38+H41+H53+H77+H80</f>
        <v>32010.806</v>
      </c>
      <c r="I85" s="203">
        <f t="shared" ref="I85:K85" si="20">I29+I38+I41+I53+I77+I80</f>
        <v>88427.59</v>
      </c>
      <c r="J85" s="35">
        <f t="shared" si="20"/>
        <v>0</v>
      </c>
      <c r="K85" s="35">
        <f t="shared" si="20"/>
        <v>0</v>
      </c>
      <c r="L85" s="34"/>
      <c r="M85" s="521"/>
      <c r="N85" s="165">
        <f>G29++G71</f>
        <v>0</v>
      </c>
      <c r="O85" s="165">
        <f>H29++H71</f>
        <v>16433</v>
      </c>
      <c r="P85" s="165">
        <f>I29++I71</f>
        <v>24943</v>
      </c>
      <c r="Q85" s="165">
        <f>J29++J71</f>
        <v>0</v>
      </c>
    </row>
    <row r="86" spans="1:17" ht="36" customHeight="1" x14ac:dyDescent="0.3">
      <c r="A86" s="283" t="s">
        <v>89</v>
      </c>
      <c r="B86" s="283"/>
      <c r="C86" s="283"/>
      <c r="D86" s="283"/>
      <c r="E86" s="35">
        <f>E18+E60</f>
        <v>16026.418999999998</v>
      </c>
      <c r="F86" s="202">
        <f t="shared" si="18"/>
        <v>420980.64600000007</v>
      </c>
      <c r="G86" s="35">
        <f>G18+G60</f>
        <v>18970.758999999998</v>
      </c>
      <c r="H86" s="33">
        <f>H18+H60</f>
        <v>394118.88700000005</v>
      </c>
      <c r="I86" s="203">
        <f>I18+I60</f>
        <v>7891</v>
      </c>
      <c r="J86" s="203">
        <f>J18+J60</f>
        <v>0</v>
      </c>
      <c r="K86" s="203">
        <f>K18+K60</f>
        <v>0</v>
      </c>
      <c r="L86" s="34"/>
      <c r="M86" s="521"/>
      <c r="N86" s="165">
        <f>G31+G39+G43+G45+G51+G63+G68</f>
        <v>18970.758999999998</v>
      </c>
      <c r="O86" s="165">
        <f>H31+H39+H43+H45+H51+H63+H68</f>
        <v>394118.88699999999</v>
      </c>
      <c r="P86" s="165">
        <f>I31+I39+I43+I45+I51+I63+I68</f>
        <v>7891</v>
      </c>
      <c r="Q86" s="165">
        <f>J31+J39+J43+J45+J51+J63+J68</f>
        <v>0</v>
      </c>
    </row>
    <row r="87" spans="1:17" ht="18.75" x14ac:dyDescent="0.3">
      <c r="A87" s="282" t="s">
        <v>51</v>
      </c>
      <c r="B87" s="282"/>
      <c r="C87" s="282"/>
      <c r="D87" s="282"/>
      <c r="E87" s="35">
        <f>E19</f>
        <v>36793.925999999999</v>
      </c>
      <c r="F87" s="202">
        <f t="shared" si="18"/>
        <v>274852.48397</v>
      </c>
      <c r="G87" s="35">
        <f t="shared" ref="G87:K88" si="21">G19</f>
        <v>38885.425999999999</v>
      </c>
      <c r="H87" s="35">
        <f t="shared" si="21"/>
        <v>41319.222999999998</v>
      </c>
      <c r="I87" s="203">
        <f t="shared" si="21"/>
        <v>62685.430970000001</v>
      </c>
      <c r="J87" s="203">
        <f t="shared" si="21"/>
        <v>65981.202000000005</v>
      </c>
      <c r="K87" s="203">
        <f t="shared" si="21"/>
        <v>65981.202000000005</v>
      </c>
      <c r="L87" s="34"/>
      <c r="M87" s="521"/>
      <c r="N87" s="165">
        <f>G22+G32</f>
        <v>38885.425999999999</v>
      </c>
      <c r="O87" s="165">
        <f>H22+H32</f>
        <v>41319.222999999998</v>
      </c>
      <c r="P87" s="165">
        <f>I22+I32</f>
        <v>62685.430970000001</v>
      </c>
      <c r="Q87" s="165">
        <f>J22+J32</f>
        <v>65981.202000000005</v>
      </c>
    </row>
    <row r="88" spans="1:17" ht="18.75" x14ac:dyDescent="0.3">
      <c r="A88" s="282" t="s">
        <v>64</v>
      </c>
      <c r="B88" s="282"/>
      <c r="C88" s="282"/>
      <c r="D88" s="282"/>
      <c r="E88" s="35">
        <f>E20</f>
        <v>251554.76699999999</v>
      </c>
      <c r="F88" s="202">
        <f t="shared" si="18"/>
        <v>816202.17800000007</v>
      </c>
      <c r="G88" s="35">
        <f t="shared" si="21"/>
        <v>291320.32000000001</v>
      </c>
      <c r="H88" s="35">
        <f t="shared" si="21"/>
        <v>312615.57899999997</v>
      </c>
      <c r="I88" s="203">
        <f t="shared" si="21"/>
        <v>178105.943</v>
      </c>
      <c r="J88" s="203">
        <f t="shared" si="21"/>
        <v>17080.168000000005</v>
      </c>
      <c r="K88" s="203">
        <f t="shared" si="21"/>
        <v>17080.168000000005</v>
      </c>
      <c r="L88" s="34"/>
      <c r="M88" s="521"/>
      <c r="N88" s="165">
        <f>G23</f>
        <v>291320.32000000001</v>
      </c>
      <c r="O88" s="165">
        <f>H23</f>
        <v>312615.57899999997</v>
      </c>
      <c r="P88" s="165">
        <f>I23</f>
        <v>178105.943</v>
      </c>
      <c r="Q88" s="165">
        <f>J23</f>
        <v>17080.168000000005</v>
      </c>
    </row>
    <row r="89" spans="1:17" ht="18.75" x14ac:dyDescent="0.3">
      <c r="A89" s="282" t="s">
        <v>4</v>
      </c>
      <c r="B89" s="282"/>
      <c r="C89" s="282"/>
      <c r="D89" s="282"/>
      <c r="E89" s="33">
        <f>E61</f>
        <v>20000</v>
      </c>
      <c r="F89" s="202">
        <f>G89+H89+I89+J89+K89</f>
        <v>288000</v>
      </c>
      <c r="G89" s="33">
        <f>G61</f>
        <v>288000</v>
      </c>
      <c r="H89" s="33">
        <f>H61</f>
        <v>0</v>
      </c>
      <c r="I89" s="202">
        <f t="shared" ref="I89:K89" si="22">I61</f>
        <v>0</v>
      </c>
      <c r="J89" s="202">
        <f t="shared" si="22"/>
        <v>0</v>
      </c>
      <c r="K89" s="202">
        <f t="shared" si="22"/>
        <v>0</v>
      </c>
      <c r="L89" s="34"/>
      <c r="M89" s="521"/>
      <c r="N89" s="141"/>
      <c r="O89" s="141"/>
      <c r="P89" s="141"/>
    </row>
    <row r="90" spans="1:17" x14ac:dyDescent="0.25">
      <c r="I90" s="204"/>
      <c r="J90" s="205"/>
      <c r="K90" s="205"/>
    </row>
    <row r="91" spans="1:17" x14ac:dyDescent="0.25">
      <c r="E91" s="20"/>
      <c r="F91" s="37"/>
      <c r="G91" s="20"/>
      <c r="H91" s="180"/>
      <c r="I91" s="38"/>
      <c r="J91" s="28"/>
      <c r="K91" s="28"/>
    </row>
    <row r="92" spans="1:17" ht="15.75" x14ac:dyDescent="0.25">
      <c r="E92" s="39"/>
      <c r="F92" s="40"/>
      <c r="G92" s="39"/>
      <c r="H92" s="181"/>
      <c r="I92" s="39"/>
      <c r="J92" s="39"/>
      <c r="K92" s="39"/>
    </row>
    <row r="93" spans="1:17" ht="15.75" x14ac:dyDescent="0.25">
      <c r="F93" s="37"/>
      <c r="G93" s="20"/>
      <c r="H93" s="181"/>
      <c r="I93" s="38"/>
      <c r="J93" s="20"/>
      <c r="K93" s="20"/>
    </row>
    <row r="94" spans="1:17" ht="15.75" x14ac:dyDescent="0.25">
      <c r="G94" s="20"/>
      <c r="H94" s="181"/>
      <c r="I94" s="38"/>
      <c r="J94" s="20"/>
      <c r="K94" s="20"/>
    </row>
    <row r="95" spans="1:17" ht="15.75" x14ac:dyDescent="0.25">
      <c r="H95" s="181"/>
      <c r="I95" s="38"/>
      <c r="J95" s="20"/>
    </row>
    <row r="96" spans="1:17" x14ac:dyDescent="0.25">
      <c r="G96" s="20"/>
      <c r="H96" s="180"/>
      <c r="I96" s="38"/>
      <c r="J96" s="20"/>
      <c r="K96" s="20"/>
    </row>
    <row r="103" spans="5:11" x14ac:dyDescent="0.25">
      <c r="E103" s="20"/>
      <c r="F103" s="37"/>
      <c r="G103" s="20"/>
      <c r="H103" s="180"/>
      <c r="I103" s="38"/>
      <c r="J103" s="20"/>
      <c r="K103" s="20"/>
    </row>
    <row r="105" spans="5:11" x14ac:dyDescent="0.25">
      <c r="H105" s="180"/>
    </row>
    <row r="106" spans="5:11" x14ac:dyDescent="0.25">
      <c r="H106" s="180"/>
    </row>
  </sheetData>
  <sheetProtection formatCells="0" formatColumns="0" formatRows="0" insertColumns="0" insertRows="0" insertHyperlinks="0" deleteColumns="0" deleteRows="0" sort="0" autoFilter="0" pivotTables="0"/>
  <mergeCells count="107">
    <mergeCell ref="K1:M1"/>
    <mergeCell ref="K2:M2"/>
    <mergeCell ref="K3:M3"/>
    <mergeCell ref="K4:M4"/>
    <mergeCell ref="E6:H6"/>
    <mergeCell ref="M56:M61"/>
    <mergeCell ref="L27:L29"/>
    <mergeCell ref="M27:M29"/>
    <mergeCell ref="M48:M49"/>
    <mergeCell ref="M44:M45"/>
    <mergeCell ref="M40:M43"/>
    <mergeCell ref="M35:M36"/>
    <mergeCell ref="L35:L36"/>
    <mergeCell ref="L30:L32"/>
    <mergeCell ref="M30:M32"/>
    <mergeCell ref="M37:M39"/>
    <mergeCell ref="L52:L53"/>
    <mergeCell ref="M52:M53"/>
    <mergeCell ref="M54:M55"/>
    <mergeCell ref="L54:L55"/>
    <mergeCell ref="K6:M6"/>
    <mergeCell ref="G8:M8"/>
    <mergeCell ref="B7:M7"/>
    <mergeCell ref="F9:F12"/>
    <mergeCell ref="A88:D88"/>
    <mergeCell ref="A87:D87"/>
    <mergeCell ref="A85:D85"/>
    <mergeCell ref="L56:L61"/>
    <mergeCell ref="C44:C45"/>
    <mergeCell ref="B40:B43"/>
    <mergeCell ref="B48:B49"/>
    <mergeCell ref="L48:L49"/>
    <mergeCell ref="L40:L43"/>
    <mergeCell ref="A81:D81"/>
    <mergeCell ref="C52:C53"/>
    <mergeCell ref="B52:B53"/>
    <mergeCell ref="A52:A53"/>
    <mergeCell ref="C75:C77"/>
    <mergeCell ref="A62:A64"/>
    <mergeCell ref="A69:A71"/>
    <mergeCell ref="B69:B71"/>
    <mergeCell ref="C69:C71"/>
    <mergeCell ref="A75:A77"/>
    <mergeCell ref="B75:B77"/>
    <mergeCell ref="A40:A43"/>
    <mergeCell ref="C72:C73"/>
    <mergeCell ref="B35:B36"/>
    <mergeCell ref="B27:B29"/>
    <mergeCell ref="C27:C29"/>
    <mergeCell ref="M62:M80"/>
    <mergeCell ref="L62:L80"/>
    <mergeCell ref="A44:A45"/>
    <mergeCell ref="B44:B45"/>
    <mergeCell ref="C35:C36"/>
    <mergeCell ref="C30:C32"/>
    <mergeCell ref="B62:B64"/>
    <mergeCell ref="C62:C64"/>
    <mergeCell ref="C48:C49"/>
    <mergeCell ref="C65:C68"/>
    <mergeCell ref="B65:B68"/>
    <mergeCell ref="C78:C80"/>
    <mergeCell ref="A78:A80"/>
    <mergeCell ref="B78:B80"/>
    <mergeCell ref="A54:A55"/>
    <mergeCell ref="B54:B55"/>
    <mergeCell ref="C54:C55"/>
    <mergeCell ref="C37:C39"/>
    <mergeCell ref="L44:L45"/>
    <mergeCell ref="L37:L39"/>
    <mergeCell ref="A37:A39"/>
    <mergeCell ref="C40:C43"/>
    <mergeCell ref="C56:C61"/>
    <mergeCell ref="B56:B61"/>
    <mergeCell ref="A89:D89"/>
    <mergeCell ref="A72:A73"/>
    <mergeCell ref="B72:B73"/>
    <mergeCell ref="A83:D83"/>
    <mergeCell ref="A84:D84"/>
    <mergeCell ref="A86:D86"/>
    <mergeCell ref="A82:D82"/>
    <mergeCell ref="A65:A68"/>
    <mergeCell ref="A56:A61"/>
    <mergeCell ref="A48:A49"/>
    <mergeCell ref="B37:B39"/>
    <mergeCell ref="A27:A29"/>
    <mergeCell ref="B30:B32"/>
    <mergeCell ref="A21:A23"/>
    <mergeCell ref="M9:M12"/>
    <mergeCell ref="A9:A12"/>
    <mergeCell ref="B9:B12"/>
    <mergeCell ref="B21:B23"/>
    <mergeCell ref="B15:B20"/>
    <mergeCell ref="A14:M14"/>
    <mergeCell ref="L15:L20"/>
    <mergeCell ref="L9:L12"/>
    <mergeCell ref="E9:E12"/>
    <mergeCell ref="D9:D12"/>
    <mergeCell ref="G9:K11"/>
    <mergeCell ref="C9:C12"/>
    <mergeCell ref="M15:M20"/>
    <mergeCell ref="A15:A20"/>
    <mergeCell ref="C15:C20"/>
    <mergeCell ref="C21:C23"/>
    <mergeCell ref="M21:M23"/>
    <mergeCell ref="L21:L23"/>
    <mergeCell ref="A30:A32"/>
    <mergeCell ref="A35:A36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4" manualBreakCount="4">
    <brk id="25" max="13" man="1"/>
    <brk id="36" max="16383" man="1"/>
    <brk id="46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54"/>
  <sheetViews>
    <sheetView view="pageBreakPreview" zoomScale="70" zoomScaleNormal="70" zoomScaleSheetLayoutView="70" workbookViewId="0">
      <pane ySplit="8" topLeftCell="A9" activePane="bottomLeft" state="frozen"/>
      <selection activeCell="F60" sqref="F60"/>
      <selection pane="bottomLeft" activeCell="R121" sqref="R121:S123"/>
    </sheetView>
  </sheetViews>
  <sheetFormatPr defaultColWidth="9.140625" defaultRowHeight="15" x14ac:dyDescent="0.25"/>
  <cols>
    <col min="1" max="1" width="9.140625" style="6"/>
    <col min="2" max="2" width="59.7109375" style="6" customWidth="1"/>
    <col min="3" max="3" width="17.85546875" style="6" customWidth="1"/>
    <col min="4" max="4" width="31.5703125" style="6" customWidth="1"/>
    <col min="5" max="5" width="19.28515625" style="6" customWidth="1"/>
    <col min="6" max="6" width="22.140625" style="41" customWidth="1"/>
    <col min="7" max="7" width="19.28515625" style="6" customWidth="1"/>
    <col min="8" max="8" width="19.28515625" style="182" customWidth="1"/>
    <col min="9" max="9" width="20.28515625" style="42" customWidth="1"/>
    <col min="10" max="10" width="20.140625" style="6" customWidth="1"/>
    <col min="11" max="11" width="20.28515625" style="6" customWidth="1"/>
    <col min="12" max="12" width="21.140625" style="6" customWidth="1"/>
    <col min="13" max="13" width="24.5703125" style="6" customWidth="1"/>
    <col min="14" max="14" width="24.5703125" style="6" hidden="1" customWidth="1"/>
    <col min="15" max="15" width="32.28515625" style="6" hidden="1" customWidth="1"/>
    <col min="16" max="16" width="24.5703125" style="6" hidden="1" customWidth="1"/>
    <col min="17" max="17" width="18.140625" style="6" hidden="1" customWidth="1"/>
    <col min="18" max="19" width="14.7109375" style="6" customWidth="1"/>
    <col min="20" max="20" width="13" style="6" customWidth="1"/>
    <col min="21" max="23" width="9.140625" style="6" customWidth="1"/>
    <col min="24" max="16384" width="9.140625" style="6"/>
  </cols>
  <sheetData>
    <row r="1" spans="1:20" ht="15.75" x14ac:dyDescent="0.25">
      <c r="A1" s="1"/>
      <c r="B1" s="2"/>
      <c r="C1" s="3"/>
      <c r="D1" s="2"/>
      <c r="E1" s="303"/>
      <c r="F1" s="303"/>
      <c r="G1" s="303"/>
      <c r="H1" s="183"/>
      <c r="I1" s="4"/>
      <c r="J1" s="5"/>
      <c r="K1" s="5"/>
      <c r="L1" s="5"/>
      <c r="M1" s="5"/>
      <c r="N1" s="5"/>
      <c r="O1" s="5"/>
      <c r="P1" s="5"/>
    </row>
    <row r="2" spans="1:20" ht="15.75" customHeight="1" x14ac:dyDescent="0.25">
      <c r="A2" s="1"/>
      <c r="B2" s="7"/>
      <c r="C2" s="8"/>
      <c r="D2" s="9"/>
      <c r="E2" s="303"/>
      <c r="F2" s="303"/>
      <c r="G2" s="303"/>
      <c r="H2" s="179"/>
      <c r="I2" s="11"/>
      <c r="J2" s="10"/>
      <c r="K2" s="10"/>
      <c r="L2" s="304"/>
      <c r="M2" s="304"/>
      <c r="N2" s="194"/>
      <c r="O2" s="194"/>
      <c r="P2" s="194"/>
    </row>
    <row r="3" spans="1:20" ht="15.75" customHeight="1" thickBot="1" x14ac:dyDescent="0.3">
      <c r="A3" s="1"/>
      <c r="B3" s="7"/>
      <c r="C3" s="8"/>
      <c r="D3" s="9"/>
      <c r="E3" s="9"/>
      <c r="F3" s="44"/>
      <c r="G3" s="10"/>
      <c r="H3" s="179"/>
      <c r="I3" s="11"/>
      <c r="J3" s="10"/>
      <c r="K3" s="10"/>
      <c r="L3" s="194"/>
      <c r="M3" s="194"/>
      <c r="N3" s="194"/>
      <c r="O3" s="194"/>
      <c r="P3" s="194"/>
    </row>
    <row r="4" spans="1:20" ht="15" customHeight="1" x14ac:dyDescent="0.25">
      <c r="A4" s="314" t="s">
        <v>13</v>
      </c>
      <c r="B4" s="311" t="s">
        <v>14</v>
      </c>
      <c r="C4" s="311" t="s">
        <v>0</v>
      </c>
      <c r="D4" s="311" t="s">
        <v>15</v>
      </c>
      <c r="E4" s="311" t="s">
        <v>145</v>
      </c>
      <c r="F4" s="311" t="s">
        <v>16</v>
      </c>
      <c r="G4" s="320" t="s">
        <v>49</v>
      </c>
      <c r="H4" s="321"/>
      <c r="I4" s="321"/>
      <c r="J4" s="321"/>
      <c r="K4" s="322"/>
      <c r="L4" s="305" t="s">
        <v>17</v>
      </c>
      <c r="M4" s="317" t="s">
        <v>7</v>
      </c>
      <c r="N4" s="143"/>
      <c r="O4" s="143"/>
      <c r="P4" s="143"/>
    </row>
    <row r="5" spans="1:20" ht="18.75" x14ac:dyDescent="0.25">
      <c r="A5" s="315"/>
      <c r="B5" s="312"/>
      <c r="C5" s="312"/>
      <c r="D5" s="312"/>
      <c r="E5" s="312"/>
      <c r="F5" s="312"/>
      <c r="G5" s="323"/>
      <c r="H5" s="324"/>
      <c r="I5" s="324"/>
      <c r="J5" s="324"/>
      <c r="K5" s="325"/>
      <c r="L5" s="306"/>
      <c r="M5" s="318"/>
      <c r="N5" s="143"/>
      <c r="O5" s="143"/>
      <c r="P5" s="143"/>
    </row>
    <row r="6" spans="1:20" ht="45.75" customHeight="1" x14ac:dyDescent="0.25">
      <c r="A6" s="316"/>
      <c r="B6" s="313"/>
      <c r="C6" s="313"/>
      <c r="D6" s="313"/>
      <c r="E6" s="313"/>
      <c r="F6" s="313"/>
      <c r="G6" s="45" t="s">
        <v>46</v>
      </c>
      <c r="H6" s="45" t="s">
        <v>47</v>
      </c>
      <c r="I6" s="45" t="s">
        <v>147</v>
      </c>
      <c r="J6" s="45" t="s">
        <v>148</v>
      </c>
      <c r="K6" s="45" t="s">
        <v>149</v>
      </c>
      <c r="L6" s="307"/>
      <c r="M6" s="319"/>
      <c r="N6" s="143" t="s">
        <v>299</v>
      </c>
      <c r="O6" s="143" t="s">
        <v>300</v>
      </c>
      <c r="P6" s="143"/>
    </row>
    <row r="7" spans="1:20" ht="17.25" customHeight="1" x14ac:dyDescent="0.25">
      <c r="A7" s="15" t="s">
        <v>29</v>
      </c>
      <c r="B7" s="16">
        <v>2</v>
      </c>
      <c r="C7" s="16" t="s">
        <v>18</v>
      </c>
      <c r="D7" s="16" t="s">
        <v>134</v>
      </c>
      <c r="E7" s="16" t="s">
        <v>19</v>
      </c>
      <c r="F7" s="16" t="s">
        <v>131</v>
      </c>
      <c r="G7" s="16" t="s">
        <v>20</v>
      </c>
      <c r="H7" s="16" t="s">
        <v>132</v>
      </c>
      <c r="I7" s="16" t="s">
        <v>21</v>
      </c>
      <c r="J7" s="16" t="s">
        <v>22</v>
      </c>
      <c r="K7" s="16" t="s">
        <v>30</v>
      </c>
      <c r="L7" s="16" t="s">
        <v>31</v>
      </c>
      <c r="M7" s="17" t="s">
        <v>50</v>
      </c>
      <c r="N7" s="138"/>
      <c r="O7" s="138"/>
      <c r="P7" s="138"/>
    </row>
    <row r="8" spans="1:20" ht="10.5" hidden="1" customHeight="1" x14ac:dyDescent="0.25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10"/>
      <c r="N8" s="144"/>
      <c r="O8" s="144"/>
      <c r="P8" s="144"/>
    </row>
    <row r="9" spans="1:20" s="47" customFormat="1" ht="25.5" customHeight="1" x14ac:dyDescent="0.25">
      <c r="A9" s="308" t="s">
        <v>62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10"/>
      <c r="N9" s="144"/>
      <c r="O9" s="144"/>
      <c r="P9" s="144"/>
      <c r="Q9" s="46"/>
    </row>
    <row r="10" spans="1:20" ht="37.5" customHeight="1" x14ac:dyDescent="0.25">
      <c r="A10" s="326"/>
      <c r="B10" s="329" t="s">
        <v>136</v>
      </c>
      <c r="C10" s="329" t="s">
        <v>146</v>
      </c>
      <c r="D10" s="48" t="s">
        <v>10</v>
      </c>
      <c r="E10" s="49">
        <f>SUM(E12:E16)</f>
        <v>3599009.6299999994</v>
      </c>
      <c r="F10" s="206">
        <f>SUM(G10:K10)</f>
        <v>22499076.413730003</v>
      </c>
      <c r="G10" s="49">
        <f>SUM(G11:G16)</f>
        <v>4134110.0259999996</v>
      </c>
      <c r="H10" s="49">
        <f t="shared" ref="H10:K10" si="0">SUM(H11:H16)</f>
        <v>4649830.6758000003</v>
      </c>
      <c r="I10" s="49">
        <f t="shared" si="0"/>
        <v>4707502.4769300008</v>
      </c>
      <c r="J10" s="49">
        <f t="shared" si="0"/>
        <v>4502827.5040000007</v>
      </c>
      <c r="K10" s="49">
        <f t="shared" si="0"/>
        <v>4504805.7310000006</v>
      </c>
      <c r="L10" s="332"/>
      <c r="M10" s="335"/>
      <c r="N10" s="145"/>
      <c r="O10" s="145"/>
      <c r="P10" s="145"/>
    </row>
    <row r="11" spans="1:20" ht="37.5" customHeight="1" x14ac:dyDescent="0.25">
      <c r="A11" s="327"/>
      <c r="B11" s="330"/>
      <c r="C11" s="330"/>
      <c r="D11" s="242" t="s">
        <v>296</v>
      </c>
      <c r="E11" s="50">
        <f>E82</f>
        <v>0</v>
      </c>
      <c r="F11" s="206">
        <f>SUM(G11:K11)</f>
        <v>10366.06754</v>
      </c>
      <c r="G11" s="50">
        <f t="shared" ref="G11:H11" si="1">G82</f>
        <v>0</v>
      </c>
      <c r="H11" s="50">
        <f t="shared" si="1"/>
        <v>0</v>
      </c>
      <c r="I11" s="522">
        <f>I82+I96</f>
        <v>10366.06754</v>
      </c>
      <c r="J11" s="522">
        <f t="shared" ref="J11:K11" si="2">J82+J96</f>
        <v>0</v>
      </c>
      <c r="K11" s="522">
        <f t="shared" si="2"/>
        <v>0</v>
      </c>
      <c r="L11" s="333"/>
      <c r="M11" s="336"/>
      <c r="N11" s="145"/>
      <c r="O11" s="145"/>
      <c r="P11" s="145"/>
    </row>
    <row r="12" spans="1:20" ht="39.75" customHeight="1" x14ac:dyDescent="0.25">
      <c r="A12" s="327"/>
      <c r="B12" s="330"/>
      <c r="C12" s="330"/>
      <c r="D12" s="242" t="s">
        <v>5</v>
      </c>
      <c r="E12" s="50">
        <f>E26+E27+E28+E31+E32+E34+E39+E41+E43+E45+E47+E67+E68+E69+E73+E83</f>
        <v>2579269.7999999998</v>
      </c>
      <c r="F12" s="206">
        <f>SUM(G12:K12)</f>
        <v>17098920.386849999</v>
      </c>
      <c r="G12" s="50">
        <f>G26+G27+G28+G31+G32+G34+G39+G41+G43+G45+G47+G67+G68+G69+G73+G57+G76+G83</f>
        <v>3092216.1409999998</v>
      </c>
      <c r="H12" s="50">
        <f>H26+H27+H28+H31+H32+H34+H39+H41+H43+H45+H47+H67+H68+H69+H73+H57+H76+H83</f>
        <v>3501340.89</v>
      </c>
      <c r="I12" s="522">
        <f>I26+I27+I28+I31+I32+I34+I39+I41+I43+I45+I47+I67+I68+I69+I73+I57+I83+I97</f>
        <v>3555944.3558499999</v>
      </c>
      <c r="J12" s="522">
        <f t="shared" ref="J12:K12" si="3">J26+J27+J28+J31+J32+J34+J39+J41+J43+J45+J47+J67+J68+J69+J73+J57+J83+J97</f>
        <v>3473014</v>
      </c>
      <c r="K12" s="522">
        <f t="shared" si="3"/>
        <v>3476405</v>
      </c>
      <c r="L12" s="333"/>
      <c r="M12" s="336"/>
      <c r="N12" s="145"/>
      <c r="O12" s="145"/>
      <c r="P12" s="145"/>
    </row>
    <row r="13" spans="1:20" ht="58.5" customHeight="1" x14ac:dyDescent="0.25">
      <c r="A13" s="327"/>
      <c r="B13" s="330"/>
      <c r="C13" s="330"/>
      <c r="D13" s="48" t="s">
        <v>9</v>
      </c>
      <c r="E13" s="51">
        <f>E17+E20+E22+E25+E33+E35+E40+E42+E44+E46+E48+E49+E51+E54+E58+E70+E71+E72+E74+E84</f>
        <v>834761.21700000006</v>
      </c>
      <c r="F13" s="206">
        <f t="shared" ref="F13:F16" si="4">SUM(G13:K13)</f>
        <v>4140483.8820200004</v>
      </c>
      <c r="G13" s="51">
        <f>G17+G20+G22+G25+G33+G35+G40+G42+G44+G46+G48+G49+G51+G54+G58+G70+G71+G72+G74+G77+G29+G80+G84</f>
        <v>818200.09799999988</v>
      </c>
      <c r="H13" s="51">
        <f>H17+H20+H22+H25+H33+H35+H40+H42+H44+H46+H48+H49+H51+H54+H58+H70+H71+H72+H74+H77+H29+H80+H84</f>
        <v>901616.23080000014</v>
      </c>
      <c r="I13" s="523">
        <f>I17+I20+I22+I25+I33+I35+I40+I42+I44+I46+I48+I49+I51+I54+I58+I70+I71+I72+I74+I77+I29+I80+I84+I98</f>
        <v>846723.6852200001</v>
      </c>
      <c r="J13" s="523">
        <f>J17+J20+J22+J25+J33+J35+J40+J42+J44+J46+J48+J49+J51+J54+J58+J70+J71+J72+J74+J77+J29+J80+J84+J98</f>
        <v>786957.43400000012</v>
      </c>
      <c r="K13" s="523">
        <f>K17+K20+K22+K25+K33+K35+K40+K42+K44+K46+K48+K49+K51+K54+K58+K70+K71+K72+K74+K77+K29+K80+K84+K98</f>
        <v>786986.43400000012</v>
      </c>
      <c r="L13" s="333"/>
      <c r="M13" s="336"/>
      <c r="N13" s="145"/>
      <c r="O13" s="145"/>
      <c r="P13" s="145"/>
    </row>
    <row r="14" spans="1:20" ht="127.5" customHeight="1" x14ac:dyDescent="0.25">
      <c r="A14" s="327"/>
      <c r="B14" s="330"/>
      <c r="C14" s="330"/>
      <c r="D14" s="237" t="s">
        <v>89</v>
      </c>
      <c r="E14" s="174">
        <f>E37+E56+E60+E79</f>
        <v>11834.492999999999</v>
      </c>
      <c r="F14" s="206">
        <f t="shared" si="4"/>
        <v>41678.129090000002</v>
      </c>
      <c r="G14" s="174">
        <f>G37+G56+G60+G79+G21+G53</f>
        <v>20005.952000000001</v>
      </c>
      <c r="H14" s="174">
        <f>H37+H56+H60+H79+H21+H53</f>
        <v>14133.948</v>
      </c>
      <c r="I14" s="199">
        <f>I37+I56+I60+I79+I21+I53</f>
        <v>7538.2290899999998</v>
      </c>
      <c r="J14" s="199">
        <f>J37+J56+J60+J79+J21+J53</f>
        <v>0</v>
      </c>
      <c r="K14" s="199">
        <f>K37+K56+K60+K79+K21+K53</f>
        <v>0</v>
      </c>
      <c r="L14" s="333"/>
      <c r="M14" s="336"/>
      <c r="N14" s="145"/>
      <c r="O14" s="145"/>
      <c r="P14" s="145"/>
    </row>
    <row r="15" spans="1:20" ht="81" customHeight="1" x14ac:dyDescent="0.25">
      <c r="A15" s="327"/>
      <c r="B15" s="330"/>
      <c r="C15" s="330"/>
      <c r="D15" s="237" t="s">
        <v>51</v>
      </c>
      <c r="E15" s="174">
        <f>E18+E38</f>
        <v>168767.12400000001</v>
      </c>
      <c r="F15" s="206">
        <f t="shared" si="4"/>
        <v>1170586.8042299999</v>
      </c>
      <c r="G15" s="174">
        <f>G18+G38</f>
        <v>198466.71000000002</v>
      </c>
      <c r="H15" s="174">
        <f>H18+H38</f>
        <v>227174.23200000002</v>
      </c>
      <c r="I15" s="199">
        <f>I18+I38+I24</f>
        <v>278178.59122999996</v>
      </c>
      <c r="J15" s="199">
        <f t="shared" ref="J15:K15" si="5">J18+J38+J24</f>
        <v>234104.522</v>
      </c>
      <c r="K15" s="199">
        <f t="shared" si="5"/>
        <v>232662.74900000001</v>
      </c>
      <c r="L15" s="333"/>
      <c r="M15" s="336"/>
      <c r="N15" s="145"/>
      <c r="O15" s="145"/>
      <c r="P15" s="145"/>
      <c r="T15" s="20"/>
    </row>
    <row r="16" spans="1:20" ht="68.25" customHeight="1" x14ac:dyDescent="0.25">
      <c r="A16" s="328"/>
      <c r="B16" s="331"/>
      <c r="C16" s="331"/>
      <c r="D16" s="237" t="s">
        <v>64</v>
      </c>
      <c r="E16" s="174">
        <f>E19</f>
        <v>4376.9960000000001</v>
      </c>
      <c r="F16" s="206">
        <f t="shared" si="4"/>
        <v>37041.144000000008</v>
      </c>
      <c r="G16" s="174">
        <f t="shared" ref="G16:K16" si="6">G19</f>
        <v>5221.125</v>
      </c>
      <c r="H16" s="174">
        <f t="shared" si="6"/>
        <v>5565.375</v>
      </c>
      <c r="I16" s="199">
        <f t="shared" si="6"/>
        <v>8751.5480000000007</v>
      </c>
      <c r="J16" s="199">
        <f t="shared" si="6"/>
        <v>8751.5480000000007</v>
      </c>
      <c r="K16" s="199">
        <f t="shared" si="6"/>
        <v>8751.5480000000007</v>
      </c>
      <c r="L16" s="334"/>
      <c r="M16" s="337"/>
      <c r="N16" s="145"/>
      <c r="O16" s="145"/>
      <c r="P16" s="145"/>
      <c r="T16" s="20"/>
    </row>
    <row r="17" spans="1:23" ht="67.5" customHeight="1" x14ac:dyDescent="0.25">
      <c r="A17" s="524" t="s">
        <v>91</v>
      </c>
      <c r="B17" s="474" t="s">
        <v>67</v>
      </c>
      <c r="C17" s="329" t="s">
        <v>146</v>
      </c>
      <c r="D17" s="48" t="s">
        <v>24</v>
      </c>
      <c r="E17" s="49">
        <v>438987.25900000002</v>
      </c>
      <c r="F17" s="206">
        <f>SUM(G17:K17)</f>
        <v>1784141.0854000002</v>
      </c>
      <c r="G17" s="49">
        <v>465168</v>
      </c>
      <c r="H17" s="49">
        <v>359260.4964</v>
      </c>
      <c r="I17" s="206">
        <f>319727.53+529.999</f>
        <v>320257.52900000004</v>
      </c>
      <c r="J17" s="206">
        <v>319727.53000000003</v>
      </c>
      <c r="K17" s="206">
        <v>319727.53000000003</v>
      </c>
      <c r="L17" s="525" t="s">
        <v>11</v>
      </c>
      <c r="M17" s="526" t="s">
        <v>70</v>
      </c>
      <c r="N17" s="174">
        <f>('[2]Лист 1'!$F$356+'[2]Лист 1'!$F$357+'[2]Лист 1'!$F$358+'[2]Лист 1'!$F$359)/1000</f>
        <v>354533.02299999999</v>
      </c>
      <c r="O17" s="31">
        <v>354533.02299999999</v>
      </c>
      <c r="P17" s="161">
        <f>N17-O17</f>
        <v>0</v>
      </c>
      <c r="R17" s="26"/>
    </row>
    <row r="18" spans="1:23" ht="83.25" customHeight="1" x14ac:dyDescent="0.25">
      <c r="A18" s="527"/>
      <c r="B18" s="528"/>
      <c r="C18" s="330"/>
      <c r="D18" s="244" t="s">
        <v>51</v>
      </c>
      <c r="E18" s="49">
        <v>119767.406</v>
      </c>
      <c r="F18" s="206">
        <f t="shared" ref="F18:F67" si="7">SUM(G18:K18)</f>
        <v>939367.16732999997</v>
      </c>
      <c r="G18" s="49">
        <f>175878.271+67.2-12504.798</f>
        <v>163440.67300000001</v>
      </c>
      <c r="H18" s="49">
        <f>197567.138-9135.791</f>
        <v>188431.34700000001</v>
      </c>
      <c r="I18" s="206">
        <f>181704.953+26062.05333+13143.482+89.6-89.6</f>
        <v>220910.48832999999</v>
      </c>
      <c r="J18" s="206">
        <v>184013.21599999999</v>
      </c>
      <c r="K18" s="206">
        <v>182571.443</v>
      </c>
      <c r="L18" s="525"/>
      <c r="M18" s="526"/>
      <c r="N18" s="174">
        <v>197765.22399999999</v>
      </c>
      <c r="O18" s="31">
        <f>175878.271+67.2+38152.273-16332.52</f>
        <v>197765.22400000002</v>
      </c>
      <c r="P18" s="161">
        <f t="shared" ref="P18:P108" si="8">N18-O18</f>
        <v>0</v>
      </c>
      <c r="Q18" s="6" t="s">
        <v>294</v>
      </c>
      <c r="R18" s="25"/>
    </row>
    <row r="19" spans="1:23" ht="61.5" customHeight="1" x14ac:dyDescent="0.25">
      <c r="A19" s="529"/>
      <c r="B19" s="476"/>
      <c r="C19" s="331"/>
      <c r="D19" s="244" t="s">
        <v>64</v>
      </c>
      <c r="E19" s="49">
        <v>4376.9960000000001</v>
      </c>
      <c r="F19" s="206">
        <f t="shared" si="7"/>
        <v>37041.144000000008</v>
      </c>
      <c r="G19" s="49">
        <v>5221.125</v>
      </c>
      <c r="H19" s="49">
        <f>5565.375</f>
        <v>5565.375</v>
      </c>
      <c r="I19" s="206">
        <v>8751.5480000000007</v>
      </c>
      <c r="J19" s="206">
        <v>8751.5480000000007</v>
      </c>
      <c r="K19" s="206">
        <v>8751.5480000000007</v>
      </c>
      <c r="L19" s="525"/>
      <c r="M19" s="526"/>
      <c r="N19" s="174">
        <v>5565.375</v>
      </c>
      <c r="O19" s="31">
        <v>5565.375</v>
      </c>
      <c r="P19" s="161">
        <f t="shared" si="8"/>
        <v>0</v>
      </c>
      <c r="R19" s="25"/>
    </row>
    <row r="20" spans="1:23" ht="65.25" customHeight="1" x14ac:dyDescent="0.25">
      <c r="A20" s="524" t="s">
        <v>92</v>
      </c>
      <c r="B20" s="474" t="s">
        <v>68</v>
      </c>
      <c r="C20" s="329" t="s">
        <v>146</v>
      </c>
      <c r="D20" s="244" t="s">
        <v>24</v>
      </c>
      <c r="E20" s="49">
        <v>128460.2</v>
      </c>
      <c r="F20" s="206">
        <f t="shared" si="7"/>
        <v>645437.44640000002</v>
      </c>
      <c r="G20" s="49">
        <v>173058.86</v>
      </c>
      <c r="H20" s="49">
        <f>108818.7364</f>
        <v>108818.73639999999</v>
      </c>
      <c r="I20" s="206">
        <f>122896.75-970-443.4</f>
        <v>121483.35</v>
      </c>
      <c r="J20" s="206">
        <v>121038.25</v>
      </c>
      <c r="K20" s="206">
        <v>121038.25</v>
      </c>
      <c r="L20" s="376" t="s">
        <v>11</v>
      </c>
      <c r="M20" s="530" t="s">
        <v>70</v>
      </c>
      <c r="N20" s="174">
        <f>('[2]Лист 1'!$F$360+'[2]Лист 1'!$F$361)/1000</f>
        <v>108818.736</v>
      </c>
      <c r="O20" s="31">
        <f>114995.386-6176.65</f>
        <v>108818.736</v>
      </c>
      <c r="P20" s="161">
        <f t="shared" si="8"/>
        <v>0</v>
      </c>
      <c r="Q20" s="52"/>
      <c r="R20" s="25"/>
    </row>
    <row r="21" spans="1:23" ht="116.25" customHeight="1" x14ac:dyDescent="0.25">
      <c r="A21" s="529"/>
      <c r="B21" s="476"/>
      <c r="C21" s="331"/>
      <c r="D21" s="244" t="s">
        <v>89</v>
      </c>
      <c r="E21" s="49">
        <v>0</v>
      </c>
      <c r="F21" s="206">
        <f t="shared" si="7"/>
        <v>798.59</v>
      </c>
      <c r="G21" s="49">
        <v>798.59</v>
      </c>
      <c r="H21" s="49">
        <v>0</v>
      </c>
      <c r="I21" s="206">
        <v>0</v>
      </c>
      <c r="J21" s="206">
        <v>0</v>
      </c>
      <c r="K21" s="206">
        <v>0</v>
      </c>
      <c r="L21" s="378"/>
      <c r="M21" s="531"/>
      <c r="N21" s="174">
        <v>0</v>
      </c>
      <c r="O21" s="31">
        <v>0</v>
      </c>
      <c r="P21" s="161">
        <f t="shared" si="8"/>
        <v>0</v>
      </c>
      <c r="R21" s="25"/>
    </row>
    <row r="22" spans="1:23" ht="75" customHeight="1" x14ac:dyDescent="0.25">
      <c r="A22" s="524" t="s">
        <v>93</v>
      </c>
      <c r="B22" s="532" t="s">
        <v>90</v>
      </c>
      <c r="C22" s="329" t="s">
        <v>146</v>
      </c>
      <c r="D22" s="244" t="s">
        <v>24</v>
      </c>
      <c r="E22" s="49">
        <v>61325.218999999997</v>
      </c>
      <c r="F22" s="206">
        <f t="shared" si="7"/>
        <v>261264.61200000002</v>
      </c>
      <c r="G22" s="49">
        <v>60665.144</v>
      </c>
      <c r="H22" s="49">
        <f>46979.284+746.384+490+50+0.35-75.657+89.657+812.109+560.714</f>
        <v>49652.840999999993</v>
      </c>
      <c r="I22" s="206">
        <f>50263.928+586.843-322</f>
        <v>50528.771000000001</v>
      </c>
      <c r="J22" s="206">
        <v>50208.928</v>
      </c>
      <c r="K22" s="206">
        <v>50208.928</v>
      </c>
      <c r="L22" s="376" t="s">
        <v>11</v>
      </c>
      <c r="M22" s="533" t="s">
        <v>127</v>
      </c>
      <c r="N22" s="174">
        <f>SUM('[2]Лист 1'!$F$362:$F$368)/1000</f>
        <v>48280.017999999996</v>
      </c>
      <c r="O22" s="31">
        <f>46979.284+746.384+490+50+0.35-75.657+89.657</f>
        <v>48280.017999999996</v>
      </c>
      <c r="P22" s="161">
        <f t="shared" si="8"/>
        <v>0</v>
      </c>
      <c r="Q22" s="6" t="s">
        <v>292</v>
      </c>
      <c r="R22" s="26"/>
    </row>
    <row r="23" spans="1:23" ht="99.75" customHeight="1" x14ac:dyDescent="0.25">
      <c r="A23" s="527"/>
      <c r="B23" s="534"/>
      <c r="C23" s="330"/>
      <c r="D23" s="244" t="s">
        <v>276</v>
      </c>
      <c r="E23" s="49">
        <v>0</v>
      </c>
      <c r="F23" s="206">
        <f t="shared" si="7"/>
        <v>560.71400000000006</v>
      </c>
      <c r="G23" s="49">
        <v>0</v>
      </c>
      <c r="H23" s="49">
        <v>560.71400000000006</v>
      </c>
      <c r="I23" s="206">
        <v>0</v>
      </c>
      <c r="J23" s="206">
        <v>0</v>
      </c>
      <c r="K23" s="206">
        <v>0</v>
      </c>
      <c r="L23" s="377"/>
      <c r="M23" s="535"/>
      <c r="N23" s="174"/>
      <c r="O23" s="31"/>
      <c r="P23" s="161"/>
      <c r="R23" s="26"/>
    </row>
    <row r="24" spans="1:23" ht="76.5" customHeight="1" x14ac:dyDescent="0.25">
      <c r="A24" s="529"/>
      <c r="B24" s="536"/>
      <c r="C24" s="331"/>
      <c r="D24" s="244" t="s">
        <v>51</v>
      </c>
      <c r="E24" s="49">
        <v>0</v>
      </c>
      <c r="F24" s="206">
        <f t="shared" si="7"/>
        <v>89.6</v>
      </c>
      <c r="G24" s="49">
        <v>0</v>
      </c>
      <c r="H24" s="49">
        <v>0</v>
      </c>
      <c r="I24" s="206">
        <v>89.6</v>
      </c>
      <c r="J24" s="206">
        <v>0</v>
      </c>
      <c r="K24" s="206">
        <v>0</v>
      </c>
      <c r="L24" s="378"/>
      <c r="M24" s="537"/>
      <c r="N24" s="174"/>
      <c r="O24" s="31"/>
      <c r="P24" s="161"/>
      <c r="R24" s="26"/>
    </row>
    <row r="25" spans="1:23" ht="146.25" customHeight="1" x14ac:dyDescent="0.25">
      <c r="A25" s="15" t="s">
        <v>94</v>
      </c>
      <c r="B25" s="538" t="s">
        <v>161</v>
      </c>
      <c r="C25" s="244" t="s">
        <v>146</v>
      </c>
      <c r="D25" s="48" t="s">
        <v>24</v>
      </c>
      <c r="E25" s="49">
        <v>13103.741</v>
      </c>
      <c r="F25" s="206">
        <f t="shared" si="7"/>
        <v>48847.199000000008</v>
      </c>
      <c r="G25" s="49">
        <f>16604.172+267.62</f>
        <v>16871.791999999998</v>
      </c>
      <c r="H25" s="49">
        <v>8314.8989999999994</v>
      </c>
      <c r="I25" s="206">
        <v>7946.8360000000002</v>
      </c>
      <c r="J25" s="206">
        <v>7856.8360000000002</v>
      </c>
      <c r="K25" s="206">
        <v>7856.8360000000002</v>
      </c>
      <c r="L25" s="481" t="s">
        <v>11</v>
      </c>
      <c r="M25" s="539" t="s">
        <v>127</v>
      </c>
      <c r="N25" s="174">
        <f>SUM('[2]Лист 1'!$F$369:$F$375)/1000</f>
        <v>8213.9609999999993</v>
      </c>
      <c r="O25" s="31">
        <v>8213.9609999999993</v>
      </c>
      <c r="P25" s="161">
        <f t="shared" si="8"/>
        <v>0</v>
      </c>
      <c r="R25" s="26"/>
      <c r="W25" s="20"/>
    </row>
    <row r="26" spans="1:23" ht="280.5" customHeight="1" x14ac:dyDescent="0.25">
      <c r="A26" s="540" t="s">
        <v>95</v>
      </c>
      <c r="B26" s="538" t="s">
        <v>326</v>
      </c>
      <c r="C26" s="244" t="s">
        <v>146</v>
      </c>
      <c r="D26" s="48" t="s">
        <v>5</v>
      </c>
      <c r="E26" s="49">
        <v>2270359</v>
      </c>
      <c r="F26" s="206">
        <f>SUM(G26:K26)</f>
        <v>14556714</v>
      </c>
      <c r="G26" s="49">
        <v>2673101</v>
      </c>
      <c r="H26" s="49">
        <v>2922364</v>
      </c>
      <c r="I26" s="206">
        <f>2991809-14178</f>
        <v>2977631</v>
      </c>
      <c r="J26" s="206">
        <v>2991809</v>
      </c>
      <c r="K26" s="206">
        <v>2991809</v>
      </c>
      <c r="L26" s="481" t="s">
        <v>11</v>
      </c>
      <c r="M26" s="541" t="s">
        <v>133</v>
      </c>
      <c r="N26" s="174">
        <f>'[2]Лист 1'!$K$376/1000</f>
        <v>2795447</v>
      </c>
      <c r="O26" s="146">
        <v>2655674</v>
      </c>
      <c r="P26" s="161">
        <f t="shared" si="8"/>
        <v>139773</v>
      </c>
      <c r="R26" s="25"/>
    </row>
    <row r="27" spans="1:23" ht="272.25" customHeight="1" x14ac:dyDescent="0.25">
      <c r="A27" s="15" t="s">
        <v>96</v>
      </c>
      <c r="B27" s="542" t="s">
        <v>336</v>
      </c>
      <c r="C27" s="242" t="s">
        <v>146</v>
      </c>
      <c r="D27" s="242" t="s">
        <v>5</v>
      </c>
      <c r="E27" s="543">
        <f>175303-13633</f>
        <v>161670</v>
      </c>
      <c r="F27" s="206">
        <f t="shared" si="7"/>
        <v>1225835</v>
      </c>
      <c r="G27" s="543">
        <v>187702</v>
      </c>
      <c r="H27" s="49">
        <v>245092</v>
      </c>
      <c r="I27" s="544">
        <v>264347</v>
      </c>
      <c r="J27" s="544">
        <v>264347</v>
      </c>
      <c r="K27" s="544">
        <v>264347</v>
      </c>
      <c r="L27" s="253" t="s">
        <v>11</v>
      </c>
      <c r="M27" s="545" t="s">
        <v>213</v>
      </c>
      <c r="N27" s="174">
        <f>'[2]Лист 1'!$J$385/1000</f>
        <v>231622</v>
      </c>
      <c r="O27" s="147">
        <v>214410</v>
      </c>
      <c r="P27" s="161">
        <f t="shared" si="8"/>
        <v>17212</v>
      </c>
      <c r="R27" s="26"/>
      <c r="S27" s="25"/>
    </row>
    <row r="28" spans="1:23" ht="45" customHeight="1" x14ac:dyDescent="0.25">
      <c r="A28" s="326" t="s">
        <v>97</v>
      </c>
      <c r="B28" s="546" t="s">
        <v>183</v>
      </c>
      <c r="C28" s="329" t="s">
        <v>146</v>
      </c>
      <c r="D28" s="48" t="s">
        <v>5</v>
      </c>
      <c r="E28" s="543">
        <v>116517</v>
      </c>
      <c r="F28" s="206">
        <f t="shared" si="7"/>
        <v>948829</v>
      </c>
      <c r="G28" s="543">
        <v>159822</v>
      </c>
      <c r="H28" s="543">
        <v>184806</v>
      </c>
      <c r="I28" s="544">
        <f>201863-1388</f>
        <v>200475</v>
      </c>
      <c r="J28" s="544">
        <v>201863</v>
      </c>
      <c r="K28" s="544">
        <v>201863</v>
      </c>
      <c r="L28" s="376" t="s">
        <v>11</v>
      </c>
      <c r="M28" s="475" t="s">
        <v>25</v>
      </c>
      <c r="N28" s="174">
        <f>('[2]Лист 1'!$F$388+'[2]Лист 1'!$F$389+'[2]Лист 1'!$F$390)/1000</f>
        <v>184806</v>
      </c>
      <c r="O28" s="53">
        <v>184806</v>
      </c>
      <c r="P28" s="161">
        <f t="shared" si="8"/>
        <v>0</v>
      </c>
      <c r="R28" s="25"/>
    </row>
    <row r="29" spans="1:23" ht="63" customHeight="1" x14ac:dyDescent="0.25">
      <c r="A29" s="327"/>
      <c r="B29" s="547"/>
      <c r="C29" s="330"/>
      <c r="D29" s="48" t="s">
        <v>24</v>
      </c>
      <c r="E29" s="543">
        <v>0</v>
      </c>
      <c r="F29" s="206">
        <f t="shared" si="7"/>
        <v>268067.641</v>
      </c>
      <c r="G29" s="543">
        <v>0</v>
      </c>
      <c r="H29" s="543">
        <v>56952.481</v>
      </c>
      <c r="I29" s="544">
        <f>70223.92+443.4</f>
        <v>70667.319999999992</v>
      </c>
      <c r="J29" s="544">
        <v>70223.92</v>
      </c>
      <c r="K29" s="544">
        <v>70223.92</v>
      </c>
      <c r="L29" s="377"/>
      <c r="M29" s="548"/>
      <c r="N29" s="174">
        <f>('[2]Лист 1'!$F$386+'[2]Лист 1'!$F$387)/1000</f>
        <v>62908.057000000001</v>
      </c>
      <c r="O29" s="53">
        <f>52575.644+10332.413</f>
        <v>62908.057000000001</v>
      </c>
      <c r="P29" s="161">
        <f t="shared" si="8"/>
        <v>0</v>
      </c>
      <c r="R29" s="25"/>
    </row>
    <row r="30" spans="1:23" ht="100.5" customHeight="1" x14ac:dyDescent="0.25">
      <c r="A30" s="328"/>
      <c r="B30" s="549"/>
      <c r="C30" s="331"/>
      <c r="D30" s="48" t="s">
        <v>276</v>
      </c>
      <c r="E30" s="543">
        <v>0</v>
      </c>
      <c r="F30" s="206">
        <f t="shared" si="7"/>
        <v>806.10400000000004</v>
      </c>
      <c r="G30" s="543">
        <v>0</v>
      </c>
      <c r="H30" s="543">
        <v>806.10400000000004</v>
      </c>
      <c r="I30" s="544">
        <v>0</v>
      </c>
      <c r="J30" s="544">
        <v>0</v>
      </c>
      <c r="K30" s="544">
        <v>0</v>
      </c>
      <c r="L30" s="378"/>
      <c r="M30" s="479"/>
      <c r="N30" s="174"/>
      <c r="O30" s="53"/>
      <c r="P30" s="161"/>
      <c r="R30" s="25"/>
    </row>
    <row r="31" spans="1:23" ht="126.75" customHeight="1" x14ac:dyDescent="0.25">
      <c r="A31" s="15" t="s">
        <v>98</v>
      </c>
      <c r="B31" s="483" t="s">
        <v>184</v>
      </c>
      <c r="C31" s="48" t="s">
        <v>146</v>
      </c>
      <c r="D31" s="48" t="s">
        <v>5</v>
      </c>
      <c r="E31" s="49">
        <v>40</v>
      </c>
      <c r="F31" s="206">
        <f t="shared" ref="F31" si="9">SUM(G31:K31)</f>
        <v>384</v>
      </c>
      <c r="G31" s="49">
        <v>80</v>
      </c>
      <c r="H31" s="49">
        <f>52-27</f>
        <v>25</v>
      </c>
      <c r="I31" s="206">
        <v>93</v>
      </c>
      <c r="J31" s="206">
        <v>93</v>
      </c>
      <c r="K31" s="206">
        <v>93</v>
      </c>
      <c r="L31" s="481" t="s">
        <v>11</v>
      </c>
      <c r="M31" s="550" t="s">
        <v>52</v>
      </c>
      <c r="N31" s="174">
        <f>'[2]Лист 1'!$F$391/1000</f>
        <v>105</v>
      </c>
      <c r="O31" s="31">
        <v>105</v>
      </c>
      <c r="P31" s="161">
        <f t="shared" si="8"/>
        <v>0</v>
      </c>
      <c r="R31" s="25"/>
    </row>
    <row r="32" spans="1:23" ht="68.25" customHeight="1" x14ac:dyDescent="0.25">
      <c r="A32" s="326" t="s">
        <v>99</v>
      </c>
      <c r="B32" s="474" t="s">
        <v>246</v>
      </c>
      <c r="C32" s="329" t="s">
        <v>146</v>
      </c>
      <c r="D32" s="48" t="s">
        <v>5</v>
      </c>
      <c r="E32" s="543">
        <v>212</v>
      </c>
      <c r="F32" s="206">
        <f t="shared" si="7"/>
        <v>2575</v>
      </c>
      <c r="G32" s="543">
        <v>118</v>
      </c>
      <c r="H32" s="543">
        <v>116</v>
      </c>
      <c r="I32" s="544">
        <v>750</v>
      </c>
      <c r="J32" s="544">
        <v>780</v>
      </c>
      <c r="K32" s="544">
        <v>811</v>
      </c>
      <c r="L32" s="376" t="s">
        <v>11</v>
      </c>
      <c r="M32" s="475" t="s">
        <v>151</v>
      </c>
      <c r="N32" s="174">
        <f>'[2]Лист 1'!$F$393/1000</f>
        <v>116</v>
      </c>
      <c r="O32" s="53">
        <v>116</v>
      </c>
      <c r="P32" s="161">
        <f t="shared" si="8"/>
        <v>0</v>
      </c>
      <c r="R32" s="25"/>
    </row>
    <row r="33" spans="1:19" ht="146.25" customHeight="1" x14ac:dyDescent="0.25">
      <c r="A33" s="328"/>
      <c r="B33" s="476"/>
      <c r="C33" s="331"/>
      <c r="D33" s="48" t="s">
        <v>23</v>
      </c>
      <c r="E33" s="477">
        <v>9188.7000000000007</v>
      </c>
      <c r="F33" s="206">
        <f t="shared" si="7"/>
        <v>38609.351999999999</v>
      </c>
      <c r="G33" s="477">
        <v>7736.7219999999998</v>
      </c>
      <c r="H33" s="477">
        <v>8400.5400000000009</v>
      </c>
      <c r="I33" s="478">
        <f>6791.03+750</f>
        <v>7541.03</v>
      </c>
      <c r="J33" s="478">
        <f>6671.03+780</f>
        <v>7451.03</v>
      </c>
      <c r="K33" s="478">
        <f>6669.03+811</f>
        <v>7480.03</v>
      </c>
      <c r="L33" s="378"/>
      <c r="M33" s="479"/>
      <c r="N33" s="174">
        <f>('[2]Лист 1'!$F$392+'[2]Лист 1'!$F$394)/1000</f>
        <v>8400.5400000000009</v>
      </c>
      <c r="O33" s="32">
        <v>8400.5400000000009</v>
      </c>
      <c r="P33" s="161">
        <f t="shared" si="8"/>
        <v>0</v>
      </c>
    </row>
    <row r="34" spans="1:19" ht="37.5" customHeight="1" x14ac:dyDescent="0.25">
      <c r="A34" s="326" t="s">
        <v>100</v>
      </c>
      <c r="B34" s="546" t="s">
        <v>185</v>
      </c>
      <c r="C34" s="329" t="s">
        <v>146</v>
      </c>
      <c r="D34" s="48" t="s">
        <v>5</v>
      </c>
      <c r="E34" s="551">
        <v>0</v>
      </c>
      <c r="F34" s="206">
        <f t="shared" ref="F34" si="10">SUM(G34:K34)</f>
        <v>0</v>
      </c>
      <c r="G34" s="551">
        <v>0</v>
      </c>
      <c r="H34" s="551">
        <v>0</v>
      </c>
      <c r="I34" s="552">
        <v>0</v>
      </c>
      <c r="J34" s="552">
        <v>0</v>
      </c>
      <c r="K34" s="552">
        <v>0</v>
      </c>
      <c r="L34" s="486" t="s">
        <v>41</v>
      </c>
      <c r="M34" s="530" t="s">
        <v>214</v>
      </c>
      <c r="N34" s="174">
        <v>0</v>
      </c>
      <c r="O34" s="54">
        <v>0</v>
      </c>
      <c r="P34" s="161">
        <f t="shared" si="8"/>
        <v>0</v>
      </c>
      <c r="Q34" s="26"/>
      <c r="R34" s="26"/>
      <c r="S34" s="26"/>
    </row>
    <row r="35" spans="1:19" ht="59.25" customHeight="1" x14ac:dyDescent="0.25">
      <c r="A35" s="327"/>
      <c r="B35" s="547"/>
      <c r="C35" s="330"/>
      <c r="D35" s="48" t="s">
        <v>23</v>
      </c>
      <c r="E35" s="477">
        <v>94414.815000000002</v>
      </c>
      <c r="F35" s="206">
        <f t="shared" si="7"/>
        <v>9705.8140000000003</v>
      </c>
      <c r="G35" s="477">
        <f>115.914+122.975</f>
        <v>238.88900000000001</v>
      </c>
      <c r="H35" s="477">
        <f>3144.775+577</f>
        <v>3721.7750000000001</v>
      </c>
      <c r="I35" s="478">
        <f>1894.85+176</f>
        <v>2070.85</v>
      </c>
      <c r="J35" s="478">
        <v>1837.15</v>
      </c>
      <c r="K35" s="478">
        <v>1837.15</v>
      </c>
      <c r="L35" s="553"/>
      <c r="M35" s="531"/>
      <c r="N35" s="174">
        <f>('[2]Лист 1'!$F$395+'[2]Лист 1'!$F$396+'[2]Лист 1'!$F$397+'[2]Лист 1'!$F$400)/1000</f>
        <v>3721.7750000000001</v>
      </c>
      <c r="O35" s="32">
        <f>2174.747+802.1+167.928+577</f>
        <v>3721.7749999999996</v>
      </c>
      <c r="P35" s="161">
        <f t="shared" si="8"/>
        <v>0</v>
      </c>
      <c r="Q35" s="26"/>
    </row>
    <row r="36" spans="1:19" ht="93.75" x14ac:dyDescent="0.25">
      <c r="A36" s="327"/>
      <c r="B36" s="547"/>
      <c r="C36" s="330"/>
      <c r="D36" s="244" t="s">
        <v>276</v>
      </c>
      <c r="E36" s="554">
        <v>0</v>
      </c>
      <c r="F36" s="206">
        <f t="shared" si="7"/>
        <v>753</v>
      </c>
      <c r="G36" s="554">
        <v>0</v>
      </c>
      <c r="H36" s="554">
        <v>577</v>
      </c>
      <c r="I36" s="555">
        <v>176</v>
      </c>
      <c r="J36" s="555">
        <v>0</v>
      </c>
      <c r="K36" s="555">
        <v>0</v>
      </c>
      <c r="L36" s="553"/>
      <c r="M36" s="531"/>
      <c r="N36" s="174">
        <v>577</v>
      </c>
      <c r="O36" s="55">
        <v>577</v>
      </c>
      <c r="P36" s="161">
        <f t="shared" si="8"/>
        <v>0</v>
      </c>
      <c r="Q36" s="26"/>
    </row>
    <row r="37" spans="1:19" ht="117.75" customHeight="1" x14ac:dyDescent="0.25">
      <c r="A37" s="327"/>
      <c r="B37" s="547"/>
      <c r="C37" s="330"/>
      <c r="D37" s="237" t="s">
        <v>89</v>
      </c>
      <c r="E37" s="556">
        <v>11214.246999999999</v>
      </c>
      <c r="F37" s="206">
        <f t="shared" si="7"/>
        <v>34509.050089999997</v>
      </c>
      <c r="G37" s="556">
        <f>13232.584+4590.387+302.494</f>
        <v>18125.465</v>
      </c>
      <c r="H37" s="556">
        <v>11044.512000000001</v>
      </c>
      <c r="I37" s="557">
        <f>379.07309+4276+684</f>
        <v>5339.0730899999999</v>
      </c>
      <c r="J37" s="557">
        <v>0</v>
      </c>
      <c r="K37" s="557">
        <v>0</v>
      </c>
      <c r="L37" s="553"/>
      <c r="M37" s="531"/>
      <c r="N37" s="174">
        <f>('[2]Лист 1'!$F$398+'[2]Лист 1'!$F$399)/1000</f>
        <v>8869.4519999999993</v>
      </c>
      <c r="O37" s="56">
        <f>805.556+3706.736+369.16+3988</f>
        <v>8869.4519999999993</v>
      </c>
      <c r="P37" s="161">
        <f t="shared" si="8"/>
        <v>0</v>
      </c>
    </row>
    <row r="38" spans="1:19" ht="86.25" customHeight="1" x14ac:dyDescent="0.25">
      <c r="A38" s="328"/>
      <c r="B38" s="549"/>
      <c r="C38" s="331"/>
      <c r="D38" s="244" t="s">
        <v>51</v>
      </c>
      <c r="E38" s="558">
        <v>48999.718000000001</v>
      </c>
      <c r="F38" s="559">
        <f t="shared" si="7"/>
        <v>231130.03690000001</v>
      </c>
      <c r="G38" s="558">
        <f>37701.582-2675.545</f>
        <v>35026.037000000004</v>
      </c>
      <c r="H38" s="556">
        <f>46513.052-7770.167</f>
        <v>38742.885000000002</v>
      </c>
      <c r="I38" s="559">
        <f>73631.836-16453.3331</f>
        <v>57178.502899999992</v>
      </c>
      <c r="J38" s="559">
        <v>50091.305999999997</v>
      </c>
      <c r="K38" s="559">
        <v>50091.305999999997</v>
      </c>
      <c r="L38" s="488"/>
      <c r="M38" s="560"/>
      <c r="N38" s="174">
        <v>49238.548000000003</v>
      </c>
      <c r="O38" s="56">
        <f>37701.582+19500.593-7963.627</f>
        <v>49238.548000000003</v>
      </c>
      <c r="P38" s="161">
        <f t="shared" si="8"/>
        <v>0</v>
      </c>
      <c r="Q38" s="6" t="s">
        <v>294</v>
      </c>
      <c r="R38" s="25"/>
    </row>
    <row r="39" spans="1:19" ht="78" customHeight="1" x14ac:dyDescent="0.25">
      <c r="A39" s="326" t="s">
        <v>101</v>
      </c>
      <c r="B39" s="546" t="s">
        <v>264</v>
      </c>
      <c r="C39" s="329" t="s">
        <v>146</v>
      </c>
      <c r="D39" s="48" t="s">
        <v>5</v>
      </c>
      <c r="E39" s="49">
        <v>1000</v>
      </c>
      <c r="F39" s="206">
        <f t="shared" ref="F39:F40" si="11">SUM(G39:K39)</f>
        <v>3000</v>
      </c>
      <c r="G39" s="49">
        <f>2000</f>
        <v>2000</v>
      </c>
      <c r="H39" s="49">
        <v>1000</v>
      </c>
      <c r="I39" s="206">
        <v>0</v>
      </c>
      <c r="J39" s="206">
        <v>0</v>
      </c>
      <c r="K39" s="206">
        <v>0</v>
      </c>
      <c r="L39" s="376" t="s">
        <v>11</v>
      </c>
      <c r="M39" s="292" t="s">
        <v>216</v>
      </c>
      <c r="N39" s="174">
        <f>'[2]Лист 1'!$F$401/1000</f>
        <v>1000</v>
      </c>
      <c r="O39" s="31">
        <v>1000</v>
      </c>
      <c r="P39" s="161">
        <f t="shared" si="8"/>
        <v>0</v>
      </c>
      <c r="R39" s="25"/>
    </row>
    <row r="40" spans="1:19" ht="90.75" customHeight="1" x14ac:dyDescent="0.25">
      <c r="A40" s="328"/>
      <c r="B40" s="549"/>
      <c r="C40" s="331"/>
      <c r="D40" s="48" t="s">
        <v>23</v>
      </c>
      <c r="E40" s="477">
        <f>262-162</f>
        <v>100</v>
      </c>
      <c r="F40" s="206">
        <f t="shared" si="11"/>
        <v>300</v>
      </c>
      <c r="G40" s="477">
        <v>200</v>
      </c>
      <c r="H40" s="477">
        <f>1300-1200</f>
        <v>100</v>
      </c>
      <c r="I40" s="478">
        <v>0</v>
      </c>
      <c r="J40" s="478">
        <v>0</v>
      </c>
      <c r="K40" s="478">
        <v>0</v>
      </c>
      <c r="L40" s="378"/>
      <c r="M40" s="294"/>
      <c r="N40" s="174">
        <f>'[2]Лист 1'!$F$402/1000</f>
        <v>100</v>
      </c>
      <c r="O40" s="32">
        <f>1300-1200</f>
        <v>100</v>
      </c>
      <c r="P40" s="161">
        <f t="shared" si="8"/>
        <v>0</v>
      </c>
      <c r="Q40" s="26"/>
    </row>
    <row r="41" spans="1:19" ht="126.75" customHeight="1" x14ac:dyDescent="0.25">
      <c r="A41" s="326" t="s">
        <v>102</v>
      </c>
      <c r="B41" s="546" t="s">
        <v>327</v>
      </c>
      <c r="C41" s="329" t="s">
        <v>146</v>
      </c>
      <c r="D41" s="48" t="s">
        <v>5</v>
      </c>
      <c r="E41" s="49">
        <v>0</v>
      </c>
      <c r="F41" s="206">
        <f t="shared" ref="F41:F42" si="12">SUM(G41:K41)</f>
        <v>0</v>
      </c>
      <c r="G41" s="49">
        <v>0</v>
      </c>
      <c r="H41" s="49">
        <v>0</v>
      </c>
      <c r="I41" s="206">
        <v>0</v>
      </c>
      <c r="J41" s="206">
        <v>0</v>
      </c>
      <c r="K41" s="206">
        <v>0</v>
      </c>
      <c r="L41" s="376" t="s">
        <v>11</v>
      </c>
      <c r="M41" s="292" t="s">
        <v>217</v>
      </c>
      <c r="N41" s="174">
        <v>0</v>
      </c>
      <c r="O41" s="31">
        <v>0</v>
      </c>
      <c r="P41" s="161">
        <f t="shared" si="8"/>
        <v>0</v>
      </c>
      <c r="R41" s="25"/>
    </row>
    <row r="42" spans="1:19" ht="123" customHeight="1" x14ac:dyDescent="0.25">
      <c r="A42" s="328"/>
      <c r="B42" s="549"/>
      <c r="C42" s="331"/>
      <c r="D42" s="48" t="s">
        <v>23</v>
      </c>
      <c r="E42" s="477">
        <v>0</v>
      </c>
      <c r="F42" s="206">
        <f t="shared" si="12"/>
        <v>0</v>
      </c>
      <c r="G42" s="477">
        <v>0</v>
      </c>
      <c r="H42" s="477">
        <v>0</v>
      </c>
      <c r="I42" s="478">
        <v>0</v>
      </c>
      <c r="J42" s="478">
        <v>0</v>
      </c>
      <c r="K42" s="478">
        <v>0</v>
      </c>
      <c r="L42" s="378"/>
      <c r="M42" s="294"/>
      <c r="N42" s="174">
        <v>0</v>
      </c>
      <c r="O42" s="32">
        <v>0</v>
      </c>
      <c r="P42" s="161">
        <f t="shared" si="8"/>
        <v>0</v>
      </c>
      <c r="Q42" s="26"/>
    </row>
    <row r="43" spans="1:19" ht="81" customHeight="1" x14ac:dyDescent="0.25">
      <c r="A43" s="326" t="s">
        <v>103</v>
      </c>
      <c r="B43" s="546" t="s">
        <v>328</v>
      </c>
      <c r="C43" s="329" t="s">
        <v>146</v>
      </c>
      <c r="D43" s="48" t="s">
        <v>5</v>
      </c>
      <c r="E43" s="49">
        <v>0</v>
      </c>
      <c r="F43" s="206">
        <f t="shared" ref="F43:F44" si="13">SUM(G43:K43)</f>
        <v>0</v>
      </c>
      <c r="G43" s="49">
        <v>0</v>
      </c>
      <c r="H43" s="49">
        <v>0</v>
      </c>
      <c r="I43" s="206">
        <v>0</v>
      </c>
      <c r="J43" s="206">
        <v>0</v>
      </c>
      <c r="K43" s="206">
        <v>0</v>
      </c>
      <c r="L43" s="376" t="s">
        <v>11</v>
      </c>
      <c r="M43" s="475" t="s">
        <v>152</v>
      </c>
      <c r="N43" s="174">
        <v>0</v>
      </c>
      <c r="O43" s="31">
        <v>0</v>
      </c>
      <c r="P43" s="161">
        <f t="shared" si="8"/>
        <v>0</v>
      </c>
      <c r="R43" s="25"/>
    </row>
    <row r="44" spans="1:19" ht="92.25" customHeight="1" x14ac:dyDescent="0.25">
      <c r="A44" s="328"/>
      <c r="B44" s="549"/>
      <c r="C44" s="331"/>
      <c r="D44" s="48" t="s">
        <v>23</v>
      </c>
      <c r="E44" s="477">
        <v>0</v>
      </c>
      <c r="F44" s="206">
        <f t="shared" si="13"/>
        <v>0</v>
      </c>
      <c r="G44" s="477">
        <v>0</v>
      </c>
      <c r="H44" s="477">
        <v>0</v>
      </c>
      <c r="I44" s="478">
        <v>0</v>
      </c>
      <c r="J44" s="478">
        <v>0</v>
      </c>
      <c r="K44" s="478">
        <v>0</v>
      </c>
      <c r="L44" s="378"/>
      <c r="M44" s="479"/>
      <c r="N44" s="174">
        <v>0</v>
      </c>
      <c r="O44" s="32">
        <v>0</v>
      </c>
      <c r="P44" s="161">
        <f t="shared" si="8"/>
        <v>0</v>
      </c>
      <c r="Q44" s="26"/>
    </row>
    <row r="45" spans="1:19" ht="91.5" customHeight="1" x14ac:dyDescent="0.25">
      <c r="A45" s="326" t="s">
        <v>104</v>
      </c>
      <c r="B45" s="546" t="s">
        <v>315</v>
      </c>
      <c r="C45" s="329" t="s">
        <v>146</v>
      </c>
      <c r="D45" s="48" t="s">
        <v>5</v>
      </c>
      <c r="E45" s="49">
        <v>1350</v>
      </c>
      <c r="F45" s="206">
        <f t="shared" ref="F45:F46" si="14">SUM(G45:K45)</f>
        <v>6720</v>
      </c>
      <c r="G45" s="49">
        <v>0</v>
      </c>
      <c r="H45" s="49">
        <v>1680</v>
      </c>
      <c r="I45" s="206">
        <v>1680</v>
      </c>
      <c r="J45" s="206">
        <v>0</v>
      </c>
      <c r="K45" s="206">
        <v>3360</v>
      </c>
      <c r="L45" s="376" t="s">
        <v>11</v>
      </c>
      <c r="M45" s="475" t="s">
        <v>325</v>
      </c>
      <c r="N45" s="174">
        <f>'[2]Лист 1'!$F$403/1000</f>
        <v>1680</v>
      </c>
      <c r="O45" s="31">
        <v>1680</v>
      </c>
      <c r="P45" s="161">
        <f t="shared" si="8"/>
        <v>0</v>
      </c>
      <c r="R45" s="25"/>
    </row>
    <row r="46" spans="1:19" ht="81.75" customHeight="1" x14ac:dyDescent="0.25">
      <c r="A46" s="328"/>
      <c r="B46" s="549"/>
      <c r="C46" s="331"/>
      <c r="D46" s="48" t="s">
        <v>23</v>
      </c>
      <c r="E46" s="477">
        <v>2250</v>
      </c>
      <c r="F46" s="206">
        <f t="shared" si="14"/>
        <v>840</v>
      </c>
      <c r="G46" s="477">
        <f>2000-2000</f>
        <v>0</v>
      </c>
      <c r="H46" s="477">
        <v>420</v>
      </c>
      <c r="I46" s="478">
        <v>420</v>
      </c>
      <c r="J46" s="478">
        <v>0</v>
      </c>
      <c r="K46" s="478">
        <v>0</v>
      </c>
      <c r="L46" s="378"/>
      <c r="M46" s="479"/>
      <c r="N46" s="174">
        <f>'[2]Лист 1'!$F$404/1000</f>
        <v>420</v>
      </c>
      <c r="O46" s="32">
        <v>420</v>
      </c>
      <c r="P46" s="161">
        <f t="shared" si="8"/>
        <v>0</v>
      </c>
      <c r="Q46" s="26"/>
    </row>
    <row r="47" spans="1:19" ht="43.5" customHeight="1" x14ac:dyDescent="0.25">
      <c r="A47" s="326" t="s">
        <v>105</v>
      </c>
      <c r="B47" s="474" t="s">
        <v>186</v>
      </c>
      <c r="C47" s="329" t="s">
        <v>146</v>
      </c>
      <c r="D47" s="48" t="s">
        <v>5</v>
      </c>
      <c r="E47" s="49">
        <v>965.8</v>
      </c>
      <c r="F47" s="206">
        <f t="shared" si="7"/>
        <v>0</v>
      </c>
      <c r="G47" s="49">
        <v>0</v>
      </c>
      <c r="H47" s="49">
        <v>0</v>
      </c>
      <c r="I47" s="206">
        <v>0</v>
      </c>
      <c r="J47" s="206">
        <v>0</v>
      </c>
      <c r="K47" s="206">
        <v>0</v>
      </c>
      <c r="L47" s="376" t="s">
        <v>11</v>
      </c>
      <c r="M47" s="475" t="s">
        <v>45</v>
      </c>
      <c r="N47" s="174">
        <v>0</v>
      </c>
      <c r="O47" s="31">
        <v>0</v>
      </c>
      <c r="P47" s="161">
        <f t="shared" si="8"/>
        <v>0</v>
      </c>
    </row>
    <row r="48" spans="1:19" ht="75" x14ac:dyDescent="0.3">
      <c r="A48" s="328"/>
      <c r="B48" s="476"/>
      <c r="C48" s="331"/>
      <c r="D48" s="48" t="s">
        <v>23</v>
      </c>
      <c r="E48" s="477">
        <v>6372.4089999999997</v>
      </c>
      <c r="F48" s="206">
        <f t="shared" si="7"/>
        <v>40698.246999999996</v>
      </c>
      <c r="G48" s="477">
        <f>7717.219-188.1+21.198</f>
        <v>7550.317</v>
      </c>
      <c r="H48" s="477">
        <v>7736.25</v>
      </c>
      <c r="I48" s="478">
        <v>8470.56</v>
      </c>
      <c r="J48" s="478">
        <v>8470.56</v>
      </c>
      <c r="K48" s="478">
        <v>8470.56</v>
      </c>
      <c r="L48" s="378"/>
      <c r="M48" s="479"/>
      <c r="N48" s="174">
        <f>('[2]Лист 1'!$F$405+'[2]Лист 1'!$F$406+'[2]Лист 1'!$F$407)/1000</f>
        <v>7736.25</v>
      </c>
      <c r="O48" s="32">
        <f>7800.6-50.35-14</f>
        <v>7736.25</v>
      </c>
      <c r="P48" s="161">
        <f t="shared" si="8"/>
        <v>0</v>
      </c>
      <c r="Q48" s="57" t="s">
        <v>291</v>
      </c>
    </row>
    <row r="49" spans="1:22" ht="183.75" customHeight="1" x14ac:dyDescent="0.25">
      <c r="A49" s="326" t="s">
        <v>106</v>
      </c>
      <c r="B49" s="561" t="s">
        <v>187</v>
      </c>
      <c r="C49" s="329" t="s">
        <v>146</v>
      </c>
      <c r="D49" s="48" t="s">
        <v>23</v>
      </c>
      <c r="E49" s="477">
        <v>33825.199999999997</v>
      </c>
      <c r="F49" s="206">
        <f t="shared" si="7"/>
        <v>17061.010000000002</v>
      </c>
      <c r="G49" s="477">
        <v>6210.2</v>
      </c>
      <c r="H49" s="477">
        <v>3252</v>
      </c>
      <c r="I49" s="478">
        <f>575.41+6170.4+751+102</f>
        <v>7598.8099999999995</v>
      </c>
      <c r="J49" s="478">
        <v>0</v>
      </c>
      <c r="K49" s="478">
        <v>0</v>
      </c>
      <c r="L49" s="486" t="s">
        <v>11</v>
      </c>
      <c r="M49" s="475" t="s">
        <v>337</v>
      </c>
      <c r="N49" s="174">
        <f>'[2]Лист 1'!$F$408/1000</f>
        <v>3252</v>
      </c>
      <c r="O49" s="32">
        <v>3252</v>
      </c>
      <c r="P49" s="161">
        <f t="shared" si="8"/>
        <v>0</v>
      </c>
    </row>
    <row r="50" spans="1:22" ht="206.25" customHeight="1" x14ac:dyDescent="0.25">
      <c r="A50" s="328"/>
      <c r="B50" s="562"/>
      <c r="C50" s="331"/>
      <c r="D50" s="48" t="s">
        <v>276</v>
      </c>
      <c r="E50" s="477">
        <v>0</v>
      </c>
      <c r="F50" s="206">
        <f t="shared" si="7"/>
        <v>6170.4</v>
      </c>
      <c r="G50" s="477">
        <v>0</v>
      </c>
      <c r="H50" s="477">
        <v>0</v>
      </c>
      <c r="I50" s="478">
        <v>6170.4</v>
      </c>
      <c r="J50" s="478">
        <v>0</v>
      </c>
      <c r="K50" s="478">
        <v>0</v>
      </c>
      <c r="L50" s="488"/>
      <c r="M50" s="479"/>
      <c r="N50" s="174"/>
      <c r="O50" s="32"/>
      <c r="P50" s="161"/>
    </row>
    <row r="51" spans="1:22" ht="58.5" customHeight="1" x14ac:dyDescent="0.25">
      <c r="A51" s="563" t="s">
        <v>107</v>
      </c>
      <c r="B51" s="454" t="s">
        <v>188</v>
      </c>
      <c r="C51" s="329" t="s">
        <v>146</v>
      </c>
      <c r="D51" s="48" t="s">
        <v>23</v>
      </c>
      <c r="E51" s="564">
        <f>2379.3+446.885+1263.765-1065</f>
        <v>3024.9500000000007</v>
      </c>
      <c r="F51" s="206">
        <f t="shared" si="7"/>
        <v>52857.909</v>
      </c>
      <c r="G51" s="564">
        <v>0</v>
      </c>
      <c r="H51" s="564">
        <v>30460.710999999999</v>
      </c>
      <c r="I51" s="565">
        <f>21481.34+915.858</f>
        <v>22397.198</v>
      </c>
      <c r="J51" s="565">
        <v>0</v>
      </c>
      <c r="K51" s="565">
        <v>0</v>
      </c>
      <c r="L51" s="566" t="s">
        <v>11</v>
      </c>
      <c r="M51" s="567" t="s">
        <v>71</v>
      </c>
      <c r="N51" s="174">
        <f>('[2]Лист 1'!$F$410+'[2]Лист 1'!$F$411+'[2]Лист 1'!$F$412)/1000</f>
        <v>34626.519999999997</v>
      </c>
      <c r="O51" s="58">
        <v>34626.519999999997</v>
      </c>
      <c r="P51" s="161">
        <f t="shared" si="8"/>
        <v>0</v>
      </c>
      <c r="R51" s="26"/>
      <c r="S51" s="26"/>
      <c r="T51" s="26"/>
    </row>
    <row r="52" spans="1:22" ht="93.75" x14ac:dyDescent="0.25">
      <c r="A52" s="568"/>
      <c r="B52" s="456"/>
      <c r="C52" s="330"/>
      <c r="D52" s="48" t="s">
        <v>276</v>
      </c>
      <c r="E52" s="564">
        <v>0</v>
      </c>
      <c r="F52" s="206">
        <f t="shared" si="7"/>
        <v>51942.050999999999</v>
      </c>
      <c r="G52" s="564">
        <v>0</v>
      </c>
      <c r="H52" s="564">
        <v>30460.710999999999</v>
      </c>
      <c r="I52" s="565">
        <v>21481.34</v>
      </c>
      <c r="J52" s="565">
        <v>0</v>
      </c>
      <c r="K52" s="565">
        <v>0</v>
      </c>
      <c r="L52" s="569"/>
      <c r="M52" s="570"/>
      <c r="N52" s="174">
        <v>34626.519999999997</v>
      </c>
      <c r="O52" s="58">
        <f>49.35+34558.47+18.7</f>
        <v>34626.519999999997</v>
      </c>
      <c r="P52" s="161">
        <f t="shared" si="8"/>
        <v>0</v>
      </c>
      <c r="R52" s="26"/>
      <c r="S52" s="26"/>
      <c r="T52" s="26"/>
    </row>
    <row r="53" spans="1:22" ht="115.5" customHeight="1" x14ac:dyDescent="0.25">
      <c r="A53" s="571"/>
      <c r="B53" s="458"/>
      <c r="C53" s="331"/>
      <c r="D53" s="48" t="s">
        <v>89</v>
      </c>
      <c r="E53" s="564">
        <v>0</v>
      </c>
      <c r="F53" s="206">
        <f t="shared" si="7"/>
        <v>1445.7559999999999</v>
      </c>
      <c r="G53" s="564">
        <v>0</v>
      </c>
      <c r="H53" s="564">
        <v>1090</v>
      </c>
      <c r="I53" s="565">
        <v>355.75599999999997</v>
      </c>
      <c r="J53" s="565">
        <v>0</v>
      </c>
      <c r="K53" s="565">
        <v>0</v>
      </c>
      <c r="L53" s="572"/>
      <c r="M53" s="573"/>
      <c r="N53" s="174">
        <f>'[2]Лист 1'!$F$409/1000</f>
        <v>1090</v>
      </c>
      <c r="O53" s="58">
        <v>1090</v>
      </c>
      <c r="P53" s="161">
        <f t="shared" si="8"/>
        <v>0</v>
      </c>
      <c r="R53" s="26"/>
      <c r="S53" s="26"/>
      <c r="T53" s="26"/>
    </row>
    <row r="54" spans="1:22" ht="68.25" customHeight="1" x14ac:dyDescent="0.25">
      <c r="A54" s="563" t="s">
        <v>108</v>
      </c>
      <c r="B54" s="574" t="s">
        <v>189</v>
      </c>
      <c r="C54" s="329" t="s">
        <v>146</v>
      </c>
      <c r="D54" s="48" t="s">
        <v>23</v>
      </c>
      <c r="E54" s="575">
        <f>1049.824</f>
        <v>1049.8240000000001</v>
      </c>
      <c r="F54" s="206">
        <f t="shared" si="7"/>
        <v>2982.6379999999999</v>
      </c>
      <c r="G54" s="575">
        <v>2119.7779999999998</v>
      </c>
      <c r="H54" s="575">
        <v>862.86</v>
      </c>
      <c r="I54" s="576">
        <v>0</v>
      </c>
      <c r="J54" s="576">
        <v>0</v>
      </c>
      <c r="K54" s="576">
        <v>0</v>
      </c>
      <c r="L54" s="566" t="s">
        <v>140</v>
      </c>
      <c r="M54" s="567" t="s">
        <v>278</v>
      </c>
      <c r="N54" s="174">
        <f>'[2]Лист 1'!$F$414/1000</f>
        <v>395</v>
      </c>
      <c r="O54" s="136">
        <v>395</v>
      </c>
      <c r="P54" s="161">
        <f t="shared" si="8"/>
        <v>0</v>
      </c>
      <c r="Q54" s="26"/>
      <c r="R54" s="27"/>
      <c r="S54" s="27"/>
      <c r="T54" s="26"/>
      <c r="U54" s="26"/>
    </row>
    <row r="55" spans="1:22" ht="96.75" customHeight="1" x14ac:dyDescent="0.25">
      <c r="A55" s="568"/>
      <c r="B55" s="577"/>
      <c r="C55" s="330"/>
      <c r="D55" s="48" t="s">
        <v>276</v>
      </c>
      <c r="E55" s="575">
        <v>0</v>
      </c>
      <c r="F55" s="206">
        <f t="shared" si="7"/>
        <v>862.86</v>
      </c>
      <c r="G55" s="575">
        <v>0</v>
      </c>
      <c r="H55" s="575">
        <v>862.86</v>
      </c>
      <c r="I55" s="576">
        <v>0</v>
      </c>
      <c r="J55" s="576">
        <v>0</v>
      </c>
      <c r="K55" s="576">
        <v>0</v>
      </c>
      <c r="L55" s="569"/>
      <c r="M55" s="570"/>
      <c r="N55" s="174">
        <v>395</v>
      </c>
      <c r="O55" s="136">
        <v>395</v>
      </c>
      <c r="P55" s="161">
        <f t="shared" si="8"/>
        <v>0</v>
      </c>
      <c r="Q55" s="26" t="s">
        <v>289</v>
      </c>
      <c r="R55" s="27"/>
      <c r="S55" s="27"/>
      <c r="T55" s="26"/>
      <c r="U55" s="26"/>
    </row>
    <row r="56" spans="1:22" ht="126.75" customHeight="1" x14ac:dyDescent="0.25">
      <c r="A56" s="571"/>
      <c r="B56" s="578"/>
      <c r="C56" s="331"/>
      <c r="D56" s="14" t="s">
        <v>89</v>
      </c>
      <c r="E56" s="433">
        <v>620.24599999999998</v>
      </c>
      <c r="F56" s="206">
        <f t="shared" si="7"/>
        <v>3383.1329999999998</v>
      </c>
      <c r="G56" s="433">
        <f>984.391-302.494</f>
        <v>681.89699999999993</v>
      </c>
      <c r="H56" s="575">
        <f>1195+286.236</f>
        <v>1481.2359999999999</v>
      </c>
      <c r="I56" s="422">
        <f>2300+100-1180</f>
        <v>1220</v>
      </c>
      <c r="J56" s="422">
        <v>0</v>
      </c>
      <c r="K56" s="422">
        <v>0</v>
      </c>
      <c r="L56" s="572"/>
      <c r="M56" s="573"/>
      <c r="N56" s="174">
        <f>'[2]Лист 1'!$F$413/1000</f>
        <v>1195</v>
      </c>
      <c r="O56" s="137">
        <v>0</v>
      </c>
      <c r="P56" s="161">
        <f t="shared" si="8"/>
        <v>1195</v>
      </c>
      <c r="Q56" s="26"/>
    </row>
    <row r="57" spans="1:22" ht="39.75" customHeight="1" x14ac:dyDescent="0.25">
      <c r="A57" s="460" t="s">
        <v>115</v>
      </c>
      <c r="B57" s="427" t="s">
        <v>190</v>
      </c>
      <c r="C57" s="276" t="s">
        <v>146</v>
      </c>
      <c r="D57" s="14" t="s">
        <v>5</v>
      </c>
      <c r="E57" s="433">
        <v>0</v>
      </c>
      <c r="F57" s="206">
        <f>SUM(G57:K57)</f>
        <v>144596.03100000002</v>
      </c>
      <c r="G57" s="433">
        <f>G61+G64</f>
        <v>10954.141</v>
      </c>
      <c r="H57" s="433">
        <f t="shared" ref="H57:K57" si="15">H61+H64</f>
        <v>54478.89</v>
      </c>
      <c r="I57" s="422">
        <f>I61+I64</f>
        <v>79163</v>
      </c>
      <c r="J57" s="422">
        <f t="shared" si="15"/>
        <v>0</v>
      </c>
      <c r="K57" s="422">
        <f t="shared" si="15"/>
        <v>0</v>
      </c>
      <c r="L57" s="566" t="s">
        <v>140</v>
      </c>
      <c r="M57" s="292" t="s">
        <v>275</v>
      </c>
      <c r="N57" s="174">
        <f>('[2]Лист 1'!$F$415+'[2]Лист 1'!$F$416+'[2]Лист 1'!$F$417)/1000</f>
        <v>131029.28949</v>
      </c>
      <c r="O57" s="24">
        <f t="shared" ref="O57" si="16">O61+O64</f>
        <v>131029.28949</v>
      </c>
      <c r="P57" s="161">
        <f t="shared" si="8"/>
        <v>0</v>
      </c>
      <c r="Q57" s="26"/>
    </row>
    <row r="58" spans="1:22" ht="59.25" customHeight="1" x14ac:dyDescent="0.25">
      <c r="A58" s="462"/>
      <c r="B58" s="432"/>
      <c r="C58" s="277"/>
      <c r="D58" s="14" t="s">
        <v>12</v>
      </c>
      <c r="E58" s="428">
        <v>0</v>
      </c>
      <c r="F58" s="206">
        <f t="shared" si="7"/>
        <v>53480.985999999997</v>
      </c>
      <c r="G58" s="428">
        <f>G62+G65</f>
        <v>8640</v>
      </c>
      <c r="H58" s="428">
        <f t="shared" ref="H58:K59" si="17">H62+H65</f>
        <v>32423.386000000002</v>
      </c>
      <c r="I58" s="429">
        <f>I62+I65</f>
        <v>12417.6</v>
      </c>
      <c r="J58" s="429">
        <f t="shared" si="17"/>
        <v>0</v>
      </c>
      <c r="K58" s="429">
        <f t="shared" si="17"/>
        <v>0</v>
      </c>
      <c r="L58" s="569"/>
      <c r="M58" s="293"/>
      <c r="N58" s="174">
        <f>('[2]Лист 1'!$F$418+'[2]Лист 1'!$F$419+'[2]Лист 1'!$F$420)/1000</f>
        <v>42627.6</v>
      </c>
      <c r="O58" s="22">
        <f t="shared" ref="O58" si="18">O62+O65</f>
        <v>42627.6</v>
      </c>
      <c r="P58" s="161">
        <f t="shared" si="8"/>
        <v>0</v>
      </c>
      <c r="Q58" s="26"/>
      <c r="R58" s="27"/>
      <c r="S58" s="27"/>
      <c r="T58" s="27"/>
      <c r="U58" s="27"/>
    </row>
    <row r="59" spans="1:22" ht="105.75" customHeight="1" x14ac:dyDescent="0.25">
      <c r="A59" s="462"/>
      <c r="B59" s="432"/>
      <c r="C59" s="277"/>
      <c r="D59" s="579" t="s">
        <v>276</v>
      </c>
      <c r="E59" s="428">
        <v>0</v>
      </c>
      <c r="F59" s="206">
        <f t="shared" si="7"/>
        <v>40421.985999999997</v>
      </c>
      <c r="G59" s="428">
        <v>0</v>
      </c>
      <c r="H59" s="428">
        <f t="shared" si="17"/>
        <v>32423.385999999999</v>
      </c>
      <c r="I59" s="429">
        <f>I66+I63</f>
        <v>7998.6</v>
      </c>
      <c r="J59" s="429">
        <v>0</v>
      </c>
      <c r="K59" s="429">
        <v>0</v>
      </c>
      <c r="L59" s="569"/>
      <c r="M59" s="293"/>
      <c r="N59" s="174">
        <v>42627.6</v>
      </c>
      <c r="O59" s="22">
        <f t="shared" ref="O59" si="19">O63+O66</f>
        <v>42627.6</v>
      </c>
      <c r="P59" s="161">
        <f t="shared" si="8"/>
        <v>0</v>
      </c>
      <c r="Q59" s="26"/>
      <c r="R59" s="27"/>
      <c r="S59" s="27"/>
      <c r="T59" s="27"/>
      <c r="U59" s="27"/>
    </row>
    <row r="60" spans="1:22" ht="123" customHeight="1" x14ac:dyDescent="0.25">
      <c r="A60" s="462"/>
      <c r="B60" s="434"/>
      <c r="C60" s="278"/>
      <c r="D60" s="579" t="s">
        <v>89</v>
      </c>
      <c r="E60" s="428">
        <v>0</v>
      </c>
      <c r="F60" s="206">
        <f t="shared" si="7"/>
        <v>0</v>
      </c>
      <c r="G60" s="428">
        <v>0</v>
      </c>
      <c r="H60" s="428">
        <f>20000-20000</f>
        <v>0</v>
      </c>
      <c r="I60" s="429">
        <v>0</v>
      </c>
      <c r="J60" s="429">
        <f>20000-20000</f>
        <v>0</v>
      </c>
      <c r="K60" s="429">
        <v>0</v>
      </c>
      <c r="L60" s="569"/>
      <c r="M60" s="293"/>
      <c r="N60" s="174">
        <v>0</v>
      </c>
      <c r="O60" s="22">
        <f>20000-20000</f>
        <v>0</v>
      </c>
      <c r="P60" s="161">
        <f t="shared" si="8"/>
        <v>0</v>
      </c>
      <c r="Q60" s="26"/>
      <c r="R60" s="27"/>
      <c r="S60" s="27"/>
      <c r="T60" s="27"/>
      <c r="U60" s="27"/>
      <c r="V60" s="27"/>
    </row>
    <row r="61" spans="1:22" ht="46.5" customHeight="1" x14ac:dyDescent="0.25">
      <c r="A61" s="462"/>
      <c r="B61" s="427" t="s">
        <v>357</v>
      </c>
      <c r="C61" s="276" t="s">
        <v>162</v>
      </c>
      <c r="D61" s="579" t="s">
        <v>5</v>
      </c>
      <c r="E61" s="428">
        <v>0</v>
      </c>
      <c r="F61" s="206">
        <f t="shared" si="7"/>
        <v>72608.031000000003</v>
      </c>
      <c r="G61" s="428">
        <v>10954.141</v>
      </c>
      <c r="H61" s="428">
        <f>50000+3018.889+6023+0.001-4563</f>
        <v>54478.89</v>
      </c>
      <c r="I61" s="429">
        <v>7175</v>
      </c>
      <c r="J61" s="429">
        <v>0</v>
      </c>
      <c r="K61" s="429">
        <v>0</v>
      </c>
      <c r="L61" s="569"/>
      <c r="M61" s="293"/>
      <c r="N61" s="174">
        <v>59041.889000000003</v>
      </c>
      <c r="O61" s="22">
        <f>50000+3018.88949+6023</f>
        <v>59041.889490000001</v>
      </c>
      <c r="P61" s="161">
        <f t="shared" si="8"/>
        <v>-4.8999999853549525E-4</v>
      </c>
      <c r="Q61" s="26"/>
      <c r="R61" s="27"/>
      <c r="S61" s="27"/>
      <c r="T61" s="27"/>
      <c r="U61" s="27"/>
      <c r="V61" s="27"/>
    </row>
    <row r="62" spans="1:22" ht="72" customHeight="1" x14ac:dyDescent="0.25">
      <c r="A62" s="462"/>
      <c r="B62" s="432"/>
      <c r="C62" s="277"/>
      <c r="D62" s="579" t="s">
        <v>12</v>
      </c>
      <c r="E62" s="428">
        <v>0</v>
      </c>
      <c r="F62" s="206">
        <f t="shared" si="7"/>
        <v>45482.385999999999</v>
      </c>
      <c r="G62" s="428">
        <f>12363-3723</f>
        <v>8640</v>
      </c>
      <c r="H62" s="428">
        <f>29622.49+2800.896</f>
        <v>32423.386000000002</v>
      </c>
      <c r="I62" s="429">
        <f>4418.81+0.19</f>
        <v>4419</v>
      </c>
      <c r="J62" s="429">
        <v>0</v>
      </c>
      <c r="K62" s="429">
        <v>0</v>
      </c>
      <c r="L62" s="569"/>
      <c r="M62" s="293"/>
      <c r="N62" s="174">
        <v>34629</v>
      </c>
      <c r="O62" s="22">
        <f>30906+3723</f>
        <v>34629</v>
      </c>
      <c r="P62" s="161">
        <f t="shared" si="8"/>
        <v>0</v>
      </c>
      <c r="R62" s="27"/>
      <c r="S62" s="27"/>
      <c r="T62" s="27"/>
      <c r="U62" s="27"/>
      <c r="V62" s="27"/>
    </row>
    <row r="63" spans="1:22" ht="105.75" customHeight="1" x14ac:dyDescent="0.25">
      <c r="A63" s="462"/>
      <c r="B63" s="434"/>
      <c r="C63" s="278"/>
      <c r="D63" s="579" t="s">
        <v>276</v>
      </c>
      <c r="E63" s="428">
        <v>0</v>
      </c>
      <c r="F63" s="206">
        <f t="shared" si="7"/>
        <v>32423.385999999999</v>
      </c>
      <c r="G63" s="428">
        <v>0</v>
      </c>
      <c r="H63" s="428">
        <v>32423.385999999999</v>
      </c>
      <c r="I63" s="429">
        <v>0</v>
      </c>
      <c r="J63" s="429">
        <v>0</v>
      </c>
      <c r="K63" s="429">
        <v>0</v>
      </c>
      <c r="L63" s="569"/>
      <c r="M63" s="293"/>
      <c r="N63" s="174">
        <v>34629</v>
      </c>
      <c r="O63" s="22">
        <f>30906+3723</f>
        <v>34629</v>
      </c>
      <c r="P63" s="161">
        <f t="shared" si="8"/>
        <v>0</v>
      </c>
      <c r="Q63" s="26"/>
      <c r="R63" s="27"/>
      <c r="S63" s="27"/>
      <c r="T63" s="27"/>
      <c r="U63" s="27"/>
      <c r="V63" s="27"/>
    </row>
    <row r="64" spans="1:22" ht="49.5" customHeight="1" x14ac:dyDescent="0.25">
      <c r="A64" s="462"/>
      <c r="B64" s="427" t="s">
        <v>270</v>
      </c>
      <c r="C64" s="276" t="s">
        <v>351</v>
      </c>
      <c r="D64" s="579" t="s">
        <v>5</v>
      </c>
      <c r="E64" s="428">
        <v>0</v>
      </c>
      <c r="F64" s="206">
        <f t="shared" si="7"/>
        <v>71988</v>
      </c>
      <c r="G64" s="428">
        <v>0</v>
      </c>
      <c r="H64" s="428">
        <v>0</v>
      </c>
      <c r="I64" s="429">
        <f>71987+1</f>
        <v>71988</v>
      </c>
      <c r="J64" s="429">
        <v>0</v>
      </c>
      <c r="K64" s="429">
        <v>0</v>
      </c>
      <c r="L64" s="569"/>
      <c r="M64" s="293"/>
      <c r="N64" s="174">
        <v>71987.399999999994</v>
      </c>
      <c r="O64" s="22">
        <v>71987.399999999994</v>
      </c>
      <c r="P64" s="161">
        <f t="shared" si="8"/>
        <v>0</v>
      </c>
      <c r="Q64" s="26"/>
      <c r="R64" s="27"/>
      <c r="S64" s="27"/>
      <c r="T64" s="27"/>
      <c r="U64" s="27"/>
      <c r="V64" s="27"/>
    </row>
    <row r="65" spans="1:22" ht="70.5" customHeight="1" x14ac:dyDescent="0.25">
      <c r="A65" s="462"/>
      <c r="B65" s="432"/>
      <c r="C65" s="277"/>
      <c r="D65" s="579" t="s">
        <v>12</v>
      </c>
      <c r="E65" s="428">
        <v>0</v>
      </c>
      <c r="F65" s="206">
        <f t="shared" si="7"/>
        <v>7998.6</v>
      </c>
      <c r="G65" s="428">
        <v>0</v>
      </c>
      <c r="H65" s="428">
        <v>0</v>
      </c>
      <c r="I65" s="429">
        <f>7998.6</f>
        <v>7998.6</v>
      </c>
      <c r="J65" s="429">
        <v>0</v>
      </c>
      <c r="K65" s="429">
        <v>0</v>
      </c>
      <c r="L65" s="569"/>
      <c r="M65" s="293"/>
      <c r="N65" s="174">
        <v>7997.6</v>
      </c>
      <c r="O65" s="22">
        <v>7998.6</v>
      </c>
      <c r="P65" s="161">
        <f t="shared" si="8"/>
        <v>-1</v>
      </c>
      <c r="Q65" s="26"/>
      <c r="R65" s="27"/>
      <c r="S65" s="27"/>
      <c r="T65" s="27"/>
      <c r="U65" s="27"/>
      <c r="V65" s="27"/>
    </row>
    <row r="66" spans="1:22" ht="103.5" customHeight="1" x14ac:dyDescent="0.25">
      <c r="A66" s="464"/>
      <c r="B66" s="434"/>
      <c r="C66" s="278"/>
      <c r="D66" s="579" t="s">
        <v>276</v>
      </c>
      <c r="E66" s="428">
        <v>0</v>
      </c>
      <c r="F66" s="206">
        <f t="shared" si="7"/>
        <v>7998.6</v>
      </c>
      <c r="G66" s="428">
        <v>0</v>
      </c>
      <c r="H66" s="428">
        <v>0</v>
      </c>
      <c r="I66" s="429">
        <f>7998.6</f>
        <v>7998.6</v>
      </c>
      <c r="J66" s="429">
        <v>0</v>
      </c>
      <c r="K66" s="429">
        <v>0</v>
      </c>
      <c r="L66" s="572"/>
      <c r="M66" s="294"/>
      <c r="N66" s="174">
        <v>7998.6</v>
      </c>
      <c r="O66" s="22">
        <v>7998.6</v>
      </c>
      <c r="P66" s="161">
        <f t="shared" si="8"/>
        <v>0</v>
      </c>
      <c r="Q66" s="26"/>
      <c r="R66" s="27"/>
      <c r="S66" s="27"/>
      <c r="T66" s="27"/>
      <c r="U66" s="27"/>
      <c r="V66" s="27"/>
    </row>
    <row r="67" spans="1:22" ht="285.75" customHeight="1" x14ac:dyDescent="0.25">
      <c r="A67" s="438" t="s">
        <v>116</v>
      </c>
      <c r="B67" s="466" t="s">
        <v>191</v>
      </c>
      <c r="C67" s="19" t="s">
        <v>146</v>
      </c>
      <c r="D67" s="471" t="s">
        <v>5</v>
      </c>
      <c r="E67" s="433">
        <f>11505+70</f>
        <v>11575</v>
      </c>
      <c r="F67" s="206">
        <f t="shared" si="7"/>
        <v>23899</v>
      </c>
      <c r="G67" s="433">
        <f>500+500+450+1000+500+2100+1000+1500+1000+500+300+119+494+500+500</f>
        <v>10963</v>
      </c>
      <c r="H67" s="433">
        <f>500+250+500+500+350+2200+1000+500+299+385+166+500+346</f>
        <v>7496</v>
      </c>
      <c r="I67" s="422">
        <f>500+600+2000+1000+500+350+190+300</f>
        <v>5440</v>
      </c>
      <c r="J67" s="422">
        <v>0</v>
      </c>
      <c r="K67" s="422">
        <v>0</v>
      </c>
      <c r="L67" s="467" t="s">
        <v>8</v>
      </c>
      <c r="M67" s="440" t="s">
        <v>259</v>
      </c>
      <c r="N67" s="174">
        <f>SUM('[2]Лист 1'!$F$421:$F$432)/1000</f>
        <v>7150</v>
      </c>
      <c r="O67" s="24">
        <f>500+250+500+500+350+2200+1000+500+299+385+166+500</f>
        <v>7150</v>
      </c>
      <c r="P67" s="161">
        <f t="shared" si="8"/>
        <v>0</v>
      </c>
      <c r="Q67" s="25" t="s">
        <v>290</v>
      </c>
      <c r="R67" s="26"/>
      <c r="S67" s="26"/>
      <c r="T67" s="26"/>
      <c r="U67" s="26"/>
      <c r="V67" s="26"/>
    </row>
    <row r="68" spans="1:22" ht="126" customHeight="1" x14ac:dyDescent="0.25">
      <c r="A68" s="580" t="s">
        <v>117</v>
      </c>
      <c r="B68" s="581" t="s">
        <v>329</v>
      </c>
      <c r="C68" s="48" t="s">
        <v>146</v>
      </c>
      <c r="D68" s="62" t="s">
        <v>5</v>
      </c>
      <c r="E68" s="582">
        <v>11985</v>
      </c>
      <c r="F68" s="583">
        <f>SUM(G68:K68)</f>
        <v>69155</v>
      </c>
      <c r="G68" s="582">
        <v>14104</v>
      </c>
      <c r="H68" s="433">
        <v>13158</v>
      </c>
      <c r="I68" s="583">
        <f>14122-473</f>
        <v>13649</v>
      </c>
      <c r="J68" s="583">
        <v>14122</v>
      </c>
      <c r="K68" s="583">
        <v>14122</v>
      </c>
      <c r="L68" s="481" t="s">
        <v>55</v>
      </c>
      <c r="M68" s="584" t="s">
        <v>54</v>
      </c>
      <c r="N68" s="174">
        <f>'[2]Лист 1'!$J$69/1000</f>
        <v>13158</v>
      </c>
      <c r="O68" s="148">
        <v>12338</v>
      </c>
      <c r="P68" s="161">
        <f t="shared" si="8"/>
        <v>820</v>
      </c>
    </row>
    <row r="69" spans="1:22" ht="59.25" customHeight="1" x14ac:dyDescent="0.25">
      <c r="A69" s="585" t="s">
        <v>118</v>
      </c>
      <c r="B69" s="586" t="s">
        <v>192</v>
      </c>
      <c r="C69" s="372" t="s">
        <v>146</v>
      </c>
      <c r="D69" s="62" t="s">
        <v>5</v>
      </c>
      <c r="E69" s="582">
        <v>0</v>
      </c>
      <c r="F69" s="583">
        <f t="shared" ref="F69:F70" si="20">SUM(G69:K69)</f>
        <v>0</v>
      </c>
      <c r="G69" s="582">
        <v>0</v>
      </c>
      <c r="H69" s="582">
        <v>0</v>
      </c>
      <c r="I69" s="583">
        <v>0</v>
      </c>
      <c r="J69" s="583">
        <v>0</v>
      </c>
      <c r="K69" s="583">
        <v>0</v>
      </c>
      <c r="L69" s="376" t="s">
        <v>11</v>
      </c>
      <c r="M69" s="496" t="s">
        <v>218</v>
      </c>
      <c r="N69" s="174">
        <v>0</v>
      </c>
      <c r="O69" s="59">
        <v>0</v>
      </c>
      <c r="P69" s="161">
        <f t="shared" si="8"/>
        <v>0</v>
      </c>
    </row>
    <row r="70" spans="1:22" ht="73.5" customHeight="1" x14ac:dyDescent="0.25">
      <c r="A70" s="587"/>
      <c r="B70" s="588"/>
      <c r="C70" s="350"/>
      <c r="D70" s="62" t="s">
        <v>12</v>
      </c>
      <c r="E70" s="582">
        <v>1200</v>
      </c>
      <c r="F70" s="583">
        <f t="shared" si="20"/>
        <v>0</v>
      </c>
      <c r="G70" s="582">
        <v>0</v>
      </c>
      <c r="H70" s="582">
        <v>0</v>
      </c>
      <c r="I70" s="583">
        <v>0</v>
      </c>
      <c r="J70" s="583">
        <v>0</v>
      </c>
      <c r="K70" s="583">
        <v>0</v>
      </c>
      <c r="L70" s="378"/>
      <c r="M70" s="516"/>
      <c r="N70" s="174">
        <v>0</v>
      </c>
      <c r="O70" s="59">
        <v>0</v>
      </c>
      <c r="P70" s="161">
        <f t="shared" si="8"/>
        <v>0</v>
      </c>
    </row>
    <row r="71" spans="1:22" ht="124.5" customHeight="1" x14ac:dyDescent="0.25">
      <c r="A71" s="580" t="s">
        <v>119</v>
      </c>
      <c r="B71" s="581" t="s">
        <v>193</v>
      </c>
      <c r="C71" s="251" t="s">
        <v>162</v>
      </c>
      <c r="D71" s="62" t="s">
        <v>12</v>
      </c>
      <c r="E71" s="582">
        <v>1600</v>
      </c>
      <c r="F71" s="583">
        <f t="shared" ref="F71" si="21">SUM(G71:K71)</f>
        <v>1562.5</v>
      </c>
      <c r="G71" s="582">
        <v>812.5</v>
      </c>
      <c r="H71" s="582">
        <v>500</v>
      </c>
      <c r="I71" s="583">
        <v>250</v>
      </c>
      <c r="J71" s="583">
        <v>0</v>
      </c>
      <c r="K71" s="583">
        <v>0</v>
      </c>
      <c r="L71" s="481" t="s">
        <v>11</v>
      </c>
      <c r="M71" s="584" t="s">
        <v>219</v>
      </c>
      <c r="N71" s="174">
        <f>('[2]Лист 1'!$F$433+'[2]Лист 1'!$F$434+'[2]Лист 1'!$F$435)/1000</f>
        <v>500</v>
      </c>
      <c r="O71" s="59">
        <v>500</v>
      </c>
      <c r="P71" s="161">
        <f t="shared" si="8"/>
        <v>0</v>
      </c>
    </row>
    <row r="72" spans="1:22" ht="159" customHeight="1" x14ac:dyDescent="0.25">
      <c r="A72" s="580" t="s">
        <v>120</v>
      </c>
      <c r="B72" s="589" t="s">
        <v>194</v>
      </c>
      <c r="C72" s="251" t="s">
        <v>146</v>
      </c>
      <c r="D72" s="62" t="s">
        <v>12</v>
      </c>
      <c r="E72" s="582">
        <v>39858.9</v>
      </c>
      <c r="F72" s="583">
        <f t="shared" ref="F72:F73" si="22">SUM(G72:K72)</f>
        <v>326963.21699999995</v>
      </c>
      <c r="G72" s="582">
        <v>48299.896000000001</v>
      </c>
      <c r="H72" s="582">
        <v>58520.254999999997</v>
      </c>
      <c r="I72" s="583">
        <f>72028.23-1116.842-5139.911+4224.053+6091.076</f>
        <v>76086.605999999985</v>
      </c>
      <c r="J72" s="583">
        <v>72028.23</v>
      </c>
      <c r="K72" s="583">
        <v>72028.23</v>
      </c>
      <c r="L72" s="481" t="s">
        <v>11</v>
      </c>
      <c r="M72" s="584" t="s">
        <v>221</v>
      </c>
      <c r="N72" s="174">
        <f>('[1]Лист 1'!$F$436+'[1]Лист 1'!$F$437)/1000</f>
        <v>58915.307000000001</v>
      </c>
      <c r="O72" s="59">
        <f>53310.742-746.384</f>
        <v>52564.358</v>
      </c>
      <c r="P72" s="161">
        <f t="shared" si="8"/>
        <v>6350.9490000000005</v>
      </c>
    </row>
    <row r="73" spans="1:22" ht="59.25" customHeight="1" x14ac:dyDescent="0.25">
      <c r="A73" s="585" t="s">
        <v>121</v>
      </c>
      <c r="B73" s="586" t="s">
        <v>309</v>
      </c>
      <c r="C73" s="372" t="s">
        <v>146</v>
      </c>
      <c r="D73" s="62" t="s">
        <v>5</v>
      </c>
      <c r="E73" s="582">
        <v>3596</v>
      </c>
      <c r="F73" s="583">
        <f t="shared" si="22"/>
        <v>55344</v>
      </c>
      <c r="G73" s="582">
        <f>33334+38</f>
        <v>33372</v>
      </c>
      <c r="H73" s="582">
        <v>21972</v>
      </c>
      <c r="I73" s="478">
        <v>0</v>
      </c>
      <c r="J73" s="478">
        <v>0</v>
      </c>
      <c r="K73" s="478">
        <v>0</v>
      </c>
      <c r="L73" s="376" t="s">
        <v>11</v>
      </c>
      <c r="M73" s="496" t="s">
        <v>281</v>
      </c>
      <c r="N73" s="174">
        <f>'[2]Лист 1'!$F$438/1000</f>
        <v>21972</v>
      </c>
      <c r="O73" s="59">
        <v>21972</v>
      </c>
      <c r="P73" s="161">
        <f t="shared" si="8"/>
        <v>0</v>
      </c>
    </row>
    <row r="74" spans="1:22" ht="96.75" customHeight="1" x14ac:dyDescent="0.25">
      <c r="A74" s="590"/>
      <c r="B74" s="591"/>
      <c r="C74" s="349"/>
      <c r="D74" s="62" t="s">
        <v>12</v>
      </c>
      <c r="E74" s="582">
        <v>0</v>
      </c>
      <c r="F74" s="583">
        <f t="shared" ref="F74:F83" si="23">SUM(G74:K74)</f>
        <v>39344</v>
      </c>
      <c r="G74" s="582">
        <f>1438+19166+24</f>
        <v>20628</v>
      </c>
      <c r="H74" s="582">
        <v>18716</v>
      </c>
      <c r="I74" s="478">
        <v>0</v>
      </c>
      <c r="J74" s="478">
        <v>0</v>
      </c>
      <c r="K74" s="478">
        <v>0</v>
      </c>
      <c r="L74" s="377"/>
      <c r="M74" s="498"/>
      <c r="N74" s="174">
        <f>'[2]Лист 1'!$F$439/1000</f>
        <v>18716</v>
      </c>
      <c r="O74" s="59">
        <v>18716</v>
      </c>
      <c r="P74" s="161">
        <f t="shared" si="8"/>
        <v>0</v>
      </c>
    </row>
    <row r="75" spans="1:22" ht="105.75" customHeight="1" x14ac:dyDescent="0.25">
      <c r="A75" s="587"/>
      <c r="B75" s="588"/>
      <c r="C75" s="350"/>
      <c r="D75" s="62" t="s">
        <v>276</v>
      </c>
      <c r="E75" s="582">
        <v>0</v>
      </c>
      <c r="F75" s="583">
        <f t="shared" si="23"/>
        <v>18716</v>
      </c>
      <c r="G75" s="582">
        <v>0</v>
      </c>
      <c r="H75" s="582">
        <v>18716</v>
      </c>
      <c r="I75" s="478">
        <v>0</v>
      </c>
      <c r="J75" s="478">
        <v>0</v>
      </c>
      <c r="K75" s="478">
        <v>0</v>
      </c>
      <c r="L75" s="378"/>
      <c r="M75" s="516"/>
      <c r="N75" s="174">
        <v>18716</v>
      </c>
      <c r="O75" s="59">
        <v>18716</v>
      </c>
      <c r="P75" s="161">
        <f t="shared" si="8"/>
        <v>0</v>
      </c>
    </row>
    <row r="76" spans="1:22" ht="45.75" customHeight="1" x14ac:dyDescent="0.25">
      <c r="A76" s="592" t="s">
        <v>252</v>
      </c>
      <c r="B76" s="593" t="s">
        <v>286</v>
      </c>
      <c r="C76" s="374" t="s">
        <v>47</v>
      </c>
      <c r="D76" s="62" t="s">
        <v>5</v>
      </c>
      <c r="E76" s="582">
        <v>0</v>
      </c>
      <c r="F76" s="583">
        <f t="shared" si="23"/>
        <v>49153</v>
      </c>
      <c r="G76" s="582">
        <v>0</v>
      </c>
      <c r="H76" s="582">
        <v>49153</v>
      </c>
      <c r="I76" s="478">
        <v>0</v>
      </c>
      <c r="J76" s="478">
        <v>0</v>
      </c>
      <c r="K76" s="478">
        <v>0</v>
      </c>
      <c r="L76" s="376" t="s">
        <v>230</v>
      </c>
      <c r="M76" s="495" t="s">
        <v>310</v>
      </c>
      <c r="N76" s="174">
        <f>'[2]Лист 1'!$F$440/1000</f>
        <v>49153</v>
      </c>
      <c r="O76" s="59">
        <v>49153</v>
      </c>
      <c r="P76" s="161">
        <f t="shared" si="8"/>
        <v>0</v>
      </c>
    </row>
    <row r="77" spans="1:22" ht="60.75" customHeight="1" x14ac:dyDescent="0.25">
      <c r="A77" s="592"/>
      <c r="B77" s="593"/>
      <c r="C77" s="374"/>
      <c r="D77" s="62" t="s">
        <v>12</v>
      </c>
      <c r="E77" s="582">
        <v>0</v>
      </c>
      <c r="F77" s="583">
        <f t="shared" si="23"/>
        <v>30383</v>
      </c>
      <c r="G77" s="582">
        <f>24000-24000</f>
        <v>0</v>
      </c>
      <c r="H77" s="582">
        <v>30383</v>
      </c>
      <c r="I77" s="478">
        <f>72000-72000</f>
        <v>0</v>
      </c>
      <c r="J77" s="478">
        <v>0</v>
      </c>
      <c r="K77" s="478">
        <v>0</v>
      </c>
      <c r="L77" s="377"/>
      <c r="M77" s="497"/>
      <c r="N77" s="174">
        <f>('[2]Лист 1'!$F$441+'[2]Лист 1'!$F$442)/1000</f>
        <v>30383</v>
      </c>
      <c r="O77" s="59">
        <f>21440.5+8942.5</f>
        <v>30383</v>
      </c>
      <c r="P77" s="161">
        <f t="shared" si="8"/>
        <v>0</v>
      </c>
    </row>
    <row r="78" spans="1:22" ht="111.75" customHeight="1" x14ac:dyDescent="0.25">
      <c r="A78" s="592"/>
      <c r="B78" s="593"/>
      <c r="C78" s="374"/>
      <c r="D78" s="62" t="s">
        <v>276</v>
      </c>
      <c r="E78" s="582">
        <v>0</v>
      </c>
      <c r="F78" s="583">
        <f t="shared" si="23"/>
        <v>21440.5</v>
      </c>
      <c r="G78" s="582">
        <v>0</v>
      </c>
      <c r="H78" s="582">
        <v>21440.5</v>
      </c>
      <c r="I78" s="478">
        <v>0</v>
      </c>
      <c r="J78" s="478">
        <v>0</v>
      </c>
      <c r="K78" s="478">
        <v>0</v>
      </c>
      <c r="L78" s="378"/>
      <c r="M78" s="515"/>
      <c r="N78" s="174">
        <v>21440.5</v>
      </c>
      <c r="O78" s="59">
        <v>21440.5</v>
      </c>
      <c r="P78" s="161">
        <f t="shared" si="8"/>
        <v>0</v>
      </c>
    </row>
    <row r="79" spans="1:22" ht="141.75" customHeight="1" x14ac:dyDescent="0.25">
      <c r="A79" s="594" t="s">
        <v>253</v>
      </c>
      <c r="B79" s="595" t="s">
        <v>254</v>
      </c>
      <c r="C79" s="248" t="s">
        <v>146</v>
      </c>
      <c r="D79" s="596" t="s">
        <v>89</v>
      </c>
      <c r="E79" s="597">
        <v>0</v>
      </c>
      <c r="F79" s="598">
        <f t="shared" si="23"/>
        <v>1541.6</v>
      </c>
      <c r="G79" s="597">
        <v>400</v>
      </c>
      <c r="H79" s="597">
        <v>518.20000000000005</v>
      </c>
      <c r="I79" s="555">
        <v>623.4</v>
      </c>
      <c r="J79" s="555">
        <v>0</v>
      </c>
      <c r="K79" s="555">
        <v>0</v>
      </c>
      <c r="L79" s="253" t="s">
        <v>11</v>
      </c>
      <c r="M79" s="599" t="s">
        <v>255</v>
      </c>
      <c r="N79" s="174">
        <f>'[2]Лист 1'!$F$443/1000</f>
        <v>518.20000000000005</v>
      </c>
      <c r="O79" s="135">
        <v>518.20000000000005</v>
      </c>
      <c r="P79" s="161">
        <f t="shared" si="8"/>
        <v>0</v>
      </c>
    </row>
    <row r="80" spans="1:22" ht="78.75" customHeight="1" x14ac:dyDescent="0.25">
      <c r="A80" s="585" t="s">
        <v>271</v>
      </c>
      <c r="B80" s="586" t="s">
        <v>272</v>
      </c>
      <c r="C80" s="372" t="s">
        <v>146</v>
      </c>
      <c r="D80" s="579" t="s">
        <v>12</v>
      </c>
      <c r="E80" s="582">
        <v>0</v>
      </c>
      <c r="F80" s="583">
        <f t="shared" si="23"/>
        <v>510036</v>
      </c>
      <c r="G80" s="582">
        <v>0</v>
      </c>
      <c r="H80" s="582">
        <v>123120</v>
      </c>
      <c r="I80" s="478">
        <f>128115+2571</f>
        <v>130686</v>
      </c>
      <c r="J80" s="478">
        <v>128115</v>
      </c>
      <c r="K80" s="478">
        <v>128115</v>
      </c>
      <c r="L80" s="376" t="s">
        <v>11</v>
      </c>
      <c r="M80" s="496" t="s">
        <v>273</v>
      </c>
      <c r="N80" s="174">
        <f>'[2]Лист 1'!$F$444/1000</f>
        <v>123120</v>
      </c>
      <c r="O80" s="59">
        <v>123120</v>
      </c>
      <c r="P80" s="161">
        <f t="shared" si="8"/>
        <v>0</v>
      </c>
    </row>
    <row r="81" spans="1:16" ht="113.25" customHeight="1" x14ac:dyDescent="0.25">
      <c r="A81" s="587"/>
      <c r="B81" s="588"/>
      <c r="C81" s="350"/>
      <c r="D81" s="579" t="s">
        <v>276</v>
      </c>
      <c r="E81" s="582">
        <v>0</v>
      </c>
      <c r="F81" s="583">
        <f t="shared" si="23"/>
        <v>70750.255999999994</v>
      </c>
      <c r="G81" s="582">
        <v>0</v>
      </c>
      <c r="H81" s="582">
        <v>6692.2560000000003</v>
      </c>
      <c r="I81" s="478">
        <v>64058</v>
      </c>
      <c r="J81" s="478">
        <v>0</v>
      </c>
      <c r="K81" s="478">
        <v>0</v>
      </c>
      <c r="L81" s="378"/>
      <c r="M81" s="516"/>
      <c r="N81" s="174"/>
      <c r="O81" s="59"/>
      <c r="P81" s="161"/>
    </row>
    <row r="82" spans="1:16" ht="49.5" customHeight="1" x14ac:dyDescent="0.25">
      <c r="A82" s="585" t="s">
        <v>321</v>
      </c>
      <c r="B82" s="586" t="s">
        <v>322</v>
      </c>
      <c r="C82" s="372" t="s">
        <v>268</v>
      </c>
      <c r="D82" s="62" t="s">
        <v>296</v>
      </c>
      <c r="E82" s="582">
        <f>E85+E92</f>
        <v>0</v>
      </c>
      <c r="F82" s="583">
        <f t="shared" si="23"/>
        <v>5515.06754</v>
      </c>
      <c r="G82" s="582">
        <f>G85+G92</f>
        <v>0</v>
      </c>
      <c r="H82" s="582">
        <f t="shared" ref="H82:K82" si="24">H85+H92</f>
        <v>0</v>
      </c>
      <c r="I82" s="583">
        <f>I85+I92</f>
        <v>5515.06754</v>
      </c>
      <c r="J82" s="583">
        <f t="shared" si="24"/>
        <v>0</v>
      </c>
      <c r="K82" s="583">
        <f t="shared" si="24"/>
        <v>0</v>
      </c>
      <c r="L82" s="376" t="s">
        <v>11</v>
      </c>
      <c r="M82" s="496"/>
      <c r="N82" s="174"/>
      <c r="O82" s="59"/>
      <c r="P82" s="161"/>
    </row>
    <row r="83" spans="1:16" ht="57" customHeight="1" x14ac:dyDescent="0.25">
      <c r="A83" s="590"/>
      <c r="B83" s="591"/>
      <c r="C83" s="349"/>
      <c r="D83" s="62" t="s">
        <v>5</v>
      </c>
      <c r="E83" s="582">
        <f>E86+E93</f>
        <v>0</v>
      </c>
      <c r="F83" s="583">
        <f t="shared" si="23"/>
        <v>2335.3558499999999</v>
      </c>
      <c r="G83" s="582">
        <f>G86+G93</f>
        <v>0</v>
      </c>
      <c r="H83" s="582">
        <f t="shared" ref="H83:K84" si="25">H86+H89+H93</f>
        <v>0</v>
      </c>
      <c r="I83" s="583">
        <f>I86+I89+I93</f>
        <v>2335.3558499999999</v>
      </c>
      <c r="J83" s="583">
        <f t="shared" si="25"/>
        <v>0</v>
      </c>
      <c r="K83" s="583">
        <f t="shared" si="25"/>
        <v>0</v>
      </c>
      <c r="L83" s="377"/>
      <c r="M83" s="498"/>
      <c r="N83" s="174"/>
      <c r="O83" s="59"/>
      <c r="P83" s="161"/>
    </row>
    <row r="84" spans="1:16" ht="66" customHeight="1" x14ac:dyDescent="0.25">
      <c r="A84" s="590"/>
      <c r="B84" s="588"/>
      <c r="C84" s="349"/>
      <c r="D84" s="62" t="s">
        <v>12</v>
      </c>
      <c r="E84" s="582">
        <f>E87+E94</f>
        <v>0</v>
      </c>
      <c r="F84" s="583">
        <f>SUM(G84:K84)</f>
        <v>1672.2252199999998</v>
      </c>
      <c r="G84" s="582">
        <f>G87+G94</f>
        <v>0</v>
      </c>
      <c r="H84" s="582">
        <f t="shared" si="25"/>
        <v>0</v>
      </c>
      <c r="I84" s="583">
        <f>I87+I90+I94</f>
        <v>1672.2252199999998</v>
      </c>
      <c r="J84" s="583">
        <f t="shared" si="25"/>
        <v>0</v>
      </c>
      <c r="K84" s="583">
        <f t="shared" si="25"/>
        <v>0</v>
      </c>
      <c r="L84" s="377"/>
      <c r="M84" s="516"/>
      <c r="N84" s="174"/>
      <c r="O84" s="59"/>
      <c r="P84" s="161"/>
    </row>
    <row r="85" spans="1:16" ht="37.5" x14ac:dyDescent="0.25">
      <c r="A85" s="590"/>
      <c r="B85" s="586" t="s">
        <v>323</v>
      </c>
      <c r="C85" s="349"/>
      <c r="D85" s="62" t="s">
        <v>296</v>
      </c>
      <c r="E85" s="582">
        <v>0</v>
      </c>
      <c r="F85" s="583">
        <f t="shared" ref="F85:F105" si="26">SUM(G85:K85)</f>
        <v>2407.6675399999999</v>
      </c>
      <c r="G85" s="582">
        <v>0</v>
      </c>
      <c r="H85" s="582">
        <v>0</v>
      </c>
      <c r="I85" s="478">
        <v>2407.6675399999999</v>
      </c>
      <c r="J85" s="478">
        <v>0</v>
      </c>
      <c r="K85" s="478">
        <v>0</v>
      </c>
      <c r="L85" s="377"/>
      <c r="M85" s="496" t="s">
        <v>334</v>
      </c>
      <c r="N85" s="174"/>
      <c r="O85" s="59"/>
      <c r="P85" s="161"/>
    </row>
    <row r="86" spans="1:16" ht="37.5" x14ac:dyDescent="0.25">
      <c r="A86" s="590"/>
      <c r="B86" s="591"/>
      <c r="C86" s="349"/>
      <c r="D86" s="62" t="s">
        <v>5</v>
      </c>
      <c r="E86" s="582">
        <v>0</v>
      </c>
      <c r="F86" s="583">
        <f t="shared" si="26"/>
        <v>802.55584999999996</v>
      </c>
      <c r="G86" s="582">
        <v>0</v>
      </c>
      <c r="H86" s="582">
        <v>0</v>
      </c>
      <c r="I86" s="478">
        <v>802.55584999999996</v>
      </c>
      <c r="J86" s="478">
        <v>0</v>
      </c>
      <c r="K86" s="478">
        <v>0</v>
      </c>
      <c r="L86" s="377"/>
      <c r="M86" s="498"/>
      <c r="N86" s="174"/>
      <c r="O86" s="59"/>
      <c r="P86" s="161"/>
    </row>
    <row r="87" spans="1:16" ht="75" x14ac:dyDescent="0.25">
      <c r="A87" s="590"/>
      <c r="B87" s="591"/>
      <c r="C87" s="349"/>
      <c r="D87" s="62" t="s">
        <v>12</v>
      </c>
      <c r="E87" s="582">
        <v>0</v>
      </c>
      <c r="F87" s="583">
        <f t="shared" si="26"/>
        <v>80.255589999999998</v>
      </c>
      <c r="G87" s="582">
        <v>0</v>
      </c>
      <c r="H87" s="582">
        <v>0</v>
      </c>
      <c r="I87" s="478">
        <v>80.255589999999998</v>
      </c>
      <c r="J87" s="478">
        <v>0</v>
      </c>
      <c r="K87" s="478">
        <v>0</v>
      </c>
      <c r="L87" s="377"/>
      <c r="M87" s="498"/>
      <c r="N87" s="174"/>
      <c r="O87" s="59"/>
      <c r="P87" s="161"/>
    </row>
    <row r="88" spans="1:16" ht="93.75" x14ac:dyDescent="0.25">
      <c r="A88" s="590"/>
      <c r="B88" s="588"/>
      <c r="C88" s="247"/>
      <c r="D88" s="62" t="s">
        <v>276</v>
      </c>
      <c r="E88" s="582">
        <v>0</v>
      </c>
      <c r="F88" s="583">
        <f t="shared" si="26"/>
        <v>80.255589999999998</v>
      </c>
      <c r="G88" s="582">
        <v>0</v>
      </c>
      <c r="H88" s="582">
        <v>0</v>
      </c>
      <c r="I88" s="478">
        <v>80.255589999999998</v>
      </c>
      <c r="J88" s="478">
        <v>0</v>
      </c>
      <c r="K88" s="478">
        <v>0</v>
      </c>
      <c r="L88" s="377"/>
      <c r="M88" s="516"/>
      <c r="N88" s="174"/>
      <c r="O88" s="59"/>
      <c r="P88" s="161"/>
    </row>
    <row r="89" spans="1:16" ht="112.5" customHeight="1" x14ac:dyDescent="0.25">
      <c r="A89" s="590"/>
      <c r="B89" s="586" t="s">
        <v>332</v>
      </c>
      <c r="C89" s="349"/>
      <c r="D89" s="62" t="s">
        <v>5</v>
      </c>
      <c r="E89" s="582">
        <v>0</v>
      </c>
      <c r="F89" s="583">
        <f t="shared" si="26"/>
        <v>497</v>
      </c>
      <c r="G89" s="582">
        <v>0</v>
      </c>
      <c r="H89" s="582">
        <v>0</v>
      </c>
      <c r="I89" s="478">
        <f>764-267</f>
        <v>497</v>
      </c>
      <c r="J89" s="478">
        <v>0</v>
      </c>
      <c r="K89" s="478">
        <v>0</v>
      </c>
      <c r="L89" s="377"/>
      <c r="M89" s="496" t="s">
        <v>333</v>
      </c>
      <c r="N89" s="174"/>
      <c r="O89" s="59"/>
      <c r="P89" s="161"/>
    </row>
    <row r="90" spans="1:16" ht="112.5" customHeight="1" x14ac:dyDescent="0.25">
      <c r="A90" s="590"/>
      <c r="B90" s="591"/>
      <c r="C90" s="349"/>
      <c r="D90" s="62" t="s">
        <v>12</v>
      </c>
      <c r="E90" s="582">
        <v>0</v>
      </c>
      <c r="F90" s="583">
        <f t="shared" si="26"/>
        <v>1488.3896299999999</v>
      </c>
      <c r="G90" s="582">
        <v>0</v>
      </c>
      <c r="H90" s="582">
        <v>0</v>
      </c>
      <c r="I90" s="478">
        <v>1488.3896299999999</v>
      </c>
      <c r="J90" s="478">
        <v>0</v>
      </c>
      <c r="K90" s="478">
        <v>0</v>
      </c>
      <c r="L90" s="377"/>
      <c r="M90" s="498"/>
      <c r="N90" s="174"/>
      <c r="O90" s="59"/>
      <c r="P90" s="161"/>
    </row>
    <row r="91" spans="1:16" ht="112.5" customHeight="1" x14ac:dyDescent="0.25">
      <c r="A91" s="590"/>
      <c r="B91" s="588"/>
      <c r="C91" s="247"/>
      <c r="D91" s="62" t="s">
        <v>276</v>
      </c>
      <c r="E91" s="582">
        <v>0</v>
      </c>
      <c r="F91" s="583">
        <f t="shared" si="26"/>
        <v>1488.3896299999999</v>
      </c>
      <c r="G91" s="582">
        <v>0</v>
      </c>
      <c r="H91" s="582">
        <v>0</v>
      </c>
      <c r="I91" s="478">
        <f>I90</f>
        <v>1488.3896299999999</v>
      </c>
      <c r="J91" s="478">
        <v>0</v>
      </c>
      <c r="K91" s="478">
        <v>0</v>
      </c>
      <c r="L91" s="377"/>
      <c r="M91" s="516"/>
      <c r="N91" s="174"/>
      <c r="O91" s="59"/>
      <c r="P91" s="161"/>
    </row>
    <row r="92" spans="1:16" ht="39" customHeight="1" x14ac:dyDescent="0.25">
      <c r="A92" s="590"/>
      <c r="B92" s="586" t="s">
        <v>330</v>
      </c>
      <c r="C92" s="349"/>
      <c r="D92" s="62" t="s">
        <v>296</v>
      </c>
      <c r="E92" s="582">
        <v>0</v>
      </c>
      <c r="F92" s="583">
        <f t="shared" si="26"/>
        <v>3107.4</v>
      </c>
      <c r="G92" s="582">
        <v>0</v>
      </c>
      <c r="H92" s="582">
        <v>0</v>
      </c>
      <c r="I92" s="478">
        <v>3107.4</v>
      </c>
      <c r="J92" s="478">
        <v>0</v>
      </c>
      <c r="K92" s="478">
        <v>0</v>
      </c>
      <c r="L92" s="377"/>
      <c r="M92" s="496" t="s">
        <v>324</v>
      </c>
      <c r="N92" s="174"/>
      <c r="O92" s="59"/>
      <c r="P92" s="161"/>
    </row>
    <row r="93" spans="1:16" ht="39" customHeight="1" x14ac:dyDescent="0.25">
      <c r="A93" s="590"/>
      <c r="B93" s="591"/>
      <c r="C93" s="349"/>
      <c r="D93" s="62" t="s">
        <v>5</v>
      </c>
      <c r="E93" s="582">
        <v>0</v>
      </c>
      <c r="F93" s="583">
        <f t="shared" si="26"/>
        <v>1035.8</v>
      </c>
      <c r="G93" s="582">
        <v>0</v>
      </c>
      <c r="H93" s="582">
        <v>0</v>
      </c>
      <c r="I93" s="478">
        <v>1035.8</v>
      </c>
      <c r="J93" s="478">
        <v>0</v>
      </c>
      <c r="K93" s="478">
        <v>0</v>
      </c>
      <c r="L93" s="377"/>
      <c r="M93" s="498"/>
      <c r="N93" s="174"/>
      <c r="O93" s="59"/>
      <c r="P93" s="161"/>
    </row>
    <row r="94" spans="1:16" ht="63" customHeight="1" x14ac:dyDescent="0.25">
      <c r="A94" s="590"/>
      <c r="B94" s="591"/>
      <c r="C94" s="349"/>
      <c r="D94" s="62" t="s">
        <v>12</v>
      </c>
      <c r="E94" s="582">
        <v>0</v>
      </c>
      <c r="F94" s="583">
        <f t="shared" si="26"/>
        <v>103.58</v>
      </c>
      <c r="G94" s="582">
        <v>0</v>
      </c>
      <c r="H94" s="582">
        <v>0</v>
      </c>
      <c r="I94" s="478">
        <v>103.58</v>
      </c>
      <c r="J94" s="478">
        <v>0</v>
      </c>
      <c r="K94" s="478">
        <v>0</v>
      </c>
      <c r="L94" s="377"/>
      <c r="M94" s="498"/>
      <c r="N94" s="174"/>
      <c r="O94" s="59"/>
      <c r="P94" s="161"/>
    </row>
    <row r="95" spans="1:16" ht="93.75" x14ac:dyDescent="0.25">
      <c r="A95" s="587"/>
      <c r="B95" s="588"/>
      <c r="C95" s="350"/>
      <c r="D95" s="62" t="s">
        <v>276</v>
      </c>
      <c r="E95" s="582">
        <v>0</v>
      </c>
      <c r="F95" s="583">
        <f t="shared" si="26"/>
        <v>103.58</v>
      </c>
      <c r="G95" s="582">
        <v>0</v>
      </c>
      <c r="H95" s="582">
        <v>0</v>
      </c>
      <c r="I95" s="478">
        <v>103.58</v>
      </c>
      <c r="J95" s="478">
        <v>0</v>
      </c>
      <c r="K95" s="478">
        <v>0</v>
      </c>
      <c r="L95" s="378"/>
      <c r="M95" s="516"/>
      <c r="N95" s="174"/>
      <c r="O95" s="59"/>
      <c r="P95" s="161"/>
    </row>
    <row r="96" spans="1:16" s="213" customFormat="1" ht="37.5" x14ac:dyDescent="0.25">
      <c r="A96" s="585" t="s">
        <v>338</v>
      </c>
      <c r="B96" s="586" t="s">
        <v>339</v>
      </c>
      <c r="C96" s="372" t="s">
        <v>268</v>
      </c>
      <c r="D96" s="62" t="s">
        <v>296</v>
      </c>
      <c r="E96" s="582">
        <v>0</v>
      </c>
      <c r="F96" s="583">
        <f t="shared" si="26"/>
        <v>4851</v>
      </c>
      <c r="G96" s="582">
        <v>0</v>
      </c>
      <c r="H96" s="582">
        <v>0</v>
      </c>
      <c r="I96" s="478">
        <f>I103</f>
        <v>4851</v>
      </c>
      <c r="J96" s="478">
        <v>0</v>
      </c>
      <c r="K96" s="478">
        <v>0</v>
      </c>
      <c r="L96" s="376" t="s">
        <v>11</v>
      </c>
      <c r="M96" s="496"/>
      <c r="N96" s="210"/>
      <c r="O96" s="229"/>
      <c r="P96" s="212"/>
    </row>
    <row r="97" spans="1:16" s="213" customFormat="1" ht="37.5" x14ac:dyDescent="0.25">
      <c r="A97" s="590"/>
      <c r="B97" s="591"/>
      <c r="C97" s="349"/>
      <c r="D97" s="62" t="s">
        <v>5</v>
      </c>
      <c r="E97" s="582">
        <v>0</v>
      </c>
      <c r="F97" s="583">
        <f t="shared" si="26"/>
        <v>10381</v>
      </c>
      <c r="G97" s="582">
        <v>0</v>
      </c>
      <c r="H97" s="582">
        <v>0</v>
      </c>
      <c r="I97" s="478">
        <f>I99+I101+I104</f>
        <v>10381</v>
      </c>
      <c r="J97" s="478">
        <v>0</v>
      </c>
      <c r="K97" s="478">
        <v>0</v>
      </c>
      <c r="L97" s="377"/>
      <c r="M97" s="498"/>
      <c r="N97" s="210"/>
      <c r="O97" s="229"/>
      <c r="P97" s="212"/>
    </row>
    <row r="98" spans="1:16" s="213" customFormat="1" ht="75" x14ac:dyDescent="0.25">
      <c r="A98" s="590"/>
      <c r="B98" s="588"/>
      <c r="C98" s="349"/>
      <c r="D98" s="62" t="s">
        <v>12</v>
      </c>
      <c r="E98" s="582">
        <v>0</v>
      </c>
      <c r="F98" s="583">
        <f t="shared" si="26"/>
        <v>6229</v>
      </c>
      <c r="G98" s="582">
        <v>0</v>
      </c>
      <c r="H98" s="582">
        <v>0</v>
      </c>
      <c r="I98" s="478">
        <f>I100+I102+I105</f>
        <v>6229</v>
      </c>
      <c r="J98" s="478">
        <v>0</v>
      </c>
      <c r="K98" s="478">
        <v>0</v>
      </c>
      <c r="L98" s="377"/>
      <c r="M98" s="516"/>
      <c r="N98" s="210"/>
      <c r="O98" s="229"/>
      <c r="P98" s="212"/>
    </row>
    <row r="99" spans="1:16" s="213" customFormat="1" ht="79.5" customHeight="1" x14ac:dyDescent="0.25">
      <c r="A99" s="590"/>
      <c r="B99" s="586" t="s">
        <v>340</v>
      </c>
      <c r="C99" s="349"/>
      <c r="D99" s="62" t="s">
        <v>5</v>
      </c>
      <c r="E99" s="582">
        <v>0</v>
      </c>
      <c r="F99" s="583">
        <f t="shared" si="26"/>
        <v>1281</v>
      </c>
      <c r="G99" s="582">
        <v>0</v>
      </c>
      <c r="H99" s="582">
        <v>0</v>
      </c>
      <c r="I99" s="478">
        <v>1281</v>
      </c>
      <c r="J99" s="478">
        <v>0</v>
      </c>
      <c r="K99" s="478">
        <v>0</v>
      </c>
      <c r="L99" s="377"/>
      <c r="M99" s="496" t="s">
        <v>343</v>
      </c>
      <c r="N99" s="210"/>
      <c r="O99" s="229"/>
      <c r="P99" s="212"/>
    </row>
    <row r="100" spans="1:16" s="213" customFormat="1" ht="79.5" customHeight="1" x14ac:dyDescent="0.25">
      <c r="A100" s="590"/>
      <c r="B100" s="591"/>
      <c r="C100" s="349"/>
      <c r="D100" s="62" t="s">
        <v>12</v>
      </c>
      <c r="E100" s="582">
        <v>0</v>
      </c>
      <c r="F100" s="583">
        <f t="shared" si="26"/>
        <v>769</v>
      </c>
      <c r="G100" s="582">
        <v>0</v>
      </c>
      <c r="H100" s="582">
        <v>0</v>
      </c>
      <c r="I100" s="478">
        <v>769</v>
      </c>
      <c r="J100" s="478">
        <v>0</v>
      </c>
      <c r="K100" s="478">
        <v>0</v>
      </c>
      <c r="L100" s="377"/>
      <c r="M100" s="498"/>
      <c r="N100" s="210"/>
      <c r="O100" s="229"/>
      <c r="P100" s="212"/>
    </row>
    <row r="101" spans="1:16" s="213" customFormat="1" ht="108.75" customHeight="1" x14ac:dyDescent="0.25">
      <c r="A101" s="590"/>
      <c r="B101" s="586" t="s">
        <v>341</v>
      </c>
      <c r="C101" s="349"/>
      <c r="D101" s="62" t="s">
        <v>5</v>
      </c>
      <c r="E101" s="582">
        <v>0</v>
      </c>
      <c r="F101" s="583">
        <f t="shared" si="26"/>
        <v>7483</v>
      </c>
      <c r="G101" s="582">
        <v>0</v>
      </c>
      <c r="H101" s="582">
        <v>0</v>
      </c>
      <c r="I101" s="478">
        <v>7483</v>
      </c>
      <c r="J101" s="478">
        <v>0</v>
      </c>
      <c r="K101" s="478">
        <v>0</v>
      </c>
      <c r="L101" s="377"/>
      <c r="M101" s="496" t="s">
        <v>344</v>
      </c>
      <c r="N101" s="210"/>
      <c r="O101" s="229"/>
      <c r="P101" s="212"/>
    </row>
    <row r="102" spans="1:16" s="213" customFormat="1" ht="108.75" customHeight="1" x14ac:dyDescent="0.25">
      <c r="A102" s="590"/>
      <c r="B102" s="591"/>
      <c r="C102" s="349"/>
      <c r="D102" s="62" t="s">
        <v>12</v>
      </c>
      <c r="E102" s="582">
        <v>0</v>
      </c>
      <c r="F102" s="583">
        <f t="shared" si="26"/>
        <v>4490</v>
      </c>
      <c r="G102" s="582">
        <v>0</v>
      </c>
      <c r="H102" s="582">
        <v>0</v>
      </c>
      <c r="I102" s="478">
        <v>4490</v>
      </c>
      <c r="J102" s="478">
        <v>0</v>
      </c>
      <c r="K102" s="478">
        <v>0</v>
      </c>
      <c r="L102" s="377"/>
      <c r="M102" s="498"/>
      <c r="N102" s="210"/>
      <c r="O102" s="229"/>
      <c r="P102" s="212"/>
    </row>
    <row r="103" spans="1:16" s="213" customFormat="1" ht="114" customHeight="1" x14ac:dyDescent="0.25">
      <c r="A103" s="590"/>
      <c r="B103" s="586" t="s">
        <v>342</v>
      </c>
      <c r="C103" s="349"/>
      <c r="D103" s="62" t="s">
        <v>296</v>
      </c>
      <c r="E103" s="582">
        <v>0</v>
      </c>
      <c r="F103" s="583">
        <f t="shared" si="26"/>
        <v>4851</v>
      </c>
      <c r="G103" s="582">
        <v>0</v>
      </c>
      <c r="H103" s="582">
        <v>0</v>
      </c>
      <c r="I103" s="478">
        <v>4851</v>
      </c>
      <c r="J103" s="478">
        <v>0</v>
      </c>
      <c r="K103" s="478">
        <v>0</v>
      </c>
      <c r="L103" s="377"/>
      <c r="M103" s="496" t="s">
        <v>345</v>
      </c>
      <c r="N103" s="210"/>
      <c r="O103" s="229"/>
      <c r="P103" s="212"/>
    </row>
    <row r="104" spans="1:16" s="213" customFormat="1" ht="114" customHeight="1" x14ac:dyDescent="0.25">
      <c r="A104" s="590"/>
      <c r="B104" s="591"/>
      <c r="C104" s="349"/>
      <c r="D104" s="62" t="s">
        <v>5</v>
      </c>
      <c r="E104" s="582">
        <v>0</v>
      </c>
      <c r="F104" s="583">
        <f t="shared" si="26"/>
        <v>1617</v>
      </c>
      <c r="G104" s="582">
        <v>0</v>
      </c>
      <c r="H104" s="582">
        <v>0</v>
      </c>
      <c r="I104" s="478">
        <v>1617</v>
      </c>
      <c r="J104" s="478">
        <v>0</v>
      </c>
      <c r="K104" s="478">
        <v>0</v>
      </c>
      <c r="L104" s="377"/>
      <c r="M104" s="498"/>
      <c r="N104" s="210"/>
      <c r="O104" s="229"/>
      <c r="P104" s="212"/>
    </row>
    <row r="105" spans="1:16" s="213" customFormat="1" ht="114" customHeight="1" x14ac:dyDescent="0.25">
      <c r="A105" s="587"/>
      <c r="B105" s="591"/>
      <c r="C105" s="350"/>
      <c r="D105" s="62" t="s">
        <v>12</v>
      </c>
      <c r="E105" s="582">
        <v>0</v>
      </c>
      <c r="F105" s="583">
        <f t="shared" si="26"/>
        <v>970</v>
      </c>
      <c r="G105" s="582">
        <v>0</v>
      </c>
      <c r="H105" s="582">
        <v>0</v>
      </c>
      <c r="I105" s="478">
        <v>970</v>
      </c>
      <c r="J105" s="478">
        <v>0</v>
      </c>
      <c r="K105" s="478">
        <v>0</v>
      </c>
      <c r="L105" s="378"/>
      <c r="M105" s="498"/>
      <c r="N105" s="210"/>
      <c r="O105" s="229"/>
      <c r="P105" s="212"/>
    </row>
    <row r="106" spans="1:16" ht="145.5" customHeight="1" x14ac:dyDescent="0.25">
      <c r="A106" s="600"/>
      <c r="B106" s="60" t="s">
        <v>195</v>
      </c>
      <c r="C106" s="61" t="s">
        <v>146</v>
      </c>
      <c r="D106" s="62" t="s">
        <v>9</v>
      </c>
      <c r="E106" s="178">
        <f>E107+E108</f>
        <v>47826.100000000006</v>
      </c>
      <c r="F106" s="601">
        <f>SUM(G106:K106)</f>
        <v>185849.908</v>
      </c>
      <c r="G106" s="178">
        <f>G107+G108</f>
        <v>33265.050999999999</v>
      </c>
      <c r="H106" s="178">
        <f>H107+H108</f>
        <v>32624.456999999999</v>
      </c>
      <c r="I106" s="207">
        <f t="shared" ref="I106:K106" si="27">I107+I108</f>
        <v>39986.800000000003</v>
      </c>
      <c r="J106" s="207">
        <f>J107+J108</f>
        <v>39986.800000000003</v>
      </c>
      <c r="K106" s="207">
        <f t="shared" si="27"/>
        <v>39986.800000000003</v>
      </c>
      <c r="L106" s="178"/>
      <c r="M106" s="64"/>
      <c r="N106" s="174"/>
      <c r="O106" s="63"/>
      <c r="P106" s="161"/>
    </row>
    <row r="107" spans="1:16" ht="137.25" customHeight="1" x14ac:dyDescent="0.25">
      <c r="A107" s="602" t="s">
        <v>109</v>
      </c>
      <c r="B107" s="603" t="s">
        <v>236</v>
      </c>
      <c r="C107" s="604" t="s">
        <v>146</v>
      </c>
      <c r="D107" s="251" t="s">
        <v>32</v>
      </c>
      <c r="E107" s="605">
        <v>22530.2</v>
      </c>
      <c r="F107" s="606">
        <f>SUM(G107:K107)</f>
        <v>91218.258000000002</v>
      </c>
      <c r="G107" s="605">
        <f>15209.551-101.533</f>
        <v>15108.018</v>
      </c>
      <c r="H107" s="605">
        <v>14519.64</v>
      </c>
      <c r="I107" s="601">
        <v>20530.2</v>
      </c>
      <c r="J107" s="606">
        <v>20530.2</v>
      </c>
      <c r="K107" s="606">
        <v>20530.2</v>
      </c>
      <c r="L107" s="607" t="s">
        <v>11</v>
      </c>
      <c r="M107" s="608" t="s">
        <v>86</v>
      </c>
      <c r="N107" s="174">
        <f>('[2]Лист 1'!$F$445+'[2]Лист 1'!$F$446+'[2]Лист 1'!$F$447+'[2]Лист 1'!$F$448)/1000</f>
        <v>20530.2</v>
      </c>
      <c r="O107" s="65">
        <v>20530.2</v>
      </c>
      <c r="P107" s="161">
        <f t="shared" si="8"/>
        <v>0</v>
      </c>
    </row>
    <row r="108" spans="1:16" ht="138" customHeight="1" x14ac:dyDescent="0.25">
      <c r="A108" s="609" t="s">
        <v>110</v>
      </c>
      <c r="B108" s="610" t="s">
        <v>237</v>
      </c>
      <c r="C108" s="611"/>
      <c r="D108" s="248" t="s">
        <v>32</v>
      </c>
      <c r="E108" s="612">
        <v>25295.9</v>
      </c>
      <c r="F108" s="613">
        <f>SUM(G108:K108)</f>
        <v>94631.65</v>
      </c>
      <c r="G108" s="612">
        <f>18055.5+101.533</f>
        <v>18157.032999999999</v>
      </c>
      <c r="H108" s="612">
        <v>18104.816999999999</v>
      </c>
      <c r="I108" s="614">
        <v>19456.599999999999</v>
      </c>
      <c r="J108" s="613">
        <v>19456.599999999999</v>
      </c>
      <c r="K108" s="613">
        <v>19456.599999999999</v>
      </c>
      <c r="L108" s="615"/>
      <c r="M108" s="616"/>
      <c r="N108" s="174">
        <f>('[2]Лист 1'!$F$449+'[2]Лист 1'!$F$450)/1000</f>
        <v>19456.599999999999</v>
      </c>
      <c r="O108" s="66">
        <v>19456.599999999999</v>
      </c>
      <c r="P108" s="161">
        <f t="shared" si="8"/>
        <v>0</v>
      </c>
    </row>
    <row r="109" spans="1:16" ht="21" customHeight="1" x14ac:dyDescent="0.25">
      <c r="A109" s="617"/>
      <c r="B109" s="338" t="s">
        <v>260</v>
      </c>
      <c r="C109" s="276" t="s">
        <v>146</v>
      </c>
      <c r="D109" s="67" t="s">
        <v>10</v>
      </c>
      <c r="E109" s="68">
        <f>SUM(E111:E113)</f>
        <v>586169.13899999997</v>
      </c>
      <c r="F109" s="493">
        <f>SUM(F110:F113)</f>
        <v>3288126.2139999997</v>
      </c>
      <c r="G109" s="68">
        <f>SUM(G110:G113)</f>
        <v>1441128.4639999999</v>
      </c>
      <c r="H109" s="68">
        <f t="shared" ref="H109:K109" si="28">SUM(H110:H113)</f>
        <v>0</v>
      </c>
      <c r="I109" s="493">
        <f t="shared" si="28"/>
        <v>21656.100000000002</v>
      </c>
      <c r="J109" s="493">
        <f t="shared" si="28"/>
        <v>421755.97</v>
      </c>
      <c r="K109" s="493">
        <f t="shared" si="28"/>
        <v>1403585.68</v>
      </c>
      <c r="L109" s="338"/>
      <c r="M109" s="300"/>
      <c r="N109" s="174"/>
      <c r="O109" s="69"/>
      <c r="P109" s="161"/>
    </row>
    <row r="110" spans="1:16" ht="37.5" x14ac:dyDescent="0.25">
      <c r="A110" s="618"/>
      <c r="B110" s="339"/>
      <c r="C110" s="277"/>
      <c r="D110" s="67" t="s">
        <v>5</v>
      </c>
      <c r="E110" s="68">
        <v>0</v>
      </c>
      <c r="F110" s="493">
        <f>SUM(G110:K110)</f>
        <v>1263974.0899999999</v>
      </c>
      <c r="G110" s="70">
        <f>G122+G128</f>
        <v>0</v>
      </c>
      <c r="H110" s="70">
        <f>H122+H128</f>
        <v>0</v>
      </c>
      <c r="I110" s="494">
        <f>I122+I128</f>
        <v>6035.06</v>
      </c>
      <c r="J110" s="494">
        <f>J122+J128</f>
        <v>319763.07999999996</v>
      </c>
      <c r="K110" s="494">
        <f>K122+K128</f>
        <v>938175.95</v>
      </c>
      <c r="L110" s="339"/>
      <c r="M110" s="301"/>
      <c r="N110" s="174"/>
      <c r="O110" s="177"/>
      <c r="P110" s="161"/>
    </row>
    <row r="111" spans="1:16" ht="58.5" customHeight="1" x14ac:dyDescent="0.25">
      <c r="A111" s="619"/>
      <c r="B111" s="339"/>
      <c r="C111" s="277"/>
      <c r="D111" s="67" t="s">
        <v>12</v>
      </c>
      <c r="E111" s="70">
        <f>E114+E116+E118+E120+E123</f>
        <v>234260.20600000001</v>
      </c>
      <c r="F111" s="493">
        <f>SUM(G111:K111)</f>
        <v>2005963.9109999998</v>
      </c>
      <c r="G111" s="70">
        <f>G114+G116+G118+G120+G123+G129</f>
        <v>1422940.2509999999</v>
      </c>
      <c r="H111" s="70">
        <f>H114+H123+H120+H129</f>
        <v>0</v>
      </c>
      <c r="I111" s="494">
        <f>I114+I123+I129+I120</f>
        <v>15621.04</v>
      </c>
      <c r="J111" s="494">
        <f>J114+J123+J129</f>
        <v>101992.89</v>
      </c>
      <c r="K111" s="494">
        <f>K114+K123+K129</f>
        <v>465409.73</v>
      </c>
      <c r="L111" s="339"/>
      <c r="M111" s="301"/>
      <c r="N111" s="174"/>
      <c r="O111" s="177"/>
      <c r="P111" s="161"/>
    </row>
    <row r="112" spans="1:16" ht="117" customHeight="1" x14ac:dyDescent="0.25">
      <c r="A112" s="619"/>
      <c r="B112" s="339"/>
      <c r="C112" s="277"/>
      <c r="D112" s="67" t="s">
        <v>89</v>
      </c>
      <c r="E112" s="70">
        <f>E115+E117+E119+E121+E125</f>
        <v>351908.93300000002</v>
      </c>
      <c r="F112" s="493">
        <f>SUM(G112:K112)</f>
        <v>18188.213</v>
      </c>
      <c r="G112" s="70">
        <f>G115+G117+G119+G121+G125</f>
        <v>18188.213</v>
      </c>
      <c r="H112" s="70">
        <f>H115+H119+H125+H117+H121</f>
        <v>0</v>
      </c>
      <c r="I112" s="494">
        <f t="shared" ref="I112:K112" si="29">I115+I119+I125</f>
        <v>0</v>
      </c>
      <c r="J112" s="494">
        <f t="shared" si="29"/>
        <v>0</v>
      </c>
      <c r="K112" s="494">
        <f t="shared" si="29"/>
        <v>0</v>
      </c>
      <c r="L112" s="339"/>
      <c r="M112" s="301"/>
      <c r="N112" s="174"/>
      <c r="O112" s="177"/>
      <c r="P112" s="161"/>
    </row>
    <row r="113" spans="1:18" ht="18.75" x14ac:dyDescent="0.25">
      <c r="A113" s="620"/>
      <c r="B113" s="340"/>
      <c r="C113" s="278"/>
      <c r="D113" s="67" t="s">
        <v>4</v>
      </c>
      <c r="E113" s="70">
        <f>E126+E127</f>
        <v>0</v>
      </c>
      <c r="F113" s="493">
        <f t="shared" ref="F113" si="30">SUM(G113:K113)</f>
        <v>0</v>
      </c>
      <c r="G113" s="70">
        <f>G126</f>
        <v>0</v>
      </c>
      <c r="H113" s="70">
        <f t="shared" ref="H113" si="31">H126</f>
        <v>0</v>
      </c>
      <c r="I113" s="494">
        <v>0</v>
      </c>
      <c r="J113" s="494">
        <v>0</v>
      </c>
      <c r="K113" s="494">
        <v>0</v>
      </c>
      <c r="L113" s="340"/>
      <c r="M113" s="302"/>
      <c r="N113" s="174"/>
      <c r="O113" s="177"/>
      <c r="P113" s="161"/>
    </row>
    <row r="114" spans="1:18" ht="123" customHeight="1" x14ac:dyDescent="0.25">
      <c r="A114" s="621" t="s">
        <v>124</v>
      </c>
      <c r="B114" s="546" t="s">
        <v>238</v>
      </c>
      <c r="C114" s="372" t="s">
        <v>146</v>
      </c>
      <c r="D114" s="622" t="s">
        <v>9</v>
      </c>
      <c r="E114" s="70">
        <v>0</v>
      </c>
      <c r="F114" s="623">
        <f>SUM(G114:H114)</f>
        <v>0</v>
      </c>
      <c r="G114" s="70">
        <v>0</v>
      </c>
      <c r="H114" s="70">
        <v>0</v>
      </c>
      <c r="I114" s="494">
        <v>0</v>
      </c>
      <c r="J114" s="494">
        <v>0</v>
      </c>
      <c r="K114" s="494">
        <v>0</v>
      </c>
      <c r="L114" s="624" t="s">
        <v>222</v>
      </c>
      <c r="M114" s="625" t="s">
        <v>250</v>
      </c>
      <c r="N114" s="174">
        <v>0</v>
      </c>
      <c r="O114" s="177">
        <v>0</v>
      </c>
      <c r="P114" s="161">
        <f t="shared" ref="P114:P125" si="32">N114-O114</f>
        <v>0</v>
      </c>
    </row>
    <row r="115" spans="1:18" ht="142.5" customHeight="1" x14ac:dyDescent="0.25">
      <c r="A115" s="626"/>
      <c r="B115" s="549"/>
      <c r="C115" s="350"/>
      <c r="D115" s="492" t="s">
        <v>89</v>
      </c>
      <c r="E115" s="627">
        <v>51753.025000000001</v>
      </c>
      <c r="F115" s="493">
        <f t="shared" ref="F115:F119" si="33">SUM(G115:K115)</f>
        <v>18090.213</v>
      </c>
      <c r="G115" s="70">
        <v>18090.213</v>
      </c>
      <c r="H115" s="70">
        <v>0</v>
      </c>
      <c r="I115" s="494">
        <v>0</v>
      </c>
      <c r="J115" s="494">
        <v>0</v>
      </c>
      <c r="K115" s="494">
        <v>0</v>
      </c>
      <c r="L115" s="624"/>
      <c r="M115" s="628"/>
      <c r="N115" s="174">
        <v>0</v>
      </c>
      <c r="O115" s="177">
        <v>0</v>
      </c>
      <c r="P115" s="161">
        <f t="shared" si="32"/>
        <v>0</v>
      </c>
    </row>
    <row r="116" spans="1:18" ht="62.25" customHeight="1" x14ac:dyDescent="0.3">
      <c r="A116" s="621" t="s">
        <v>125</v>
      </c>
      <c r="B116" s="629" t="s">
        <v>242</v>
      </c>
      <c r="C116" s="630" t="s">
        <v>46</v>
      </c>
      <c r="D116" s="631" t="s">
        <v>9</v>
      </c>
      <c r="E116" s="632">
        <f>219337.206+14923</f>
        <v>234260.20600000001</v>
      </c>
      <c r="F116" s="633">
        <f t="shared" si="33"/>
        <v>1422940.2509999999</v>
      </c>
      <c r="G116" s="632">
        <v>1422940.2509999999</v>
      </c>
      <c r="H116" s="632">
        <v>0</v>
      </c>
      <c r="I116" s="634">
        <v>0</v>
      </c>
      <c r="J116" s="634">
        <v>0</v>
      </c>
      <c r="K116" s="634">
        <v>0</v>
      </c>
      <c r="L116" s="624" t="s">
        <v>222</v>
      </c>
      <c r="M116" s="624" t="s">
        <v>349</v>
      </c>
      <c r="N116" s="174"/>
      <c r="O116" s="71" t="s">
        <v>42</v>
      </c>
      <c r="P116" s="161"/>
      <c r="Q116" s="72"/>
    </row>
    <row r="117" spans="1:18" ht="115.5" customHeight="1" x14ac:dyDescent="0.25">
      <c r="A117" s="626"/>
      <c r="B117" s="635"/>
      <c r="C117" s="636"/>
      <c r="D117" s="631" t="s">
        <v>89</v>
      </c>
      <c r="E117" s="632">
        <v>300155.908</v>
      </c>
      <c r="F117" s="633">
        <f t="shared" si="33"/>
        <v>0</v>
      </c>
      <c r="G117" s="632">
        <v>0</v>
      </c>
      <c r="H117" s="632">
        <v>0</v>
      </c>
      <c r="I117" s="634">
        <v>0</v>
      </c>
      <c r="J117" s="634">
        <v>0</v>
      </c>
      <c r="K117" s="634">
        <v>0</v>
      </c>
      <c r="L117" s="624"/>
      <c r="M117" s="624"/>
      <c r="N117" s="174"/>
      <c r="O117" s="71" t="s">
        <v>42</v>
      </c>
      <c r="P117" s="161"/>
    </row>
    <row r="118" spans="1:18" s="213" customFormat="1" ht="58.5" hidden="1" customHeight="1" x14ac:dyDescent="0.25">
      <c r="A118" s="621" t="s">
        <v>196</v>
      </c>
      <c r="B118" s="629" t="s">
        <v>247</v>
      </c>
      <c r="C118" s="637" t="s">
        <v>162</v>
      </c>
      <c r="D118" s="631" t="s">
        <v>9</v>
      </c>
      <c r="E118" s="632">
        <v>0</v>
      </c>
      <c r="F118" s="633">
        <f t="shared" si="33"/>
        <v>0</v>
      </c>
      <c r="G118" s="632">
        <f>689300-689300</f>
        <v>0</v>
      </c>
      <c r="H118" s="638">
        <v>0</v>
      </c>
      <c r="I118" s="634">
        <v>0</v>
      </c>
      <c r="J118" s="634">
        <v>0</v>
      </c>
      <c r="K118" s="639">
        <v>0</v>
      </c>
      <c r="L118" s="624"/>
      <c r="M118" s="624"/>
      <c r="N118" s="210"/>
      <c r="O118" s="211" t="s">
        <v>42</v>
      </c>
      <c r="P118" s="212"/>
    </row>
    <row r="119" spans="1:18" s="213" customFormat="1" ht="117" hidden="1" customHeight="1" x14ac:dyDescent="0.25">
      <c r="A119" s="626"/>
      <c r="B119" s="635"/>
      <c r="C119" s="636"/>
      <c r="D119" s="631" t="s">
        <v>89</v>
      </c>
      <c r="E119" s="632">
        <f>100000-17000+2000-45000-40000</f>
        <v>0</v>
      </c>
      <c r="F119" s="633">
        <f t="shared" si="33"/>
        <v>0</v>
      </c>
      <c r="G119" s="632">
        <f>100000+3000-3000+45000-145000</f>
        <v>0</v>
      </c>
      <c r="H119" s="638">
        <f>120000-120000</f>
        <v>0</v>
      </c>
      <c r="I119" s="634">
        <f>40000-40000</f>
        <v>0</v>
      </c>
      <c r="J119" s="634">
        <v>0</v>
      </c>
      <c r="K119" s="639">
        <v>0</v>
      </c>
      <c r="L119" s="624"/>
      <c r="M119" s="624"/>
      <c r="N119" s="210"/>
      <c r="O119" s="211"/>
      <c r="P119" s="212"/>
    </row>
    <row r="120" spans="1:18" ht="55.5" customHeight="1" x14ac:dyDescent="0.25">
      <c r="A120" s="621" t="s">
        <v>196</v>
      </c>
      <c r="B120" s="629" t="s">
        <v>313</v>
      </c>
      <c r="C120" s="637" t="s">
        <v>146</v>
      </c>
      <c r="D120" s="631" t="s">
        <v>9</v>
      </c>
      <c r="E120" s="640">
        <v>0</v>
      </c>
      <c r="F120" s="633">
        <f>SUM(G120:J120)</f>
        <v>10000</v>
      </c>
      <c r="G120" s="640">
        <v>0</v>
      </c>
      <c r="H120" s="640">
        <f>10000-10000</f>
        <v>0</v>
      </c>
      <c r="I120" s="634">
        <v>10000</v>
      </c>
      <c r="J120" s="634">
        <v>0</v>
      </c>
      <c r="K120" s="634">
        <v>0</v>
      </c>
      <c r="L120" s="624"/>
      <c r="M120" s="624"/>
      <c r="N120" s="174"/>
      <c r="O120" s="73"/>
      <c r="P120" s="161"/>
    </row>
    <row r="121" spans="1:18" ht="118.5" customHeight="1" x14ac:dyDescent="0.25">
      <c r="A121" s="626"/>
      <c r="B121" s="635"/>
      <c r="C121" s="636"/>
      <c r="D121" s="631" t="s">
        <v>89</v>
      </c>
      <c r="E121" s="640">
        <v>0</v>
      </c>
      <c r="F121" s="633">
        <f>SUM(G121:J121)</f>
        <v>0</v>
      </c>
      <c r="G121" s="640">
        <f>10000-10000</f>
        <v>0</v>
      </c>
      <c r="H121" s="640">
        <v>0</v>
      </c>
      <c r="I121" s="634">
        <v>0</v>
      </c>
      <c r="J121" s="634">
        <v>0</v>
      </c>
      <c r="K121" s="634">
        <v>0</v>
      </c>
      <c r="L121" s="624"/>
      <c r="M121" s="624"/>
      <c r="N121" s="174">
        <f>I122+I123+I124+I125</f>
        <v>4000</v>
      </c>
      <c r="O121" s="73">
        <f>J122+J123+J124+J125</f>
        <v>320946.27</v>
      </c>
      <c r="P121" s="161"/>
    </row>
    <row r="122" spans="1:18" ht="37.5" x14ac:dyDescent="0.25">
      <c r="A122" s="621" t="s">
        <v>197</v>
      </c>
      <c r="B122" s="629" t="s">
        <v>350</v>
      </c>
      <c r="C122" s="637" t="s">
        <v>146</v>
      </c>
      <c r="D122" s="631" t="s">
        <v>5</v>
      </c>
      <c r="E122" s="641">
        <v>0</v>
      </c>
      <c r="F122" s="642">
        <f>SUM(G122:K122)</f>
        <v>538409.81999999995</v>
      </c>
      <c r="G122" s="643">
        <v>0</v>
      </c>
      <c r="H122" s="644">
        <v>0</v>
      </c>
      <c r="I122" s="645">
        <f>12000-12000</f>
        <v>0</v>
      </c>
      <c r="J122" s="645">
        <v>256757.02</v>
      </c>
      <c r="K122" s="646">
        <v>281652.8</v>
      </c>
      <c r="L122" s="624"/>
      <c r="M122" s="624"/>
      <c r="N122" s="174">
        <f>'[2]Лист 1'!$F$280/1000</f>
        <v>27122.42</v>
      </c>
      <c r="O122" s="74">
        <v>27122.42</v>
      </c>
      <c r="P122" s="161">
        <f t="shared" si="32"/>
        <v>0</v>
      </c>
      <c r="R122" s="52"/>
    </row>
    <row r="123" spans="1:18" ht="56.25" customHeight="1" x14ac:dyDescent="0.35">
      <c r="A123" s="647"/>
      <c r="B123" s="648"/>
      <c r="C123" s="630"/>
      <c r="D123" s="631" t="s">
        <v>9</v>
      </c>
      <c r="E123" s="641">
        <v>0</v>
      </c>
      <c r="F123" s="642">
        <f t="shared" ref="F123:F124" si="34">SUM(G123:K123)</f>
        <v>137685.09</v>
      </c>
      <c r="G123" s="641">
        <v>0</v>
      </c>
      <c r="H123" s="649">
        <v>0</v>
      </c>
      <c r="I123" s="650">
        <v>2000</v>
      </c>
      <c r="J123" s="650">
        <v>64189.25</v>
      </c>
      <c r="K123" s="651">
        <v>71495.839999999997</v>
      </c>
      <c r="L123" s="624"/>
      <c r="M123" s="624"/>
      <c r="N123" s="174">
        <f>'[2]Лист 1'!$F$281/1000</f>
        <v>6780.61</v>
      </c>
      <c r="O123" s="75">
        <v>6780.61</v>
      </c>
      <c r="P123" s="161">
        <f t="shared" si="32"/>
        <v>0</v>
      </c>
      <c r="Q123" s="170"/>
      <c r="R123" s="52"/>
    </row>
    <row r="124" spans="1:18" ht="96" customHeight="1" x14ac:dyDescent="0.25">
      <c r="A124" s="647"/>
      <c r="B124" s="648"/>
      <c r="C124" s="630"/>
      <c r="D124" s="631" t="s">
        <v>276</v>
      </c>
      <c r="E124" s="641">
        <v>0</v>
      </c>
      <c r="F124" s="642">
        <f t="shared" si="34"/>
        <v>2000</v>
      </c>
      <c r="G124" s="641">
        <v>0</v>
      </c>
      <c r="H124" s="649">
        <v>0</v>
      </c>
      <c r="I124" s="650">
        <v>2000</v>
      </c>
      <c r="J124" s="650">
        <v>0</v>
      </c>
      <c r="K124" s="651">
        <v>0</v>
      </c>
      <c r="L124" s="624"/>
      <c r="M124" s="624"/>
      <c r="N124" s="174">
        <v>6780.61</v>
      </c>
      <c r="O124" s="75">
        <v>6780.61</v>
      </c>
      <c r="P124" s="161">
        <f t="shared" si="32"/>
        <v>0</v>
      </c>
    </row>
    <row r="125" spans="1:18" ht="115.5" customHeight="1" x14ac:dyDescent="0.25">
      <c r="A125" s="626"/>
      <c r="B125" s="635"/>
      <c r="C125" s="636"/>
      <c r="D125" s="631" t="s">
        <v>89</v>
      </c>
      <c r="E125" s="641">
        <v>0</v>
      </c>
      <c r="F125" s="642">
        <f>SUM(G125:J125)</f>
        <v>98</v>
      </c>
      <c r="G125" s="641">
        <v>98</v>
      </c>
      <c r="H125" s="649">
        <v>0</v>
      </c>
      <c r="I125" s="650">
        <v>0</v>
      </c>
      <c r="J125" s="650">
        <v>0</v>
      </c>
      <c r="K125" s="651">
        <v>0</v>
      </c>
      <c r="L125" s="624"/>
      <c r="M125" s="624"/>
      <c r="N125" s="174">
        <f>'[2]Лист 1'!$F$279/1000</f>
        <v>9902</v>
      </c>
      <c r="O125" s="73">
        <v>9902</v>
      </c>
      <c r="P125" s="161">
        <f t="shared" si="32"/>
        <v>0</v>
      </c>
    </row>
    <row r="126" spans="1:18" s="213" customFormat="1" ht="60.75" customHeight="1" x14ac:dyDescent="0.25">
      <c r="A126" s="652" t="s">
        <v>198</v>
      </c>
      <c r="B126" s="653" t="s">
        <v>346</v>
      </c>
      <c r="C126" s="622" t="s">
        <v>347</v>
      </c>
      <c r="D126" s="654" t="s">
        <v>4</v>
      </c>
      <c r="E126" s="655">
        <v>0</v>
      </c>
      <c r="F126" s="642">
        <f>SUM(G126:K126)</f>
        <v>0</v>
      </c>
      <c r="G126" s="655">
        <v>0</v>
      </c>
      <c r="H126" s="655">
        <v>0</v>
      </c>
      <c r="I126" s="656" t="s">
        <v>279</v>
      </c>
      <c r="J126" s="656" t="s">
        <v>279</v>
      </c>
      <c r="K126" s="656" t="s">
        <v>279</v>
      </c>
      <c r="L126" s="624"/>
      <c r="M126" s="624"/>
      <c r="N126" s="210"/>
      <c r="O126" s="214" t="s">
        <v>42</v>
      </c>
      <c r="P126" s="212"/>
    </row>
    <row r="127" spans="1:18" ht="60.75" customHeight="1" x14ac:dyDescent="0.25">
      <c r="A127" s="652" t="s">
        <v>199</v>
      </c>
      <c r="B127" s="657" t="s">
        <v>348</v>
      </c>
      <c r="C127" s="658" t="s">
        <v>240</v>
      </c>
      <c r="D127" s="631" t="s">
        <v>4</v>
      </c>
      <c r="E127" s="655">
        <v>0</v>
      </c>
      <c r="F127" s="659">
        <f t="shared" ref="F127" si="35">SUM(G127:K127)</f>
        <v>0</v>
      </c>
      <c r="G127" s="655" t="s">
        <v>239</v>
      </c>
      <c r="H127" s="660" t="s">
        <v>239</v>
      </c>
      <c r="I127" s="656" t="s">
        <v>279</v>
      </c>
      <c r="J127" s="656" t="s">
        <v>279</v>
      </c>
      <c r="K127" s="646" t="s">
        <v>239</v>
      </c>
      <c r="L127" s="624"/>
      <c r="M127" s="624"/>
      <c r="N127" s="174"/>
      <c r="O127" s="76" t="s">
        <v>279</v>
      </c>
      <c r="P127" s="161"/>
    </row>
    <row r="128" spans="1:18" s="26" customFormat="1" ht="38.25" customHeight="1" x14ac:dyDescent="0.25">
      <c r="A128" s="621" t="s">
        <v>200</v>
      </c>
      <c r="B128" s="629" t="s">
        <v>358</v>
      </c>
      <c r="C128" s="637" t="s">
        <v>312</v>
      </c>
      <c r="D128" s="492" t="s">
        <v>5</v>
      </c>
      <c r="E128" s="655">
        <v>0</v>
      </c>
      <c r="F128" s="659">
        <f t="shared" ref="F128:F130" si="36">SUM(G128:K128)</f>
        <v>725564.27</v>
      </c>
      <c r="G128" s="643">
        <v>0</v>
      </c>
      <c r="H128" s="660">
        <v>0</v>
      </c>
      <c r="I128" s="645">
        <v>6035.06</v>
      </c>
      <c r="J128" s="645">
        <v>63006.06</v>
      </c>
      <c r="K128" s="646">
        <v>656523.15</v>
      </c>
      <c r="L128" s="624"/>
      <c r="M128" s="624"/>
      <c r="N128" s="174"/>
      <c r="O128" s="77"/>
      <c r="P128" s="161"/>
    </row>
    <row r="129" spans="1:20" s="26" customFormat="1" ht="59.25" customHeight="1" x14ac:dyDescent="0.25">
      <c r="A129" s="647"/>
      <c r="B129" s="648"/>
      <c r="C129" s="630"/>
      <c r="D129" s="492" t="s">
        <v>9</v>
      </c>
      <c r="E129" s="655">
        <v>0</v>
      </c>
      <c r="F129" s="659">
        <f t="shared" si="36"/>
        <v>435338.57</v>
      </c>
      <c r="G129" s="643">
        <v>0</v>
      </c>
      <c r="H129" s="660">
        <v>0</v>
      </c>
      <c r="I129" s="645">
        <v>3621.04</v>
      </c>
      <c r="J129" s="645">
        <v>37803.64</v>
      </c>
      <c r="K129" s="646">
        <v>393913.89</v>
      </c>
      <c r="L129" s="624"/>
      <c r="M129" s="624"/>
      <c r="N129" s="174"/>
      <c r="O129" s="77"/>
      <c r="P129" s="161"/>
    </row>
    <row r="130" spans="1:20" s="26" customFormat="1" ht="96.75" customHeight="1" x14ac:dyDescent="0.25">
      <c r="A130" s="626"/>
      <c r="B130" s="635"/>
      <c r="C130" s="636"/>
      <c r="D130" s="492" t="s">
        <v>276</v>
      </c>
      <c r="E130" s="655">
        <v>0</v>
      </c>
      <c r="F130" s="659">
        <f t="shared" si="36"/>
        <v>3621.04</v>
      </c>
      <c r="G130" s="643">
        <v>0</v>
      </c>
      <c r="H130" s="660">
        <v>0</v>
      </c>
      <c r="I130" s="645">
        <v>3621.04</v>
      </c>
      <c r="J130" s="645">
        <v>0</v>
      </c>
      <c r="K130" s="646">
        <v>0</v>
      </c>
      <c r="L130" s="624"/>
      <c r="M130" s="624"/>
      <c r="N130" s="174"/>
      <c r="O130" s="77"/>
      <c r="P130" s="161"/>
    </row>
    <row r="131" spans="1:20" s="216" customFormat="1" ht="31.5" hidden="1" x14ac:dyDescent="0.25">
      <c r="A131" s="652"/>
      <c r="B131" s="657"/>
      <c r="C131" s="658"/>
      <c r="D131" s="631"/>
      <c r="E131" s="655"/>
      <c r="F131" s="661"/>
      <c r="G131" s="655"/>
      <c r="H131" s="662"/>
      <c r="I131" s="656"/>
      <c r="J131" s="645"/>
      <c r="K131" s="646"/>
      <c r="L131" s="624"/>
      <c r="M131" s="624"/>
      <c r="N131" s="210"/>
      <c r="O131" s="215" t="s">
        <v>279</v>
      </c>
      <c r="P131" s="212"/>
    </row>
    <row r="132" spans="1:20" s="213" customFormat="1" ht="18.75" hidden="1" x14ac:dyDescent="0.25">
      <c r="A132" s="652"/>
      <c r="B132" s="657"/>
      <c r="C132" s="658"/>
      <c r="D132" s="631"/>
      <c r="E132" s="655"/>
      <c r="F132" s="661"/>
      <c r="G132" s="655"/>
      <c r="H132" s="660"/>
      <c r="I132" s="656"/>
      <c r="J132" s="656"/>
      <c r="K132" s="646"/>
      <c r="L132" s="624"/>
      <c r="M132" s="624"/>
      <c r="N132" s="210"/>
      <c r="O132" s="214" t="s">
        <v>239</v>
      </c>
      <c r="P132" s="212"/>
    </row>
    <row r="133" spans="1:20" ht="18.75" x14ac:dyDescent="0.25">
      <c r="A133" s="663" t="s">
        <v>57</v>
      </c>
      <c r="B133" s="664"/>
      <c r="C133" s="664"/>
      <c r="D133" s="664"/>
      <c r="E133" s="665">
        <f>E135+E136+E138+E139+E140+E141+E134</f>
        <v>4233004.8689999999</v>
      </c>
      <c r="F133" s="666">
        <f t="shared" ref="F133:K133" si="37">F135+F136+F138+F139+F140+F141+F134</f>
        <v>25973052.535730001</v>
      </c>
      <c r="G133" s="665">
        <f t="shared" si="37"/>
        <v>5608503.5409999993</v>
      </c>
      <c r="H133" s="665">
        <f t="shared" si="37"/>
        <v>4682455.1327999998</v>
      </c>
      <c r="I133" s="666">
        <f t="shared" si="37"/>
        <v>4769145.3769300003</v>
      </c>
      <c r="J133" s="666">
        <f t="shared" si="37"/>
        <v>4964570.2740000002</v>
      </c>
      <c r="K133" s="666">
        <f t="shared" si="37"/>
        <v>5948378.2110000011</v>
      </c>
      <c r="L133" s="79"/>
      <c r="M133" s="80"/>
      <c r="N133" s="174">
        <f>F10+F106+F109</f>
        <v>25973052.535730004</v>
      </c>
      <c r="O133" s="159"/>
      <c r="P133" s="159"/>
    </row>
    <row r="134" spans="1:20" ht="18.75" x14ac:dyDescent="0.25">
      <c r="A134" s="341" t="s">
        <v>296</v>
      </c>
      <c r="B134" s="341"/>
      <c r="C134" s="341"/>
      <c r="D134" s="341"/>
      <c r="E134" s="78">
        <f>E11</f>
        <v>0</v>
      </c>
      <c r="F134" s="666">
        <f>SUM(G134:K134)</f>
        <v>10366.06754</v>
      </c>
      <c r="G134" s="78">
        <f>G11</f>
        <v>0</v>
      </c>
      <c r="H134" s="78">
        <f>H11</f>
        <v>0</v>
      </c>
      <c r="I134" s="208">
        <f>I11</f>
        <v>10366.06754</v>
      </c>
      <c r="J134" s="208">
        <f>J11</f>
        <v>0</v>
      </c>
      <c r="K134" s="208">
        <f>K11</f>
        <v>0</v>
      </c>
      <c r="L134" s="79"/>
      <c r="M134" s="80"/>
      <c r="N134" s="174"/>
      <c r="O134" s="159"/>
      <c r="P134" s="159"/>
      <c r="R134" s="20"/>
      <c r="S134" s="20"/>
      <c r="T134" s="20"/>
    </row>
    <row r="135" spans="1:20" ht="18.75" x14ac:dyDescent="0.25">
      <c r="A135" s="341" t="s">
        <v>5</v>
      </c>
      <c r="B135" s="341"/>
      <c r="C135" s="341"/>
      <c r="D135" s="341"/>
      <c r="E135" s="78">
        <f>E12</f>
        <v>2579269.7999999998</v>
      </c>
      <c r="F135" s="666">
        <f>SUM(G135:K135)</f>
        <v>18362894.476849999</v>
      </c>
      <c r="G135" s="78">
        <f>G12+G110</f>
        <v>3092216.1409999998</v>
      </c>
      <c r="H135" s="78">
        <f>H12+H110</f>
        <v>3501340.89</v>
      </c>
      <c r="I135" s="208">
        <f>I12+I110</f>
        <v>3561979.41585</v>
      </c>
      <c r="J135" s="208">
        <f>J12+J110</f>
        <v>3792777.08</v>
      </c>
      <c r="K135" s="208">
        <f>K12+K110</f>
        <v>4414580.95</v>
      </c>
      <c r="L135" s="79"/>
      <c r="M135" s="80"/>
      <c r="N135" s="174"/>
      <c r="O135" s="159"/>
      <c r="P135" s="159"/>
      <c r="R135" s="20"/>
      <c r="S135" s="20"/>
      <c r="T135" s="20"/>
    </row>
    <row r="136" spans="1:20" ht="18.75" x14ac:dyDescent="0.25">
      <c r="A136" s="341" t="s">
        <v>9</v>
      </c>
      <c r="B136" s="341"/>
      <c r="C136" s="341"/>
      <c r="D136" s="341"/>
      <c r="E136" s="78">
        <f>E13+E106+E111</f>
        <v>1116847.523</v>
      </c>
      <c r="F136" s="666">
        <f t="shared" ref="F136:F141" si="38">SUM(G136:K136)</f>
        <v>6332297.7010200005</v>
      </c>
      <c r="G136" s="78">
        <f>G13+G106+G111</f>
        <v>2274405.4</v>
      </c>
      <c r="H136" s="78">
        <f>H13+H106+H111</f>
        <v>934240.68780000019</v>
      </c>
      <c r="I136" s="208">
        <f>I13+I106+I111</f>
        <v>902331.52522000019</v>
      </c>
      <c r="J136" s="208">
        <f>J13+J106+J111</f>
        <v>928937.12400000019</v>
      </c>
      <c r="K136" s="208">
        <f>K13+K106+K111</f>
        <v>1292382.9640000002</v>
      </c>
      <c r="L136" s="81"/>
      <c r="M136" s="80"/>
      <c r="N136" s="174"/>
      <c r="O136" s="159"/>
      <c r="P136" s="159"/>
      <c r="R136" s="20"/>
      <c r="S136" s="20"/>
      <c r="T136" s="20"/>
    </row>
    <row r="137" spans="1:20" ht="18.75" x14ac:dyDescent="0.25">
      <c r="A137" s="341" t="s">
        <v>276</v>
      </c>
      <c r="B137" s="341"/>
      <c r="C137" s="341"/>
      <c r="D137" s="341"/>
      <c r="E137" s="78">
        <v>0</v>
      </c>
      <c r="F137" s="666">
        <f t="shared" si="38"/>
        <v>219717.13621999999</v>
      </c>
      <c r="G137" s="78">
        <f>G23+G30+G36+G50+G52+G55+G59+G63+G66+G75+G78+G81+G88+G91+G95+G124+G130</f>
        <v>0</v>
      </c>
      <c r="H137" s="78">
        <f>H23+H30+H36+H50+H52+H55+H59+H75+H78+H81+H88+H91+H95+H124+H130</f>
        <v>112539.53099999999</v>
      </c>
      <c r="I137" s="208">
        <f>I23+I30+I36+I50+I52+I55+I59+I75+I78+I81+I88+I91+I95+I124+I130</f>
        <v>107177.60522</v>
      </c>
      <c r="J137" s="78">
        <f>J23+J30+J36+J50+J52+J55+J59+J75+J78+J81+J88+J91+J95+J124+J130</f>
        <v>0</v>
      </c>
      <c r="K137" s="78">
        <f>K23+K30+K36+K50+K52+K55+K59+K75+K78+K81+K88+K91+K95+K124+K130</f>
        <v>0</v>
      </c>
      <c r="L137" s="81"/>
      <c r="M137" s="80"/>
      <c r="N137" s="174"/>
      <c r="O137" s="159"/>
      <c r="P137" s="159"/>
    </row>
    <row r="138" spans="1:20" ht="38.25" customHeight="1" x14ac:dyDescent="0.3">
      <c r="A138" s="283" t="s">
        <v>89</v>
      </c>
      <c r="B138" s="283"/>
      <c r="C138" s="283"/>
      <c r="D138" s="283"/>
      <c r="E138" s="35">
        <f>E14+E112</f>
        <v>363743.42600000004</v>
      </c>
      <c r="F138" s="666">
        <f t="shared" si="38"/>
        <v>59866.342089999998</v>
      </c>
      <c r="G138" s="35">
        <f>G14+G112</f>
        <v>38194.165000000001</v>
      </c>
      <c r="H138" s="35">
        <f>H14+H112</f>
        <v>14133.948</v>
      </c>
      <c r="I138" s="203">
        <f>I14+I112</f>
        <v>7538.2290899999998</v>
      </c>
      <c r="J138" s="203">
        <f>J14+J112</f>
        <v>0</v>
      </c>
      <c r="K138" s="203">
        <f>K14+K112</f>
        <v>0</v>
      </c>
      <c r="L138" s="34"/>
      <c r="M138" s="521"/>
      <c r="N138" s="174"/>
      <c r="O138" s="159"/>
      <c r="P138" s="159"/>
      <c r="R138" s="20"/>
      <c r="S138" s="20"/>
      <c r="T138" s="20"/>
    </row>
    <row r="139" spans="1:20" ht="18.75" x14ac:dyDescent="0.3">
      <c r="A139" s="282" t="s">
        <v>51</v>
      </c>
      <c r="B139" s="282"/>
      <c r="C139" s="282"/>
      <c r="D139" s="282"/>
      <c r="E139" s="35">
        <f>E15</f>
        <v>168767.12400000001</v>
      </c>
      <c r="F139" s="666">
        <f t="shared" si="38"/>
        <v>1170586.8042299999</v>
      </c>
      <c r="G139" s="35">
        <f t="shared" ref="G139:K140" si="39">G15</f>
        <v>198466.71000000002</v>
      </c>
      <c r="H139" s="35">
        <f t="shared" si="39"/>
        <v>227174.23200000002</v>
      </c>
      <c r="I139" s="203">
        <f t="shared" si="39"/>
        <v>278178.59122999996</v>
      </c>
      <c r="J139" s="203">
        <f t="shared" si="39"/>
        <v>234104.522</v>
      </c>
      <c r="K139" s="203">
        <f t="shared" si="39"/>
        <v>232662.74900000001</v>
      </c>
      <c r="L139" s="34"/>
      <c r="M139" s="521"/>
      <c r="N139" s="141"/>
      <c r="O139" s="141"/>
      <c r="P139" s="141"/>
      <c r="R139" s="20"/>
      <c r="S139" s="20"/>
      <c r="T139" s="20"/>
    </row>
    <row r="140" spans="1:20" ht="18.75" x14ac:dyDescent="0.3">
      <c r="A140" s="282" t="s">
        <v>64</v>
      </c>
      <c r="B140" s="282"/>
      <c r="C140" s="282"/>
      <c r="D140" s="282"/>
      <c r="E140" s="35">
        <f>E16</f>
        <v>4376.9960000000001</v>
      </c>
      <c r="F140" s="666">
        <f t="shared" si="38"/>
        <v>37041.144000000008</v>
      </c>
      <c r="G140" s="35">
        <f t="shared" si="39"/>
        <v>5221.125</v>
      </c>
      <c r="H140" s="35">
        <f t="shared" si="39"/>
        <v>5565.375</v>
      </c>
      <c r="I140" s="203">
        <f t="shared" si="39"/>
        <v>8751.5480000000007</v>
      </c>
      <c r="J140" s="203">
        <f t="shared" si="39"/>
        <v>8751.5480000000007</v>
      </c>
      <c r="K140" s="203">
        <f t="shared" si="39"/>
        <v>8751.5480000000007</v>
      </c>
      <c r="L140" s="34"/>
      <c r="M140" s="521"/>
      <c r="N140" s="141"/>
      <c r="O140" s="141"/>
      <c r="P140" s="141"/>
      <c r="R140" s="20"/>
      <c r="S140" s="20"/>
      <c r="T140" s="20"/>
    </row>
    <row r="141" spans="1:20" ht="18.75" x14ac:dyDescent="0.3">
      <c r="A141" s="282" t="s">
        <v>4</v>
      </c>
      <c r="B141" s="282"/>
      <c r="C141" s="282"/>
      <c r="D141" s="282"/>
      <c r="E141" s="33">
        <f>E113</f>
        <v>0</v>
      </c>
      <c r="F141" s="666">
        <f t="shared" si="38"/>
        <v>0</v>
      </c>
      <c r="G141" s="35">
        <f>G113</f>
        <v>0</v>
      </c>
      <c r="H141" s="35">
        <f>H113</f>
        <v>0</v>
      </c>
      <c r="I141" s="203">
        <v>0</v>
      </c>
      <c r="J141" s="203">
        <v>0</v>
      </c>
      <c r="K141" s="203">
        <v>0</v>
      </c>
      <c r="L141" s="34"/>
      <c r="M141" s="521"/>
      <c r="N141" s="141"/>
      <c r="O141" s="141"/>
      <c r="P141" s="141"/>
    </row>
    <row r="142" spans="1:20" ht="15.75" x14ac:dyDescent="0.25">
      <c r="A142" s="82"/>
      <c r="B142" s="82"/>
      <c r="C142" s="82"/>
      <c r="D142" s="82"/>
      <c r="E142" s="83"/>
      <c r="F142" s="84"/>
      <c r="G142" s="83"/>
      <c r="H142" s="184"/>
      <c r="I142" s="209"/>
      <c r="J142" s="209"/>
      <c r="K142" s="209"/>
      <c r="L142" s="85"/>
      <c r="M142" s="86"/>
      <c r="N142" s="86"/>
      <c r="O142" s="86"/>
      <c r="P142" s="86"/>
    </row>
    <row r="143" spans="1:20" ht="15.75" x14ac:dyDescent="0.25">
      <c r="F143" s="37"/>
      <c r="G143" s="20"/>
      <c r="H143" s="181"/>
    </row>
    <row r="144" spans="1:20" ht="21" x14ac:dyDescent="0.35">
      <c r="F144" s="37"/>
      <c r="G144" s="20"/>
      <c r="H144" s="181"/>
      <c r="I144" s="230"/>
      <c r="J144" s="230"/>
      <c r="K144" s="230"/>
    </row>
    <row r="145" spans="8:11" ht="21" x14ac:dyDescent="0.35">
      <c r="H145" s="181"/>
      <c r="I145" s="230"/>
      <c r="J145" s="231"/>
      <c r="K145" s="231"/>
    </row>
    <row r="146" spans="8:11" ht="15.75" x14ac:dyDescent="0.25">
      <c r="H146" s="181"/>
      <c r="I146" s="38"/>
      <c r="J146" s="20"/>
      <c r="K146" s="20"/>
    </row>
    <row r="147" spans="8:11" ht="15.75" x14ac:dyDescent="0.25">
      <c r="H147" s="181"/>
    </row>
    <row r="148" spans="8:11" ht="15.75" x14ac:dyDescent="0.25">
      <c r="H148" s="181"/>
    </row>
    <row r="149" spans="8:11" x14ac:dyDescent="0.25">
      <c r="H149" s="180"/>
    </row>
    <row r="150" spans="8:11" x14ac:dyDescent="0.25">
      <c r="H150" s="180"/>
    </row>
    <row r="152" spans="8:11" x14ac:dyDescent="0.25">
      <c r="H152" s="185"/>
    </row>
    <row r="153" spans="8:11" x14ac:dyDescent="0.25">
      <c r="H153" s="185"/>
    </row>
    <row r="154" spans="8:11" x14ac:dyDescent="0.25">
      <c r="H154" s="185"/>
    </row>
  </sheetData>
  <mergeCells count="181">
    <mergeCell ref="M22:M24"/>
    <mergeCell ref="M116:M132"/>
    <mergeCell ref="C122:C125"/>
    <mergeCell ref="B89:B91"/>
    <mergeCell ref="M89:M91"/>
    <mergeCell ref="A82:A95"/>
    <mergeCell ref="B92:B95"/>
    <mergeCell ref="C92:C95"/>
    <mergeCell ref="B103:B105"/>
    <mergeCell ref="M103:M105"/>
    <mergeCell ref="C96:C105"/>
    <mergeCell ref="A96:A105"/>
    <mergeCell ref="L96:L105"/>
    <mergeCell ref="M92:M95"/>
    <mergeCell ref="M28:M30"/>
    <mergeCell ref="A128:A130"/>
    <mergeCell ref="B128:B130"/>
    <mergeCell ref="C128:C130"/>
    <mergeCell ref="B61:B63"/>
    <mergeCell ref="B64:B66"/>
    <mergeCell ref="B51:B53"/>
    <mergeCell ref="A51:A53"/>
    <mergeCell ref="C51:C53"/>
    <mergeCell ref="L51:L53"/>
    <mergeCell ref="B34:B38"/>
    <mergeCell ref="A57:A66"/>
    <mergeCell ref="A80:A81"/>
    <mergeCell ref="B80:B81"/>
    <mergeCell ref="C80:C81"/>
    <mergeCell ref="L80:L81"/>
    <mergeCell ref="M80:M81"/>
    <mergeCell ref="M99:M100"/>
    <mergeCell ref="B45:B46"/>
    <mergeCell ref="M54:M56"/>
    <mergeCell ref="A47:A48"/>
    <mergeCell ref="M73:M75"/>
    <mergeCell ref="M101:M102"/>
    <mergeCell ref="C89:C90"/>
    <mergeCell ref="B82:B84"/>
    <mergeCell ref="C82:C84"/>
    <mergeCell ref="B47:B48"/>
    <mergeCell ref="M34:M38"/>
    <mergeCell ref="A34:A38"/>
    <mergeCell ref="B32:B33"/>
    <mergeCell ref="L45:L46"/>
    <mergeCell ref="M45:M46"/>
    <mergeCell ref="M43:M44"/>
    <mergeCell ref="A54:A56"/>
    <mergeCell ref="A43:A44"/>
    <mergeCell ref="A39:A40"/>
    <mergeCell ref="B39:B40"/>
    <mergeCell ref="A41:A42"/>
    <mergeCell ref="L39:L40"/>
    <mergeCell ref="B41:B42"/>
    <mergeCell ref="C43:C44"/>
    <mergeCell ref="A45:A46"/>
    <mergeCell ref="C49:C50"/>
    <mergeCell ref="M49:M50"/>
    <mergeCell ref="L49:L50"/>
    <mergeCell ref="M51:M53"/>
    <mergeCell ref="A109:A113"/>
    <mergeCell ref="B109:B113"/>
    <mergeCell ref="A141:D141"/>
    <mergeCell ref="A136:D136"/>
    <mergeCell ref="A135:D135"/>
    <mergeCell ref="A140:D140"/>
    <mergeCell ref="A138:D138"/>
    <mergeCell ref="A139:D139"/>
    <mergeCell ref="A133:D133"/>
    <mergeCell ref="A118:A119"/>
    <mergeCell ref="A134:D134"/>
    <mergeCell ref="A137:D137"/>
    <mergeCell ref="M17:M19"/>
    <mergeCell ref="L114:L115"/>
    <mergeCell ref="M114:M115"/>
    <mergeCell ref="L109:L113"/>
    <mergeCell ref="L34:L38"/>
    <mergeCell ref="M47:M48"/>
    <mergeCell ref="L47:L48"/>
    <mergeCell ref="C47:C48"/>
    <mergeCell ref="L69:L70"/>
    <mergeCell ref="C45:C46"/>
    <mergeCell ref="C39:C40"/>
    <mergeCell ref="C41:C42"/>
    <mergeCell ref="C34:C38"/>
    <mergeCell ref="L41:L42"/>
    <mergeCell ref="C54:C56"/>
    <mergeCell ref="L54:L56"/>
    <mergeCell ref="M41:M42"/>
    <mergeCell ref="M39:M40"/>
    <mergeCell ref="M76:M78"/>
    <mergeCell ref="M69:M70"/>
    <mergeCell ref="C64:C66"/>
    <mergeCell ref="L57:L66"/>
    <mergeCell ref="C61:C63"/>
    <mergeCell ref="L20:L21"/>
    <mergeCell ref="L2:M2"/>
    <mergeCell ref="C32:C33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6"/>
    <mergeCell ref="B10:B16"/>
    <mergeCell ref="C10:C16"/>
    <mergeCell ref="A32:A33"/>
    <mergeCell ref="A9:M9"/>
    <mergeCell ref="M32:M33"/>
    <mergeCell ref="L10:L16"/>
    <mergeCell ref="M10:M16"/>
    <mergeCell ref="M20:M21"/>
    <mergeCell ref="A17:A19"/>
    <mergeCell ref="B17:B19"/>
    <mergeCell ref="C17:C19"/>
    <mergeCell ref="A20:A21"/>
    <mergeCell ref="B20:B21"/>
    <mergeCell ref="C20:C21"/>
    <mergeCell ref="L17:L19"/>
    <mergeCell ref="L32:L33"/>
    <mergeCell ref="A28:A30"/>
    <mergeCell ref="B28:B30"/>
    <mergeCell ref="C28:C30"/>
    <mergeCell ref="L28:L30"/>
    <mergeCell ref="A22:A24"/>
    <mergeCell ref="B22:B24"/>
    <mergeCell ref="C22:C24"/>
    <mergeCell ref="L22:L24"/>
    <mergeCell ref="E1:G2"/>
    <mergeCell ref="L116:L132"/>
    <mergeCell ref="A73:A75"/>
    <mergeCell ref="B73:B75"/>
    <mergeCell ref="C73:C75"/>
    <mergeCell ref="L73:L75"/>
    <mergeCell ref="A122:A125"/>
    <mergeCell ref="L107:L108"/>
    <mergeCell ref="B120:B121"/>
    <mergeCell ref="C118:C119"/>
    <mergeCell ref="C114:C115"/>
    <mergeCell ref="A114:A115"/>
    <mergeCell ref="A116:A117"/>
    <mergeCell ref="C116:C117"/>
    <mergeCell ref="C107:C108"/>
    <mergeCell ref="C120:C121"/>
    <mergeCell ref="C69:C70"/>
    <mergeCell ref="C109:C113"/>
    <mergeCell ref="L43:L44"/>
    <mergeCell ref="B54:B56"/>
    <mergeCell ref="B43:B44"/>
    <mergeCell ref="B122:B125"/>
    <mergeCell ref="A49:A50"/>
    <mergeCell ref="B49:B50"/>
    <mergeCell ref="M109:M113"/>
    <mergeCell ref="B118:B119"/>
    <mergeCell ref="A120:A121"/>
    <mergeCell ref="B57:B60"/>
    <mergeCell ref="C57:C60"/>
    <mergeCell ref="M107:M108"/>
    <mergeCell ref="A69:A70"/>
    <mergeCell ref="B69:B70"/>
    <mergeCell ref="A76:A78"/>
    <mergeCell ref="B76:B78"/>
    <mergeCell ref="C76:C78"/>
    <mergeCell ref="L76:L78"/>
    <mergeCell ref="M57:M66"/>
    <mergeCell ref="L82:L95"/>
    <mergeCell ref="B85:B88"/>
    <mergeCell ref="M85:M88"/>
    <mergeCell ref="B96:B98"/>
    <mergeCell ref="M96:M98"/>
    <mergeCell ref="B99:B100"/>
    <mergeCell ref="M82:M84"/>
    <mergeCell ref="C85:C87"/>
    <mergeCell ref="B116:B117"/>
    <mergeCell ref="B114:B115"/>
    <mergeCell ref="B101:B102"/>
  </mergeCells>
  <pageMargins left="0.19685039370078741" right="0.19685039370078741" top="0.19685039370078741" bottom="0.19685039370078741" header="0" footer="0"/>
  <pageSetup paperSize="9" scale="47" fitToHeight="0" orientation="landscape" r:id="rId1"/>
  <headerFooter scaleWithDoc="0"/>
  <rowBreaks count="9" manualBreakCount="9">
    <brk id="23" max="12" man="1"/>
    <brk id="31" max="12" man="1"/>
    <brk id="42" max="12" man="1"/>
    <brk id="53" max="12" man="1"/>
    <brk id="66" max="12" man="1"/>
    <brk id="75" max="12" man="1"/>
    <brk id="88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48"/>
  <sheetViews>
    <sheetView view="pageBreakPreview" zoomScale="70" zoomScaleNormal="70" zoomScaleSheetLayoutView="70" workbookViewId="0">
      <pane ySplit="7" topLeftCell="A8" activePane="bottomLeft" state="frozen"/>
      <selection pane="bottomLeft" activeCell="R38" sqref="R38"/>
    </sheetView>
  </sheetViews>
  <sheetFormatPr defaultColWidth="9.140625" defaultRowHeight="15" x14ac:dyDescent="0.25"/>
  <cols>
    <col min="1" max="1" width="8.28515625" style="6" customWidth="1"/>
    <col min="2" max="2" width="66.28515625" style="6" customWidth="1"/>
    <col min="3" max="3" width="18.5703125" style="97" customWidth="1"/>
    <col min="4" max="4" width="31.140625" style="6" customWidth="1"/>
    <col min="5" max="5" width="20.7109375" style="6" customWidth="1"/>
    <col min="6" max="6" width="21.7109375" style="41" customWidth="1"/>
    <col min="7" max="7" width="16.5703125" style="6" customWidth="1"/>
    <col min="8" max="8" width="16.5703125" style="182" customWidth="1"/>
    <col min="9" max="9" width="18.42578125" style="42" customWidth="1"/>
    <col min="10" max="10" width="20.28515625" style="6" customWidth="1"/>
    <col min="11" max="11" width="17.85546875" style="6" customWidth="1"/>
    <col min="12" max="12" width="23.42578125" style="6" customWidth="1"/>
    <col min="13" max="13" width="32.42578125" style="6" customWidth="1"/>
    <col min="14" max="16" width="23.140625" style="6" hidden="1" customWidth="1"/>
    <col min="17" max="17" width="20" style="6" hidden="1" customWidth="1"/>
    <col min="18" max="18" width="23.42578125" style="6" customWidth="1"/>
    <col min="19" max="20" width="9.140625" style="6" customWidth="1"/>
    <col min="21" max="16384" width="9.140625" style="6"/>
  </cols>
  <sheetData>
    <row r="1" spans="1:20" ht="15.6" x14ac:dyDescent="0.3">
      <c r="A1" s="1"/>
      <c r="B1" s="2"/>
      <c r="C1" s="3"/>
      <c r="D1" s="2"/>
      <c r="E1" s="2"/>
      <c r="F1" s="43"/>
      <c r="G1" s="2"/>
      <c r="H1" s="183"/>
      <c r="I1" s="4"/>
      <c r="J1" s="5"/>
      <c r="K1" s="5"/>
      <c r="L1" s="5"/>
      <c r="M1" s="5"/>
      <c r="N1" s="5"/>
      <c r="O1" s="5"/>
      <c r="P1" s="5"/>
    </row>
    <row r="2" spans="1:20" ht="15.75" customHeight="1" x14ac:dyDescent="0.25">
      <c r="A2" s="1"/>
      <c r="B2" s="7"/>
      <c r="C2" s="8"/>
      <c r="D2" s="9"/>
      <c r="E2" s="9"/>
      <c r="F2" s="44"/>
      <c r="G2" s="10"/>
      <c r="H2" s="179"/>
      <c r="I2" s="11"/>
      <c r="J2" s="10"/>
      <c r="K2" s="10"/>
      <c r="L2" s="304"/>
      <c r="M2" s="304"/>
      <c r="N2" s="194"/>
      <c r="O2" s="194"/>
      <c r="P2" s="194"/>
    </row>
    <row r="3" spans="1:20" ht="15.75" customHeight="1" thickBot="1" x14ac:dyDescent="0.3">
      <c r="A3" s="1"/>
      <c r="B3" s="7"/>
      <c r="C3" s="8"/>
      <c r="D3" s="9"/>
      <c r="E3" s="9"/>
      <c r="F3" s="44"/>
      <c r="G3" s="10"/>
      <c r="H3" s="179"/>
      <c r="I3" s="11"/>
      <c r="J3" s="10"/>
      <c r="K3" s="10"/>
      <c r="L3" s="194"/>
      <c r="M3" s="194"/>
      <c r="N3" s="194"/>
      <c r="O3" s="194"/>
      <c r="P3" s="194"/>
    </row>
    <row r="4" spans="1:20" ht="15.75" customHeight="1" x14ac:dyDescent="0.25">
      <c r="A4" s="362" t="s">
        <v>1</v>
      </c>
      <c r="B4" s="373" t="s">
        <v>14</v>
      </c>
      <c r="C4" s="373" t="s">
        <v>0</v>
      </c>
      <c r="D4" s="348" t="s">
        <v>15</v>
      </c>
      <c r="E4" s="348" t="s">
        <v>145</v>
      </c>
      <c r="F4" s="348" t="s">
        <v>16</v>
      </c>
      <c r="G4" s="356" t="s">
        <v>48</v>
      </c>
      <c r="H4" s="357"/>
      <c r="I4" s="357"/>
      <c r="J4" s="357"/>
      <c r="K4" s="358"/>
      <c r="L4" s="355" t="s">
        <v>17</v>
      </c>
      <c r="M4" s="351" t="s">
        <v>7</v>
      </c>
      <c r="N4" s="149"/>
      <c r="O4" s="149"/>
      <c r="P4" s="149"/>
    </row>
    <row r="5" spans="1:20" ht="15.75" customHeight="1" x14ac:dyDescent="0.25">
      <c r="A5" s="363"/>
      <c r="B5" s="374"/>
      <c r="C5" s="374"/>
      <c r="D5" s="381"/>
      <c r="E5" s="349"/>
      <c r="F5" s="349"/>
      <c r="G5" s="359"/>
      <c r="H5" s="360"/>
      <c r="I5" s="360"/>
      <c r="J5" s="360"/>
      <c r="K5" s="361"/>
      <c r="L5" s="343"/>
      <c r="M5" s="346"/>
      <c r="N5" s="149"/>
      <c r="O5" s="149"/>
      <c r="P5" s="149"/>
    </row>
    <row r="6" spans="1:20" ht="46.5" customHeight="1" x14ac:dyDescent="0.25">
      <c r="A6" s="363"/>
      <c r="B6" s="374"/>
      <c r="C6" s="375"/>
      <c r="D6" s="382"/>
      <c r="E6" s="350"/>
      <c r="F6" s="350"/>
      <c r="G6" s="62" t="s">
        <v>46</v>
      </c>
      <c r="H6" s="62" t="s">
        <v>47</v>
      </c>
      <c r="I6" s="62" t="s">
        <v>147</v>
      </c>
      <c r="J6" s="62" t="s">
        <v>148</v>
      </c>
      <c r="K6" s="62" t="s">
        <v>149</v>
      </c>
      <c r="L6" s="344"/>
      <c r="M6" s="347"/>
      <c r="N6" s="149" t="s">
        <v>299</v>
      </c>
      <c r="O6" s="149" t="s">
        <v>300</v>
      </c>
      <c r="P6" s="149"/>
    </row>
    <row r="7" spans="1:20" ht="21" customHeight="1" x14ac:dyDescent="0.25">
      <c r="A7" s="15">
        <v>1</v>
      </c>
      <c r="B7" s="16">
        <v>2</v>
      </c>
      <c r="C7" s="16" t="s">
        <v>18</v>
      </c>
      <c r="D7" s="16" t="s">
        <v>134</v>
      </c>
      <c r="E7" s="16" t="s">
        <v>19</v>
      </c>
      <c r="F7" s="16" t="s">
        <v>131</v>
      </c>
      <c r="G7" s="16" t="s">
        <v>20</v>
      </c>
      <c r="H7" s="16" t="s">
        <v>132</v>
      </c>
      <c r="I7" s="16" t="s">
        <v>21</v>
      </c>
      <c r="J7" s="16" t="s">
        <v>22</v>
      </c>
      <c r="K7" s="16" t="s">
        <v>30</v>
      </c>
      <c r="L7" s="16" t="s">
        <v>31</v>
      </c>
      <c r="M7" s="17" t="s">
        <v>50</v>
      </c>
      <c r="N7" s="138"/>
      <c r="O7" s="138"/>
      <c r="P7" s="138"/>
    </row>
    <row r="8" spans="1:20" ht="18.75" x14ac:dyDescent="0.25">
      <c r="A8" s="352" t="s">
        <v>63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149"/>
      <c r="O8" s="149"/>
      <c r="P8" s="149"/>
    </row>
    <row r="9" spans="1:20" ht="25.5" customHeight="1" x14ac:dyDescent="0.25">
      <c r="A9" s="364"/>
      <c r="B9" s="342" t="s">
        <v>137</v>
      </c>
      <c r="C9" s="329" t="s">
        <v>146</v>
      </c>
      <c r="D9" s="48" t="s">
        <v>10</v>
      </c>
      <c r="E9" s="49">
        <f t="shared" ref="E9:K9" si="0">SUM(E10:E12)</f>
        <v>89607.173999999999</v>
      </c>
      <c r="F9" s="206">
        <f t="shared" si="0"/>
        <v>558048.52</v>
      </c>
      <c r="G9" s="49">
        <f>SUM(G10:G12)</f>
        <v>98456.650000000009</v>
      </c>
      <c r="H9" s="49">
        <f>SUM(H10:H12)</f>
        <v>106439.89400000001</v>
      </c>
      <c r="I9" s="206">
        <f t="shared" si="0"/>
        <v>116217.564</v>
      </c>
      <c r="J9" s="206">
        <f t="shared" si="0"/>
        <v>118467.20600000001</v>
      </c>
      <c r="K9" s="206">
        <f t="shared" si="0"/>
        <v>118467.20600000001</v>
      </c>
      <c r="L9" s="342"/>
      <c r="M9" s="345"/>
      <c r="N9" s="149"/>
      <c r="O9" s="149"/>
      <c r="P9" s="149"/>
    </row>
    <row r="10" spans="1:20" ht="41.25" customHeight="1" x14ac:dyDescent="0.25">
      <c r="A10" s="365"/>
      <c r="B10" s="343"/>
      <c r="C10" s="330"/>
      <c r="D10" s="62" t="s">
        <v>5</v>
      </c>
      <c r="E10" s="88">
        <f>E24</f>
        <v>0</v>
      </c>
      <c r="F10" s="220">
        <f>SUM(G10:K10)</f>
        <v>1095</v>
      </c>
      <c r="G10" s="88">
        <f>G24+G13</f>
        <v>906</v>
      </c>
      <c r="H10" s="88">
        <f>H24+H13+H27</f>
        <v>189</v>
      </c>
      <c r="I10" s="217">
        <f t="shared" ref="I10:K10" si="1">I24+I13</f>
        <v>0</v>
      </c>
      <c r="J10" s="217">
        <f t="shared" si="1"/>
        <v>0</v>
      </c>
      <c r="K10" s="217">
        <f t="shared" si="1"/>
        <v>0</v>
      </c>
      <c r="L10" s="343"/>
      <c r="M10" s="346"/>
      <c r="N10" s="149"/>
      <c r="O10" s="149"/>
      <c r="P10" s="149"/>
    </row>
    <row r="11" spans="1:20" ht="60" customHeight="1" x14ac:dyDescent="0.25">
      <c r="A11" s="365"/>
      <c r="B11" s="343"/>
      <c r="C11" s="330"/>
      <c r="D11" s="62" t="s">
        <v>9</v>
      </c>
      <c r="E11" s="88">
        <f>E14+E17+E18+E20+E21+E22+E23+E25</f>
        <v>80773.72</v>
      </c>
      <c r="F11" s="220">
        <f t="shared" ref="F11:F29" si="2">SUM(G11:K11)</f>
        <v>472656.91000000003</v>
      </c>
      <c r="G11" s="88">
        <f>G14+G17+G18+G20+G21+G22+G23+G25+G26</f>
        <v>88363.6</v>
      </c>
      <c r="H11" s="88">
        <f>H14+H17+H18+H20+H21+H22+H23+H25+H26+H28</f>
        <v>94517.294000000009</v>
      </c>
      <c r="I11" s="217">
        <f t="shared" ref="I11:K11" si="3">I14+I17+I18+I20+I21+I22+I23+I25+I26</f>
        <v>97292.004000000001</v>
      </c>
      <c r="J11" s="217">
        <f t="shared" si="3"/>
        <v>96242.006000000008</v>
      </c>
      <c r="K11" s="217">
        <f t="shared" si="3"/>
        <v>96242.006000000008</v>
      </c>
      <c r="L11" s="343"/>
      <c r="M11" s="346"/>
      <c r="N11" s="149"/>
      <c r="O11" s="149"/>
      <c r="P11" s="149"/>
    </row>
    <row r="12" spans="1:20" ht="75.75" customHeight="1" x14ac:dyDescent="0.25">
      <c r="A12" s="366"/>
      <c r="B12" s="344"/>
      <c r="C12" s="331"/>
      <c r="D12" s="14" t="s">
        <v>51</v>
      </c>
      <c r="E12" s="176">
        <f>E16+E19</f>
        <v>8833.4539999999997</v>
      </c>
      <c r="F12" s="220">
        <f t="shared" si="2"/>
        <v>84296.61</v>
      </c>
      <c r="G12" s="176">
        <f>G16+G19</f>
        <v>9187.0500000000011</v>
      </c>
      <c r="H12" s="176">
        <f>H16+H19</f>
        <v>11733.6</v>
      </c>
      <c r="I12" s="201">
        <f>I16+I19</f>
        <v>18925.560000000001</v>
      </c>
      <c r="J12" s="201">
        <f>J16+J19</f>
        <v>22225.200000000001</v>
      </c>
      <c r="K12" s="201">
        <f>K16+K19</f>
        <v>22225.200000000001</v>
      </c>
      <c r="L12" s="344"/>
      <c r="M12" s="347"/>
      <c r="N12" s="149"/>
      <c r="O12" s="149"/>
      <c r="P12" s="149"/>
    </row>
    <row r="13" spans="1:20" ht="37.5" x14ac:dyDescent="0.25">
      <c r="A13" s="388" t="s">
        <v>91</v>
      </c>
      <c r="B13" s="667" t="s">
        <v>163</v>
      </c>
      <c r="C13" s="372" t="s">
        <v>146</v>
      </c>
      <c r="D13" s="62" t="s">
        <v>5</v>
      </c>
      <c r="E13" s="89">
        <v>0</v>
      </c>
      <c r="F13" s="220">
        <f t="shared" si="2"/>
        <v>906</v>
      </c>
      <c r="G13" s="89">
        <v>906</v>
      </c>
      <c r="H13" s="89">
        <v>0</v>
      </c>
      <c r="I13" s="218">
        <v>0</v>
      </c>
      <c r="J13" s="218">
        <v>0</v>
      </c>
      <c r="K13" s="218">
        <v>0</v>
      </c>
      <c r="L13" s="668" t="s">
        <v>8</v>
      </c>
      <c r="M13" s="669" t="s">
        <v>72</v>
      </c>
      <c r="N13" s="88"/>
      <c r="O13" s="162">
        <v>0</v>
      </c>
      <c r="P13" s="162">
        <f>N13-O13</f>
        <v>0</v>
      </c>
    </row>
    <row r="14" spans="1:20" ht="55.5" customHeight="1" x14ac:dyDescent="0.25">
      <c r="A14" s="389"/>
      <c r="B14" s="670"/>
      <c r="C14" s="349"/>
      <c r="D14" s="62" t="s">
        <v>9</v>
      </c>
      <c r="E14" s="89">
        <f>58820.82+1881.6-727.6+178.682+89.341</f>
        <v>60242.843000000001</v>
      </c>
      <c r="F14" s="220">
        <f t="shared" si="2"/>
        <v>346974.78800000006</v>
      </c>
      <c r="G14" s="89">
        <v>66790.319000000003</v>
      </c>
      <c r="H14" s="89">
        <f>68788.773+86.124+0.001</f>
        <v>68874.898000000001</v>
      </c>
      <c r="I14" s="218">
        <f>70272.606+491.753</f>
        <v>70764.358999999997</v>
      </c>
      <c r="J14" s="218">
        <v>70272.606</v>
      </c>
      <c r="K14" s="218">
        <v>70272.606</v>
      </c>
      <c r="L14" s="671"/>
      <c r="M14" s="672"/>
      <c r="N14" s="88">
        <f>('[2]Лист 1'!$F$462+'[2]Лист 1'!$F$463+'[2]Лист 1'!$F$464+'[2]Лист 1'!$F$465)/1000</f>
        <v>68788.773000000001</v>
      </c>
      <c r="O14" s="162">
        <v>68788.773000000001</v>
      </c>
      <c r="P14" s="162">
        <f t="shared" ref="P14:P39" si="4">N14-O14</f>
        <v>0</v>
      </c>
    </row>
    <row r="15" spans="1:20" ht="168.75" x14ac:dyDescent="0.25">
      <c r="A15" s="389"/>
      <c r="B15" s="670"/>
      <c r="C15" s="349"/>
      <c r="D15" s="62" t="s">
        <v>265</v>
      </c>
      <c r="E15" s="89">
        <v>0</v>
      </c>
      <c r="F15" s="220">
        <f t="shared" si="2"/>
        <v>204</v>
      </c>
      <c r="G15" s="89">
        <v>204</v>
      </c>
      <c r="H15" s="89">
        <v>0</v>
      </c>
      <c r="I15" s="218">
        <v>0</v>
      </c>
      <c r="J15" s="218">
        <v>0</v>
      </c>
      <c r="K15" s="218">
        <v>0</v>
      </c>
      <c r="L15" s="671"/>
      <c r="M15" s="672"/>
      <c r="N15" s="88">
        <v>0</v>
      </c>
      <c r="O15" s="162">
        <v>0</v>
      </c>
      <c r="P15" s="162">
        <f t="shared" si="4"/>
        <v>0</v>
      </c>
    </row>
    <row r="16" spans="1:20" ht="75" customHeight="1" x14ac:dyDescent="0.25">
      <c r="A16" s="390"/>
      <c r="B16" s="673"/>
      <c r="C16" s="350"/>
      <c r="D16" s="62" t="s">
        <v>51</v>
      </c>
      <c r="E16" s="564">
        <v>7683.29</v>
      </c>
      <c r="F16" s="220">
        <f t="shared" si="2"/>
        <v>74323.396999999997</v>
      </c>
      <c r="G16" s="674">
        <v>8878.7790000000005</v>
      </c>
      <c r="H16" s="89">
        <f>11560.08-1198.75</f>
        <v>10361.33</v>
      </c>
      <c r="I16" s="675">
        <f>19277.04-2747.832</f>
        <v>16529.208000000002</v>
      </c>
      <c r="J16" s="675">
        <v>19277.04</v>
      </c>
      <c r="K16" s="675">
        <v>19277.04</v>
      </c>
      <c r="L16" s="676"/>
      <c r="M16" s="677"/>
      <c r="N16" s="88">
        <v>9886.5519999999997</v>
      </c>
      <c r="O16" s="162">
        <v>9886.5520000000015</v>
      </c>
      <c r="P16" s="162">
        <f t="shared" si="4"/>
        <v>0</v>
      </c>
      <c r="Q16" s="6" t="s">
        <v>294</v>
      </c>
      <c r="R16" s="25"/>
      <c r="S16" s="25"/>
      <c r="T16" s="25"/>
    </row>
    <row r="17" spans="1:24" ht="155.25" customHeight="1" x14ac:dyDescent="0.25">
      <c r="A17" s="678" t="s">
        <v>92</v>
      </c>
      <c r="B17" s="595" t="s">
        <v>164</v>
      </c>
      <c r="C17" s="248" t="s">
        <v>146</v>
      </c>
      <c r="D17" s="62" t="s">
        <v>9</v>
      </c>
      <c r="E17" s="674">
        <v>1050.4360000000001</v>
      </c>
      <c r="F17" s="220">
        <f t="shared" si="2"/>
        <v>4573.5009999999993</v>
      </c>
      <c r="G17" s="674">
        <v>1094.1219999999998</v>
      </c>
      <c r="H17" s="674">
        <v>683.15899999999999</v>
      </c>
      <c r="I17" s="675">
        <v>968.74</v>
      </c>
      <c r="J17" s="675">
        <v>913.74</v>
      </c>
      <c r="K17" s="675">
        <v>913.74</v>
      </c>
      <c r="L17" s="679" t="s">
        <v>8</v>
      </c>
      <c r="M17" s="680" t="s">
        <v>72</v>
      </c>
      <c r="N17" s="88">
        <f>('[2]Лист 1'!$F$466+'[2]Лист 1'!$F$467)/1000</f>
        <v>683.15899999999999</v>
      </c>
      <c r="O17" s="162">
        <v>683.15899999999999</v>
      </c>
      <c r="P17" s="162">
        <f t="shared" si="4"/>
        <v>0</v>
      </c>
      <c r="R17" s="25"/>
      <c r="S17" s="25"/>
      <c r="T17" s="25"/>
    </row>
    <row r="18" spans="1:24" ht="69" customHeight="1" x14ac:dyDescent="0.25">
      <c r="A18" s="388" t="s">
        <v>93</v>
      </c>
      <c r="B18" s="629" t="s">
        <v>165</v>
      </c>
      <c r="C18" s="372" t="s">
        <v>146</v>
      </c>
      <c r="D18" s="62" t="s">
        <v>9</v>
      </c>
      <c r="E18" s="582">
        <v>0</v>
      </c>
      <c r="F18" s="220">
        <f t="shared" si="2"/>
        <v>100</v>
      </c>
      <c r="G18" s="582">
        <v>100</v>
      </c>
      <c r="H18" s="582">
        <v>0</v>
      </c>
      <c r="I18" s="583">
        <v>0</v>
      </c>
      <c r="J18" s="583">
        <v>0</v>
      </c>
      <c r="K18" s="583">
        <v>0</v>
      </c>
      <c r="L18" s="681" t="s">
        <v>8</v>
      </c>
      <c r="M18" s="496" t="s">
        <v>223</v>
      </c>
      <c r="N18" s="88">
        <v>0</v>
      </c>
      <c r="O18" s="162">
        <v>0</v>
      </c>
      <c r="P18" s="162">
        <f t="shared" si="4"/>
        <v>0</v>
      </c>
    </row>
    <row r="19" spans="1:24" ht="75.75" customHeight="1" x14ac:dyDescent="0.25">
      <c r="A19" s="390"/>
      <c r="B19" s="635"/>
      <c r="C19" s="350"/>
      <c r="D19" s="62" t="s">
        <v>51</v>
      </c>
      <c r="E19" s="674">
        <v>1150.164</v>
      </c>
      <c r="F19" s="220">
        <f t="shared" si="2"/>
        <v>9973.2129999999997</v>
      </c>
      <c r="G19" s="674">
        <v>308.27100000000002</v>
      </c>
      <c r="H19" s="582">
        <f>1657.07-284.8</f>
        <v>1372.27</v>
      </c>
      <c r="I19" s="675">
        <f>2948.16-551.808</f>
        <v>2396.3519999999999</v>
      </c>
      <c r="J19" s="675">
        <v>2948.16</v>
      </c>
      <c r="K19" s="675">
        <v>2948.16</v>
      </c>
      <c r="L19" s="682"/>
      <c r="M19" s="516"/>
      <c r="N19" s="88">
        <v>917.69799999999998</v>
      </c>
      <c r="O19" s="162">
        <v>917.69799999999987</v>
      </c>
      <c r="P19" s="162">
        <f t="shared" si="4"/>
        <v>0</v>
      </c>
      <c r="R19" s="25"/>
      <c r="S19" s="25"/>
      <c r="T19" s="25"/>
    </row>
    <row r="20" spans="1:24" ht="113.25" customHeight="1" x14ac:dyDescent="0.25">
      <c r="A20" s="249" t="s">
        <v>94</v>
      </c>
      <c r="B20" s="683" t="s">
        <v>166</v>
      </c>
      <c r="C20" s="248" t="s">
        <v>146</v>
      </c>
      <c r="D20" s="62" t="s">
        <v>9</v>
      </c>
      <c r="E20" s="582">
        <v>0</v>
      </c>
      <c r="F20" s="220">
        <f t="shared" si="2"/>
        <v>50</v>
      </c>
      <c r="G20" s="582">
        <v>0</v>
      </c>
      <c r="H20" s="582">
        <v>0</v>
      </c>
      <c r="I20" s="583">
        <v>50</v>
      </c>
      <c r="J20" s="583">
        <v>0</v>
      </c>
      <c r="K20" s="583">
        <v>0</v>
      </c>
      <c r="L20" s="679" t="s">
        <v>8</v>
      </c>
      <c r="M20" s="584" t="s">
        <v>167</v>
      </c>
      <c r="N20" s="88">
        <v>0</v>
      </c>
      <c r="O20" s="162">
        <v>0</v>
      </c>
      <c r="P20" s="162">
        <f t="shared" si="4"/>
        <v>0</v>
      </c>
    </row>
    <row r="21" spans="1:24" ht="118.5" customHeight="1" x14ac:dyDescent="0.25">
      <c r="A21" s="249" t="s">
        <v>95</v>
      </c>
      <c r="B21" s="684" t="s">
        <v>168</v>
      </c>
      <c r="C21" s="248" t="s">
        <v>146</v>
      </c>
      <c r="D21" s="62" t="s">
        <v>9</v>
      </c>
      <c r="E21" s="582">
        <v>30</v>
      </c>
      <c r="F21" s="220">
        <f t="shared" si="2"/>
        <v>56.3</v>
      </c>
      <c r="G21" s="582">
        <v>0</v>
      </c>
      <c r="H21" s="582">
        <v>28.05</v>
      </c>
      <c r="I21" s="583">
        <v>28.25</v>
      </c>
      <c r="J21" s="583">
        <v>0</v>
      </c>
      <c r="K21" s="583">
        <v>0</v>
      </c>
      <c r="L21" s="481" t="s">
        <v>11</v>
      </c>
      <c r="M21" s="685" t="s">
        <v>73</v>
      </c>
      <c r="N21" s="88">
        <f>('[2]Лист 1'!$F$468+'[2]Лист 1'!$F$469)/1000</f>
        <v>28.05</v>
      </c>
      <c r="O21" s="162">
        <v>28.05</v>
      </c>
      <c r="P21" s="162">
        <f t="shared" si="4"/>
        <v>0</v>
      </c>
    </row>
    <row r="22" spans="1:24" ht="93.75" customHeight="1" x14ac:dyDescent="0.25">
      <c r="A22" s="245" t="s">
        <v>96</v>
      </c>
      <c r="B22" s="686" t="s">
        <v>178</v>
      </c>
      <c r="C22" s="251" t="s">
        <v>146</v>
      </c>
      <c r="D22" s="62" t="s">
        <v>9</v>
      </c>
      <c r="E22" s="91">
        <v>18550.440999999999</v>
      </c>
      <c r="F22" s="220">
        <f t="shared" si="2"/>
        <v>101878.51100000001</v>
      </c>
      <c r="G22" s="91">
        <v>19356.344000000001</v>
      </c>
      <c r="H22" s="91">
        <v>20495.187000000002</v>
      </c>
      <c r="I22" s="220">
        <v>20675.66</v>
      </c>
      <c r="J22" s="220">
        <v>20675.66</v>
      </c>
      <c r="K22" s="220">
        <v>20675.66</v>
      </c>
      <c r="L22" s="687" t="s">
        <v>8</v>
      </c>
      <c r="M22" s="254" t="s">
        <v>127</v>
      </c>
      <c r="N22" s="88">
        <f>SUM('[2]Лист 1'!$F$483:$F$489)/1000</f>
        <v>20495.187000000002</v>
      </c>
      <c r="O22" s="162">
        <v>20495.187000000002</v>
      </c>
      <c r="P22" s="162">
        <f t="shared" si="4"/>
        <v>0</v>
      </c>
    </row>
    <row r="23" spans="1:24" ht="118.5" customHeight="1" x14ac:dyDescent="0.25">
      <c r="A23" s="678" t="s">
        <v>97</v>
      </c>
      <c r="B23" s="688" t="s">
        <v>179</v>
      </c>
      <c r="C23" s="248" t="s">
        <v>146</v>
      </c>
      <c r="D23" s="62" t="s">
        <v>9</v>
      </c>
      <c r="E23" s="477">
        <v>0</v>
      </c>
      <c r="F23" s="220">
        <f t="shared" si="2"/>
        <v>547.80999999999995</v>
      </c>
      <c r="G23" s="477">
        <v>122.815</v>
      </c>
      <c r="H23" s="477">
        <v>0</v>
      </c>
      <c r="I23" s="478">
        <v>424.995</v>
      </c>
      <c r="J23" s="478">
        <f>200-200</f>
        <v>0</v>
      </c>
      <c r="K23" s="478">
        <f>200-200</f>
        <v>0</v>
      </c>
      <c r="L23" s="481" t="s">
        <v>8</v>
      </c>
      <c r="M23" s="689" t="s">
        <v>224</v>
      </c>
      <c r="N23" s="88">
        <v>0</v>
      </c>
      <c r="O23" s="162">
        <v>0</v>
      </c>
      <c r="P23" s="162">
        <f t="shared" si="4"/>
        <v>0</v>
      </c>
    </row>
    <row r="24" spans="1:24" ht="157.5" customHeight="1" x14ac:dyDescent="0.25">
      <c r="A24" s="438" t="s">
        <v>98</v>
      </c>
      <c r="B24" s="466" t="s">
        <v>180</v>
      </c>
      <c r="C24" s="248" t="s">
        <v>146</v>
      </c>
      <c r="D24" s="471" t="s">
        <v>5</v>
      </c>
      <c r="E24" s="433">
        <v>0</v>
      </c>
      <c r="F24" s="220">
        <f t="shared" si="2"/>
        <v>0</v>
      </c>
      <c r="G24" s="433">
        <v>0</v>
      </c>
      <c r="H24" s="433">
        <v>0</v>
      </c>
      <c r="I24" s="422">
        <v>0</v>
      </c>
      <c r="J24" s="422">
        <v>0</v>
      </c>
      <c r="K24" s="422">
        <v>0</v>
      </c>
      <c r="L24" s="467" t="s">
        <v>8</v>
      </c>
      <c r="M24" s="440" t="s">
        <v>84</v>
      </c>
      <c r="N24" s="88">
        <v>0</v>
      </c>
      <c r="O24" s="162">
        <v>0</v>
      </c>
      <c r="P24" s="162">
        <f t="shared" si="4"/>
        <v>0</v>
      </c>
      <c r="Q24" s="25"/>
      <c r="R24" s="26"/>
      <c r="S24" s="26"/>
      <c r="T24" s="26"/>
      <c r="U24" s="26"/>
      <c r="V24" s="26"/>
      <c r="W24" s="26"/>
      <c r="X24" s="26"/>
    </row>
    <row r="25" spans="1:24" ht="192" customHeight="1" x14ac:dyDescent="0.25">
      <c r="A25" s="245" t="s">
        <v>99</v>
      </c>
      <c r="B25" s="690" t="s">
        <v>181</v>
      </c>
      <c r="C25" s="248" t="s">
        <v>46</v>
      </c>
      <c r="D25" s="62" t="s">
        <v>9</v>
      </c>
      <c r="E25" s="477">
        <f>200+700</f>
        <v>900</v>
      </c>
      <c r="F25" s="220">
        <f t="shared" si="2"/>
        <v>900</v>
      </c>
      <c r="G25" s="477">
        <v>900</v>
      </c>
      <c r="H25" s="477">
        <v>0</v>
      </c>
      <c r="I25" s="478">
        <v>0</v>
      </c>
      <c r="J25" s="478">
        <v>0</v>
      </c>
      <c r="K25" s="478">
        <v>0</v>
      </c>
      <c r="L25" s="252" t="s">
        <v>225</v>
      </c>
      <c r="M25" s="254" t="s">
        <v>129</v>
      </c>
      <c r="N25" s="88">
        <v>0</v>
      </c>
      <c r="O25" s="162">
        <v>0</v>
      </c>
      <c r="P25" s="162">
        <f t="shared" si="4"/>
        <v>0</v>
      </c>
    </row>
    <row r="26" spans="1:24" ht="150" x14ac:dyDescent="0.25">
      <c r="A26" s="245" t="s">
        <v>100</v>
      </c>
      <c r="B26" s="690" t="s">
        <v>274</v>
      </c>
      <c r="C26" s="247" t="s">
        <v>146</v>
      </c>
      <c r="D26" s="250" t="s">
        <v>12</v>
      </c>
      <c r="E26" s="554">
        <v>0</v>
      </c>
      <c r="F26" s="220">
        <f t="shared" si="2"/>
        <v>17460</v>
      </c>
      <c r="G26" s="554">
        <v>0</v>
      </c>
      <c r="H26" s="554">
        <v>4320</v>
      </c>
      <c r="I26" s="555">
        <v>4380</v>
      </c>
      <c r="J26" s="555">
        <v>4380</v>
      </c>
      <c r="K26" s="555">
        <v>4380</v>
      </c>
      <c r="L26" s="252" t="s">
        <v>11</v>
      </c>
      <c r="M26" s="254" t="s">
        <v>273</v>
      </c>
      <c r="N26" s="88">
        <f>('[2]Лист 1'!$F$490+'[2]Лист 1'!$F$470)/1000</f>
        <v>4320</v>
      </c>
      <c r="O26" s="162">
        <v>4320</v>
      </c>
      <c r="P26" s="162">
        <f t="shared" si="4"/>
        <v>0</v>
      </c>
    </row>
    <row r="27" spans="1:24" ht="37.5" x14ac:dyDescent="0.25">
      <c r="A27" s="388" t="s">
        <v>101</v>
      </c>
      <c r="B27" s="474" t="s">
        <v>308</v>
      </c>
      <c r="C27" s="372" t="s">
        <v>146</v>
      </c>
      <c r="D27" s="250" t="s">
        <v>5</v>
      </c>
      <c r="E27" s="554">
        <v>0</v>
      </c>
      <c r="F27" s="218">
        <f>SUM(G27:K27)</f>
        <v>189</v>
      </c>
      <c r="G27" s="554">
        <v>0</v>
      </c>
      <c r="H27" s="554">
        <v>189</v>
      </c>
      <c r="I27" s="555">
        <v>0</v>
      </c>
      <c r="J27" s="555">
        <v>0</v>
      </c>
      <c r="K27" s="555">
        <v>0</v>
      </c>
      <c r="L27" s="376" t="s">
        <v>11</v>
      </c>
      <c r="M27" s="367" t="s">
        <v>307</v>
      </c>
      <c r="N27" s="88"/>
      <c r="O27" s="162"/>
      <c r="P27" s="162"/>
    </row>
    <row r="28" spans="1:24" ht="68.25" customHeight="1" x14ac:dyDescent="0.25">
      <c r="A28" s="389"/>
      <c r="B28" s="528"/>
      <c r="C28" s="349"/>
      <c r="D28" s="250" t="s">
        <v>12</v>
      </c>
      <c r="E28" s="554">
        <v>0</v>
      </c>
      <c r="F28" s="218">
        <f t="shared" si="2"/>
        <v>116</v>
      </c>
      <c r="G28" s="554">
        <v>0</v>
      </c>
      <c r="H28" s="554">
        <v>116</v>
      </c>
      <c r="I28" s="555">
        <v>0</v>
      </c>
      <c r="J28" s="555">
        <v>0</v>
      </c>
      <c r="K28" s="555">
        <v>0</v>
      </c>
      <c r="L28" s="377"/>
      <c r="M28" s="368"/>
      <c r="N28" s="88"/>
      <c r="O28" s="162"/>
      <c r="P28" s="162"/>
    </row>
    <row r="29" spans="1:24" ht="93.75" x14ac:dyDescent="0.25">
      <c r="A29" s="390"/>
      <c r="B29" s="476"/>
      <c r="C29" s="350"/>
      <c r="D29" s="250" t="s">
        <v>276</v>
      </c>
      <c r="E29" s="554">
        <v>0</v>
      </c>
      <c r="F29" s="218">
        <f t="shared" si="2"/>
        <v>116</v>
      </c>
      <c r="G29" s="554">
        <v>0</v>
      </c>
      <c r="H29" s="554">
        <v>116</v>
      </c>
      <c r="I29" s="555">
        <v>0</v>
      </c>
      <c r="J29" s="555">
        <v>0</v>
      </c>
      <c r="K29" s="555">
        <v>0</v>
      </c>
      <c r="L29" s="378"/>
      <c r="M29" s="369"/>
      <c r="N29" s="88"/>
      <c r="O29" s="162"/>
      <c r="P29" s="162"/>
    </row>
    <row r="30" spans="1:24" ht="36" customHeight="1" x14ac:dyDescent="0.25">
      <c r="A30" s="388"/>
      <c r="B30" s="342" t="s">
        <v>144</v>
      </c>
      <c r="C30" s="372" t="s">
        <v>146</v>
      </c>
      <c r="D30" s="250" t="s">
        <v>10</v>
      </c>
      <c r="E30" s="89">
        <f>SUM(E31:E31)</f>
        <v>1188</v>
      </c>
      <c r="F30" s="218">
        <f t="shared" ref="F30:F31" si="5">SUM(G30:K30)</f>
        <v>5683</v>
      </c>
      <c r="G30" s="89">
        <f>SUM(G31:G31)</f>
        <v>1455</v>
      </c>
      <c r="H30" s="89">
        <f>SUM(H31:H31)</f>
        <v>1516</v>
      </c>
      <c r="I30" s="218">
        <f>SUM(I31:I31)</f>
        <v>1379</v>
      </c>
      <c r="J30" s="218">
        <f>SUM(J31:J31)</f>
        <v>655</v>
      </c>
      <c r="K30" s="218">
        <f>SUM(K31:K31)</f>
        <v>678</v>
      </c>
      <c r="L30" s="379"/>
      <c r="M30" s="370"/>
      <c r="N30" s="88"/>
      <c r="O30" s="162"/>
      <c r="P30" s="162"/>
    </row>
    <row r="31" spans="1:24" ht="37.5" x14ac:dyDescent="0.25">
      <c r="A31" s="389"/>
      <c r="B31" s="343"/>
      <c r="C31" s="349"/>
      <c r="D31" s="62" t="s">
        <v>5</v>
      </c>
      <c r="E31" s="90">
        <f>E32</f>
        <v>1188</v>
      </c>
      <c r="F31" s="218">
        <f t="shared" si="5"/>
        <v>5683</v>
      </c>
      <c r="G31" s="90">
        <f>G32</f>
        <v>1455</v>
      </c>
      <c r="H31" s="90">
        <f t="shared" ref="H31:K31" si="6">H32</f>
        <v>1516</v>
      </c>
      <c r="I31" s="219">
        <f t="shared" si="6"/>
        <v>1379</v>
      </c>
      <c r="J31" s="219">
        <f t="shared" si="6"/>
        <v>655</v>
      </c>
      <c r="K31" s="219">
        <f t="shared" si="6"/>
        <v>678</v>
      </c>
      <c r="L31" s="380"/>
      <c r="M31" s="371"/>
      <c r="N31" s="88"/>
      <c r="O31" s="162"/>
      <c r="P31" s="162"/>
    </row>
    <row r="32" spans="1:24" ht="118.5" customHeight="1" x14ac:dyDescent="0.25">
      <c r="A32" s="245" t="s">
        <v>109</v>
      </c>
      <c r="B32" s="691" t="s">
        <v>243</v>
      </c>
      <c r="C32" s="246" t="s">
        <v>146</v>
      </c>
      <c r="D32" s="62" t="s">
        <v>5</v>
      </c>
      <c r="E32" s="89">
        <v>1188</v>
      </c>
      <c r="F32" s="218">
        <f>SUM(G32:K32)</f>
        <v>5683</v>
      </c>
      <c r="G32" s="89">
        <v>1455</v>
      </c>
      <c r="H32" s="89">
        <v>1516</v>
      </c>
      <c r="I32" s="218">
        <v>1379</v>
      </c>
      <c r="J32" s="218">
        <v>655</v>
      </c>
      <c r="K32" s="218">
        <v>678</v>
      </c>
      <c r="L32" s="687" t="s">
        <v>11</v>
      </c>
      <c r="M32" s="254" t="s">
        <v>26</v>
      </c>
      <c r="N32" s="88">
        <f>'[2]Лист 1'!$F$451/1000</f>
        <v>1457</v>
      </c>
      <c r="O32" s="162">
        <v>1457</v>
      </c>
      <c r="P32" s="162">
        <f t="shared" si="4"/>
        <v>0</v>
      </c>
    </row>
    <row r="33" spans="1:18" ht="26.25" customHeight="1" x14ac:dyDescent="0.25">
      <c r="A33" s="388"/>
      <c r="B33" s="385" t="s">
        <v>138</v>
      </c>
      <c r="C33" s="372" t="s">
        <v>146</v>
      </c>
      <c r="D33" s="62" t="s">
        <v>10</v>
      </c>
      <c r="E33" s="91">
        <f t="shared" ref="E33:K33" si="7">E34+E35</f>
        <v>31887</v>
      </c>
      <c r="F33" s="218">
        <f t="shared" ref="F33:F34" si="8">SUM(G33:K33)</f>
        <v>128882.284</v>
      </c>
      <c r="G33" s="91">
        <f t="shared" si="7"/>
        <v>28499</v>
      </c>
      <c r="H33" s="91">
        <f t="shared" si="7"/>
        <v>30407.644</v>
      </c>
      <c r="I33" s="220">
        <f t="shared" si="7"/>
        <v>37995.64</v>
      </c>
      <c r="J33" s="220">
        <f t="shared" si="7"/>
        <v>15990</v>
      </c>
      <c r="K33" s="220">
        <f t="shared" si="7"/>
        <v>15990</v>
      </c>
      <c r="L33" s="376"/>
      <c r="M33" s="367"/>
      <c r="N33" s="88"/>
      <c r="O33" s="162"/>
      <c r="P33" s="162"/>
    </row>
    <row r="34" spans="1:18" ht="36" customHeight="1" x14ac:dyDescent="0.25">
      <c r="A34" s="389"/>
      <c r="B34" s="386"/>
      <c r="C34" s="349"/>
      <c r="D34" s="62" t="s">
        <v>5</v>
      </c>
      <c r="E34" s="90">
        <f>E39</f>
        <v>15154</v>
      </c>
      <c r="F34" s="218">
        <f t="shared" si="8"/>
        <v>43345</v>
      </c>
      <c r="G34" s="90">
        <f t="shared" ref="G34:K34" si="9">G39</f>
        <v>14689</v>
      </c>
      <c r="H34" s="90">
        <f t="shared" si="9"/>
        <v>14537</v>
      </c>
      <c r="I34" s="219">
        <f t="shared" si="9"/>
        <v>14119</v>
      </c>
      <c r="J34" s="219">
        <f t="shared" si="9"/>
        <v>0</v>
      </c>
      <c r="K34" s="219">
        <f t="shared" si="9"/>
        <v>0</v>
      </c>
      <c r="L34" s="377"/>
      <c r="M34" s="368"/>
      <c r="N34" s="88"/>
      <c r="O34" s="162"/>
      <c r="P34" s="162"/>
    </row>
    <row r="35" spans="1:18" ht="56.25" customHeight="1" x14ac:dyDescent="0.25">
      <c r="A35" s="390"/>
      <c r="B35" s="387"/>
      <c r="C35" s="350"/>
      <c r="D35" s="62" t="s">
        <v>9</v>
      </c>
      <c r="E35" s="92">
        <f>E36+E37</f>
        <v>16733</v>
      </c>
      <c r="F35" s="218">
        <f>SUM(G35:K35)</f>
        <v>85537.284</v>
      </c>
      <c r="G35" s="92">
        <f>G36+G37</f>
        <v>13810</v>
      </c>
      <c r="H35" s="92">
        <f>H36+H37</f>
        <v>15870.644</v>
      </c>
      <c r="I35" s="221">
        <f>I36+I37</f>
        <v>23876.639999999999</v>
      </c>
      <c r="J35" s="221">
        <f>J36+J37</f>
        <v>15990</v>
      </c>
      <c r="K35" s="221">
        <f>K36+K37</f>
        <v>15990</v>
      </c>
      <c r="L35" s="378"/>
      <c r="M35" s="369"/>
      <c r="N35" s="88"/>
      <c r="O35" s="162"/>
      <c r="P35" s="162"/>
    </row>
    <row r="36" spans="1:18" ht="99" customHeight="1" x14ac:dyDescent="0.25">
      <c r="A36" s="580" t="s">
        <v>124</v>
      </c>
      <c r="B36" s="581" t="s">
        <v>122</v>
      </c>
      <c r="C36" s="248" t="s">
        <v>146</v>
      </c>
      <c r="D36" s="62" t="s">
        <v>9</v>
      </c>
      <c r="E36" s="582">
        <v>1733</v>
      </c>
      <c r="F36" s="583">
        <f>SUM(G36:K36)</f>
        <v>17620</v>
      </c>
      <c r="G36" s="582">
        <f>2000-100-90</f>
        <v>1810</v>
      </c>
      <c r="H36" s="582">
        <f>1840+2000</f>
        <v>3840</v>
      </c>
      <c r="I36" s="583">
        <v>3990</v>
      </c>
      <c r="J36" s="583">
        <v>3990</v>
      </c>
      <c r="K36" s="583">
        <v>3990</v>
      </c>
      <c r="L36" s="481" t="s">
        <v>11</v>
      </c>
      <c r="M36" s="584" t="s">
        <v>27</v>
      </c>
      <c r="N36" s="88">
        <f>('[2]Лист 1'!$F$471+'[2]Лист 1'!$F$472)/1000</f>
        <v>3840</v>
      </c>
      <c r="O36" s="162">
        <v>3840</v>
      </c>
      <c r="P36" s="162">
        <f t="shared" si="4"/>
        <v>0</v>
      </c>
    </row>
    <row r="37" spans="1:18" ht="58.5" customHeight="1" x14ac:dyDescent="0.25">
      <c r="A37" s="585" t="s">
        <v>125</v>
      </c>
      <c r="B37" s="546" t="s">
        <v>123</v>
      </c>
      <c r="C37" s="372" t="s">
        <v>146</v>
      </c>
      <c r="D37" s="62" t="s">
        <v>9</v>
      </c>
      <c r="E37" s="582">
        <v>15000</v>
      </c>
      <c r="F37" s="583">
        <f t="shared" ref="F37:F39" si="10">SUM(G37:K37)</f>
        <v>67917.284</v>
      </c>
      <c r="G37" s="582">
        <f>7000+5000</f>
        <v>12000</v>
      </c>
      <c r="H37" s="582">
        <v>12030.644</v>
      </c>
      <c r="I37" s="583">
        <f>7000+5000+7886.64</f>
        <v>19886.64</v>
      </c>
      <c r="J37" s="583">
        <f t="shared" ref="J37:K37" si="11">7000+5000</f>
        <v>12000</v>
      </c>
      <c r="K37" s="583">
        <f t="shared" si="11"/>
        <v>12000</v>
      </c>
      <c r="L37" s="376" t="s">
        <v>244</v>
      </c>
      <c r="M37" s="567" t="s">
        <v>28</v>
      </c>
      <c r="N37" s="88">
        <f>(SUM('[2]Лист 1'!$F$493:$F$499)+'[2]Лист 1'!$F$285)/1000</f>
        <v>12030.644</v>
      </c>
      <c r="O37" s="162">
        <v>12000</v>
      </c>
      <c r="P37" s="162">
        <f t="shared" si="4"/>
        <v>30.644000000000233</v>
      </c>
    </row>
    <row r="38" spans="1:18" ht="93.75" x14ac:dyDescent="0.25">
      <c r="A38" s="590"/>
      <c r="B38" s="547"/>
      <c r="C38" s="349"/>
      <c r="D38" s="62" t="s">
        <v>276</v>
      </c>
      <c r="E38" s="582">
        <v>0</v>
      </c>
      <c r="F38" s="583">
        <f t="shared" si="10"/>
        <v>31917.284</v>
      </c>
      <c r="G38" s="582">
        <v>0</v>
      </c>
      <c r="H38" s="582">
        <v>12030.644</v>
      </c>
      <c r="I38" s="583">
        <f>12000+7886.64</f>
        <v>19886.64</v>
      </c>
      <c r="J38" s="583">
        <v>0</v>
      </c>
      <c r="K38" s="583">
        <v>0</v>
      </c>
      <c r="L38" s="377"/>
      <c r="M38" s="570"/>
      <c r="N38" s="88">
        <f>N37</f>
        <v>12030.644</v>
      </c>
      <c r="O38" s="162">
        <v>12000</v>
      </c>
      <c r="P38" s="162">
        <f t="shared" si="4"/>
        <v>30.644000000000233</v>
      </c>
    </row>
    <row r="39" spans="1:18" ht="56.25" customHeight="1" x14ac:dyDescent="0.25">
      <c r="A39" s="587"/>
      <c r="B39" s="549"/>
      <c r="C39" s="350"/>
      <c r="D39" s="62" t="s">
        <v>5</v>
      </c>
      <c r="E39" s="692">
        <v>15154</v>
      </c>
      <c r="F39" s="598">
        <f t="shared" si="10"/>
        <v>43345</v>
      </c>
      <c r="G39" s="692">
        <v>14689</v>
      </c>
      <c r="H39" s="692">
        <v>14537</v>
      </c>
      <c r="I39" s="693">
        <v>14119</v>
      </c>
      <c r="J39" s="693">
        <v>0</v>
      </c>
      <c r="K39" s="693">
        <v>0</v>
      </c>
      <c r="L39" s="378"/>
      <c r="M39" s="573"/>
      <c r="N39" s="88">
        <f>('[2]Лист 1'!$F$284+'[2]Лист 1'!$F$491+'[2]Лист 1'!$F$492)/1000</f>
        <v>14537</v>
      </c>
      <c r="O39" s="162">
        <v>14537</v>
      </c>
      <c r="P39" s="162">
        <f t="shared" si="4"/>
        <v>0</v>
      </c>
      <c r="Q39" s="36"/>
    </row>
    <row r="40" spans="1:18" ht="18.75" x14ac:dyDescent="0.25">
      <c r="A40" s="694" t="s">
        <v>58</v>
      </c>
      <c r="B40" s="695"/>
      <c r="C40" s="695"/>
      <c r="D40" s="695"/>
      <c r="E40" s="78">
        <f>E41+E42+E44</f>
        <v>122682.174</v>
      </c>
      <c r="F40" s="208">
        <f t="shared" ref="F40:G40" si="12">F41+F42+F44</f>
        <v>692613.804</v>
      </c>
      <c r="G40" s="78">
        <f t="shared" si="12"/>
        <v>128410.65000000001</v>
      </c>
      <c r="H40" s="78">
        <f>H41+H42+H44</f>
        <v>138363.538</v>
      </c>
      <c r="I40" s="208">
        <f t="shared" ref="I40:K40" si="13">I41+I42+I44</f>
        <v>155592.204</v>
      </c>
      <c r="J40" s="208">
        <f t="shared" si="13"/>
        <v>135112.20600000001</v>
      </c>
      <c r="K40" s="208">
        <f t="shared" si="13"/>
        <v>135135.20600000001</v>
      </c>
      <c r="L40" s="93"/>
      <c r="M40" s="94"/>
      <c r="N40" s="150"/>
      <c r="O40" s="150"/>
      <c r="P40" s="150"/>
    </row>
    <row r="41" spans="1:18" ht="18.75" x14ac:dyDescent="0.25">
      <c r="A41" s="391" t="s">
        <v>5</v>
      </c>
      <c r="B41" s="392"/>
      <c r="C41" s="392"/>
      <c r="D41" s="392"/>
      <c r="E41" s="78">
        <f>E10+E31+E34</f>
        <v>16342</v>
      </c>
      <c r="F41" s="208">
        <f>SUM(G41:K41)</f>
        <v>50123</v>
      </c>
      <c r="G41" s="78">
        <f>G10+G31+G34</f>
        <v>17050</v>
      </c>
      <c r="H41" s="78">
        <f>H10+H31+H34</f>
        <v>16242</v>
      </c>
      <c r="I41" s="208">
        <f>I10+I31+I34</f>
        <v>15498</v>
      </c>
      <c r="J41" s="208">
        <f>J10+J31+J34</f>
        <v>655</v>
      </c>
      <c r="K41" s="208">
        <f>K10+K31+K34</f>
        <v>678</v>
      </c>
      <c r="L41" s="93"/>
      <c r="M41" s="94"/>
      <c r="N41" s="166">
        <f>G13+G24+G32+G39</f>
        <v>17050</v>
      </c>
      <c r="O41" s="166">
        <f t="shared" ref="O41:Q41" si="14">H13+H24+H32+H39</f>
        <v>16053</v>
      </c>
      <c r="P41" s="166">
        <f t="shared" si="14"/>
        <v>15498</v>
      </c>
      <c r="Q41" s="166">
        <f t="shared" si="14"/>
        <v>655</v>
      </c>
      <c r="R41" s="166"/>
    </row>
    <row r="42" spans="1:18" ht="18.75" x14ac:dyDescent="0.25">
      <c r="A42" s="391" t="s">
        <v>9</v>
      </c>
      <c r="B42" s="392"/>
      <c r="C42" s="392"/>
      <c r="D42" s="392"/>
      <c r="E42" s="78">
        <f>E11+E35</f>
        <v>97506.72</v>
      </c>
      <c r="F42" s="208">
        <f>SUM(G42:K42)</f>
        <v>558194.19400000002</v>
      </c>
      <c r="G42" s="78">
        <f>G11+G35</f>
        <v>102173.6</v>
      </c>
      <c r="H42" s="78">
        <f>H11+H35</f>
        <v>110387.93800000001</v>
      </c>
      <c r="I42" s="208">
        <f>I11+I35</f>
        <v>121168.644</v>
      </c>
      <c r="J42" s="208">
        <f>J11+J35</f>
        <v>112232.00600000001</v>
      </c>
      <c r="K42" s="208">
        <f>K11+K35</f>
        <v>112232.00600000001</v>
      </c>
      <c r="L42" s="93"/>
      <c r="M42" s="94"/>
      <c r="N42" s="166">
        <f>G14+G17+G18+G20+G21+G22+G23+G25+G26+G36+G37</f>
        <v>102173.6</v>
      </c>
      <c r="O42" s="166">
        <f t="shared" ref="O42:Q42" si="15">H14+H17+H18+H20+H21+H22+H23+H25+H26+H36+H37</f>
        <v>110271.93800000001</v>
      </c>
      <c r="P42" s="166">
        <f t="shared" si="15"/>
        <v>121168.644</v>
      </c>
      <c r="Q42" s="166">
        <f t="shared" si="15"/>
        <v>112232.00600000001</v>
      </c>
      <c r="R42" s="166"/>
    </row>
    <row r="43" spans="1:18" ht="18.75" x14ac:dyDescent="0.25">
      <c r="A43" s="391" t="s">
        <v>276</v>
      </c>
      <c r="B43" s="392"/>
      <c r="C43" s="392"/>
      <c r="D43" s="392"/>
      <c r="E43" s="78">
        <v>0</v>
      </c>
      <c r="F43" s="208">
        <f>SUM(G43:K43)</f>
        <v>32033.284</v>
      </c>
      <c r="G43" s="78">
        <f>G29+G38</f>
        <v>0</v>
      </c>
      <c r="H43" s="78">
        <f t="shared" ref="H43:K43" si="16">H29+H38</f>
        <v>12146.644</v>
      </c>
      <c r="I43" s="208">
        <f t="shared" si="16"/>
        <v>19886.64</v>
      </c>
      <c r="J43" s="78">
        <f t="shared" si="16"/>
        <v>0</v>
      </c>
      <c r="K43" s="78">
        <f t="shared" si="16"/>
        <v>0</v>
      </c>
      <c r="L43" s="93"/>
      <c r="M43" s="94"/>
      <c r="N43" s="166">
        <f>G38</f>
        <v>0</v>
      </c>
      <c r="O43" s="166">
        <f t="shared" ref="O43:Q43" si="17">H38</f>
        <v>12030.644</v>
      </c>
      <c r="P43" s="166">
        <f t="shared" si="17"/>
        <v>19886.64</v>
      </c>
      <c r="Q43" s="166">
        <f t="shared" si="17"/>
        <v>0</v>
      </c>
      <c r="R43" s="166"/>
    </row>
    <row r="44" spans="1:18" ht="19.5" thickBot="1" x14ac:dyDescent="0.35">
      <c r="A44" s="383" t="s">
        <v>51</v>
      </c>
      <c r="B44" s="384"/>
      <c r="C44" s="384"/>
      <c r="D44" s="384"/>
      <c r="E44" s="95">
        <f>E12</f>
        <v>8833.4539999999997</v>
      </c>
      <c r="F44" s="225">
        <f>SUM(G44:K44)</f>
        <v>84296.61</v>
      </c>
      <c r="G44" s="95">
        <f>G12</f>
        <v>9187.0500000000011</v>
      </c>
      <c r="H44" s="95">
        <f>H12</f>
        <v>11733.6</v>
      </c>
      <c r="I44" s="222">
        <f>I12</f>
        <v>18925.560000000001</v>
      </c>
      <c r="J44" s="222">
        <f>J12</f>
        <v>22225.200000000001</v>
      </c>
      <c r="K44" s="222">
        <f>K12</f>
        <v>22225.200000000001</v>
      </c>
      <c r="L44" s="96"/>
      <c r="M44" s="696"/>
      <c r="N44" s="165">
        <f>G16+G19</f>
        <v>9187.0500000000011</v>
      </c>
      <c r="O44" s="165">
        <f t="shared" ref="O44:Q44" si="18">H16+H19</f>
        <v>11733.6</v>
      </c>
      <c r="P44" s="165">
        <f t="shared" si="18"/>
        <v>18925.560000000001</v>
      </c>
      <c r="Q44" s="165">
        <f t="shared" si="18"/>
        <v>22225.200000000001</v>
      </c>
      <c r="R44" s="165"/>
    </row>
    <row r="45" spans="1:18" x14ac:dyDescent="0.25">
      <c r="F45" s="37"/>
      <c r="I45" s="204"/>
      <c r="J45" s="205"/>
      <c r="K45" s="205"/>
    </row>
    <row r="46" spans="1:18" x14ac:dyDescent="0.25">
      <c r="H46" s="180"/>
      <c r="I46" s="204"/>
      <c r="J46" s="205"/>
      <c r="K46" s="205"/>
    </row>
    <row r="48" spans="1:18" x14ac:dyDescent="0.25">
      <c r="H48" s="180"/>
    </row>
  </sheetData>
  <mergeCells count="51">
    <mergeCell ref="A13:A16"/>
    <mergeCell ref="A30:A31"/>
    <mergeCell ref="A42:D42"/>
    <mergeCell ref="A41:D41"/>
    <mergeCell ref="C37:C39"/>
    <mergeCell ref="A40:D40"/>
    <mergeCell ref="A37:A39"/>
    <mergeCell ref="B30:B31"/>
    <mergeCell ref="A27:A29"/>
    <mergeCell ref="B27:B29"/>
    <mergeCell ref="C27:C29"/>
    <mergeCell ref="A44:D44"/>
    <mergeCell ref="C33:C35"/>
    <mergeCell ref="B33:B35"/>
    <mergeCell ref="A33:A35"/>
    <mergeCell ref="B37:B39"/>
    <mergeCell ref="A43:D43"/>
    <mergeCell ref="B9:B12"/>
    <mergeCell ref="C9:C12"/>
    <mergeCell ref="B4:B6"/>
    <mergeCell ref="C4:C6"/>
    <mergeCell ref="L33:L35"/>
    <mergeCell ref="L30:L31"/>
    <mergeCell ref="B13:B16"/>
    <mergeCell ref="D4:D6"/>
    <mergeCell ref="F4:F6"/>
    <mergeCell ref="L27:L29"/>
    <mergeCell ref="M33:M35"/>
    <mergeCell ref="L37:L39"/>
    <mergeCell ref="C13:C16"/>
    <mergeCell ref="L13:L16"/>
    <mergeCell ref="M13:M16"/>
    <mergeCell ref="M30:M31"/>
    <mergeCell ref="L18:L19"/>
    <mergeCell ref="C30:C31"/>
    <mergeCell ref="M27:M29"/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7:M39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2" manualBreakCount="2">
    <brk id="21" max="12" man="1"/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7"/>
  <sheetViews>
    <sheetView view="pageBreakPreview" zoomScale="70" zoomScaleNormal="70" zoomScaleSheetLayoutView="70" workbookViewId="0">
      <pane xSplit="2" ySplit="7" topLeftCell="C8" activePane="bottomRight" state="frozen"/>
      <selection activeCell="H33" sqref="H33"/>
      <selection pane="topRight" activeCell="H33" sqref="H33"/>
      <selection pane="bottomLeft" activeCell="H33" sqref="H33"/>
      <selection pane="bottomRight" activeCell="R19" sqref="R19"/>
    </sheetView>
  </sheetViews>
  <sheetFormatPr defaultColWidth="9.140625" defaultRowHeight="15" x14ac:dyDescent="0.25"/>
  <cols>
    <col min="1" max="1" width="6.7109375" style="6" customWidth="1"/>
    <col min="2" max="2" width="67.42578125" style="6" customWidth="1"/>
    <col min="3" max="3" width="18.5703125" style="6" customWidth="1"/>
    <col min="4" max="4" width="32.85546875" style="6" customWidth="1"/>
    <col min="5" max="5" width="21.28515625" style="6" customWidth="1"/>
    <col min="6" max="6" width="21.140625" style="41" customWidth="1"/>
    <col min="7" max="7" width="15.85546875" style="6" customWidth="1"/>
    <col min="8" max="8" width="15.85546875" style="182" customWidth="1"/>
    <col min="9" max="9" width="18.28515625" style="42" customWidth="1"/>
    <col min="10" max="10" width="17.28515625" style="6" customWidth="1"/>
    <col min="11" max="11" width="17.42578125" style="6" customWidth="1"/>
    <col min="12" max="12" width="26.5703125" style="6" customWidth="1"/>
    <col min="13" max="13" width="42" style="6" customWidth="1"/>
    <col min="14" max="14" width="31" style="6" hidden="1" customWidth="1"/>
    <col min="15" max="15" width="27.140625" style="6" hidden="1" customWidth="1"/>
    <col min="16" max="16" width="24.42578125" style="6" hidden="1" customWidth="1"/>
    <col min="17" max="17" width="50.5703125" style="6" hidden="1" customWidth="1"/>
    <col min="18" max="16384" width="9.140625" style="6"/>
  </cols>
  <sheetData>
    <row r="1" spans="1:18" ht="15.6" x14ac:dyDescent="0.3">
      <c r="A1" s="1"/>
      <c r="B1" s="2"/>
      <c r="C1" s="3"/>
      <c r="D1" s="2"/>
      <c r="E1" s="2"/>
      <c r="F1" s="43"/>
      <c r="G1" s="2"/>
      <c r="H1" s="183"/>
      <c r="I1" s="4"/>
      <c r="J1" s="5"/>
      <c r="K1" s="5"/>
      <c r="L1" s="5"/>
      <c r="M1" s="5"/>
      <c r="N1" s="5"/>
      <c r="O1" s="5"/>
      <c r="P1" s="5"/>
    </row>
    <row r="2" spans="1:18" ht="9" customHeight="1" x14ac:dyDescent="0.25">
      <c r="A2" s="1"/>
      <c r="B2" s="7"/>
      <c r="C2" s="8"/>
      <c r="D2" s="9"/>
      <c r="E2" s="9"/>
      <c r="F2" s="44"/>
      <c r="G2" s="10"/>
      <c r="H2" s="179"/>
      <c r="I2" s="11"/>
      <c r="J2" s="10"/>
      <c r="K2" s="10"/>
      <c r="L2" s="304"/>
      <c r="M2" s="304"/>
      <c r="N2" s="194"/>
      <c r="O2" s="194"/>
      <c r="P2" s="194"/>
    </row>
    <row r="3" spans="1:18" ht="6" customHeight="1" thickBot="1" x14ac:dyDescent="0.3">
      <c r="A3" s="1"/>
      <c r="B3" s="7"/>
      <c r="C3" s="8"/>
      <c r="D3" s="9"/>
      <c r="E3" s="9"/>
      <c r="F3" s="44"/>
      <c r="G3" s="10"/>
      <c r="H3" s="179"/>
      <c r="I3" s="11"/>
      <c r="J3" s="10"/>
      <c r="K3" s="10"/>
      <c r="L3" s="194"/>
      <c r="M3" s="194"/>
      <c r="N3" s="194"/>
      <c r="O3" s="194"/>
      <c r="P3" s="194"/>
    </row>
    <row r="4" spans="1:18" ht="29.25" customHeight="1" x14ac:dyDescent="0.25">
      <c r="A4" s="697" t="s">
        <v>1</v>
      </c>
      <c r="B4" s="698" t="s">
        <v>14</v>
      </c>
      <c r="C4" s="698" t="s">
        <v>0</v>
      </c>
      <c r="D4" s="698" t="s">
        <v>15</v>
      </c>
      <c r="E4" s="698" t="s">
        <v>153</v>
      </c>
      <c r="F4" s="698" t="s">
        <v>16</v>
      </c>
      <c r="G4" s="699" t="s">
        <v>49</v>
      </c>
      <c r="H4" s="700"/>
      <c r="I4" s="700"/>
      <c r="J4" s="700"/>
      <c r="K4" s="701"/>
      <c r="L4" s="698" t="s">
        <v>17</v>
      </c>
      <c r="M4" s="702" t="s">
        <v>7</v>
      </c>
      <c r="N4" s="151"/>
      <c r="O4" s="151"/>
      <c r="P4" s="151"/>
    </row>
    <row r="5" spans="1:18" ht="57" customHeight="1" x14ac:dyDescent="0.25">
      <c r="A5" s="703"/>
      <c r="B5" s="340"/>
      <c r="C5" s="340"/>
      <c r="D5" s="340"/>
      <c r="E5" s="340"/>
      <c r="F5" s="340"/>
      <c r="G5" s="67" t="s">
        <v>154</v>
      </c>
      <c r="H5" s="67" t="s">
        <v>47</v>
      </c>
      <c r="I5" s="67" t="s">
        <v>147</v>
      </c>
      <c r="J5" s="67" t="s">
        <v>148</v>
      </c>
      <c r="K5" s="67" t="s">
        <v>149</v>
      </c>
      <c r="L5" s="340"/>
      <c r="M5" s="704"/>
      <c r="N5" s="151" t="s">
        <v>299</v>
      </c>
      <c r="O5" s="151" t="s">
        <v>300</v>
      </c>
      <c r="P5" s="151"/>
    </row>
    <row r="6" spans="1:18" ht="18.75" x14ac:dyDescent="0.25">
      <c r="A6" s="15" t="s">
        <v>29</v>
      </c>
      <c r="B6" s="16">
        <v>2</v>
      </c>
      <c r="C6" s="16" t="s">
        <v>18</v>
      </c>
      <c r="D6" s="16" t="s">
        <v>134</v>
      </c>
      <c r="E6" s="16" t="s">
        <v>19</v>
      </c>
      <c r="F6" s="16" t="s">
        <v>131</v>
      </c>
      <c r="G6" s="16" t="s">
        <v>20</v>
      </c>
      <c r="H6" s="16" t="s">
        <v>132</v>
      </c>
      <c r="I6" s="16" t="s">
        <v>21</v>
      </c>
      <c r="J6" s="16" t="s">
        <v>22</v>
      </c>
      <c r="K6" s="16" t="s">
        <v>30</v>
      </c>
      <c r="L6" s="16" t="s">
        <v>31</v>
      </c>
      <c r="M6" s="17" t="s">
        <v>50</v>
      </c>
      <c r="N6" s="138"/>
      <c r="O6" s="138"/>
      <c r="P6" s="138"/>
    </row>
    <row r="7" spans="1:18" ht="34.5" customHeight="1" x14ac:dyDescent="0.25">
      <c r="A7" s="98"/>
      <c r="B7" s="408" t="s">
        <v>53</v>
      </c>
      <c r="C7" s="408"/>
      <c r="D7" s="705"/>
      <c r="E7" s="705"/>
      <c r="F7" s="705"/>
      <c r="G7" s="705"/>
      <c r="H7" s="705"/>
      <c r="I7" s="705"/>
      <c r="J7" s="705"/>
      <c r="K7" s="705"/>
      <c r="L7" s="705"/>
      <c r="M7" s="706"/>
      <c r="N7" s="152"/>
      <c r="O7" s="152"/>
      <c r="P7" s="152"/>
    </row>
    <row r="8" spans="1:18" ht="84.75" customHeight="1" x14ac:dyDescent="0.25">
      <c r="A8" s="600"/>
      <c r="B8" s="60" t="s">
        <v>143</v>
      </c>
      <c r="C8" s="61" t="s">
        <v>146</v>
      </c>
      <c r="D8" s="62" t="s">
        <v>9</v>
      </c>
      <c r="E8" s="178">
        <f>E9+E10+E11+E12+E13+E14</f>
        <v>24031.141000000003</v>
      </c>
      <c r="F8" s="601">
        <f t="shared" ref="F8:F15" si="0">SUM(G8:K8)</f>
        <v>126895.23000000001</v>
      </c>
      <c r="G8" s="178">
        <f>G9+G10+G11+G12+G13+G14+G15</f>
        <v>27498.839</v>
      </c>
      <c r="H8" s="178">
        <f t="shared" ref="H8" si="1">H9+H10+H11+H12+H13+H14</f>
        <v>24850.293000000001</v>
      </c>
      <c r="I8" s="207">
        <f>I9+I10+I11+I12+I13+I14+I15</f>
        <v>24860.846000000001</v>
      </c>
      <c r="J8" s="207">
        <f t="shared" ref="J8:K8" si="2">J9+J10+J11+J12+J13+J14+J15</f>
        <v>24842.626</v>
      </c>
      <c r="K8" s="207">
        <f t="shared" si="2"/>
        <v>24842.626</v>
      </c>
      <c r="L8" s="99"/>
      <c r="M8" s="64"/>
      <c r="N8" s="153"/>
      <c r="O8" s="153"/>
      <c r="P8" s="153"/>
    </row>
    <row r="9" spans="1:18" ht="105" customHeight="1" x14ac:dyDescent="0.25">
      <c r="A9" s="602" t="s">
        <v>91</v>
      </c>
      <c r="B9" s="603" t="s">
        <v>74</v>
      </c>
      <c r="C9" s="255" t="s">
        <v>146</v>
      </c>
      <c r="D9" s="251" t="s">
        <v>32</v>
      </c>
      <c r="E9" s="605">
        <f>15799.6+68.618+20.723</f>
        <v>15888.941000000001</v>
      </c>
      <c r="F9" s="606">
        <f t="shared" si="0"/>
        <v>80505.430000000008</v>
      </c>
      <c r="G9" s="605">
        <v>17440.667000000001</v>
      </c>
      <c r="H9" s="605">
        <v>16611.023000000001</v>
      </c>
      <c r="I9" s="606">
        <v>15484.58</v>
      </c>
      <c r="J9" s="606">
        <v>15484.58</v>
      </c>
      <c r="K9" s="606">
        <v>15484.58</v>
      </c>
      <c r="L9" s="707" t="s">
        <v>11</v>
      </c>
      <c r="M9" s="708" t="s">
        <v>78</v>
      </c>
      <c r="N9" s="178">
        <f>('[2]Лист 1'!$F$476+'[2]Лист 1'!$F$477)/1000</f>
        <v>16611.023000000001</v>
      </c>
      <c r="O9" s="65">
        <v>16611.023000000001</v>
      </c>
      <c r="P9" s="163">
        <f>N9-O9</f>
        <v>0</v>
      </c>
    </row>
    <row r="10" spans="1:18" ht="93.75" customHeight="1" x14ac:dyDescent="0.25">
      <c r="A10" s="609" t="s">
        <v>92</v>
      </c>
      <c r="B10" s="610" t="s">
        <v>75</v>
      </c>
      <c r="C10" s="255" t="s">
        <v>146</v>
      </c>
      <c r="D10" s="248" t="s">
        <v>32</v>
      </c>
      <c r="E10" s="612">
        <v>1.2</v>
      </c>
      <c r="F10" s="613">
        <f t="shared" si="0"/>
        <v>120.58199999999999</v>
      </c>
      <c r="G10" s="612">
        <v>0.67200000000000004</v>
      </c>
      <c r="H10" s="612">
        <v>0.27</v>
      </c>
      <c r="I10" s="613">
        <v>39.880000000000003</v>
      </c>
      <c r="J10" s="613">
        <v>39.880000000000003</v>
      </c>
      <c r="K10" s="613">
        <v>39.880000000000003</v>
      </c>
      <c r="L10" s="709" t="s">
        <v>11</v>
      </c>
      <c r="M10" s="710" t="s">
        <v>78</v>
      </c>
      <c r="N10" s="178">
        <f>'[2]Лист 1'!$F$478/1000</f>
        <v>0.27</v>
      </c>
      <c r="O10" s="66">
        <v>0.27</v>
      </c>
      <c r="P10" s="163">
        <f t="shared" ref="P10:P27" si="3">N10-O10</f>
        <v>0</v>
      </c>
    </row>
    <row r="11" spans="1:18" ht="222" customHeight="1" x14ac:dyDescent="0.25">
      <c r="A11" s="711" t="s">
        <v>93</v>
      </c>
      <c r="B11" s="712" t="s">
        <v>76</v>
      </c>
      <c r="C11" s="255" t="s">
        <v>146</v>
      </c>
      <c r="D11" s="248" t="s">
        <v>32</v>
      </c>
      <c r="E11" s="612">
        <f>200-118</f>
        <v>82</v>
      </c>
      <c r="F11" s="613">
        <f t="shared" si="0"/>
        <v>3237.4979999999996</v>
      </c>
      <c r="G11" s="612">
        <v>0</v>
      </c>
      <c r="H11" s="612">
        <v>0</v>
      </c>
      <c r="I11" s="613">
        <v>1079.1659999999999</v>
      </c>
      <c r="J11" s="613">
        <v>1079.1659999999999</v>
      </c>
      <c r="K11" s="613">
        <v>1079.1659999999999</v>
      </c>
      <c r="L11" s="709" t="s">
        <v>226</v>
      </c>
      <c r="M11" s="710" t="s">
        <v>33</v>
      </c>
      <c r="N11" s="178">
        <v>0</v>
      </c>
      <c r="O11" s="66">
        <v>0</v>
      </c>
      <c r="P11" s="163">
        <f t="shared" si="3"/>
        <v>0</v>
      </c>
      <c r="Q11" s="27"/>
      <c r="R11" s="27"/>
    </row>
    <row r="12" spans="1:18" ht="117.75" customHeight="1" x14ac:dyDescent="0.25">
      <c r="A12" s="713" t="s">
        <v>94</v>
      </c>
      <c r="B12" s="714" t="s">
        <v>88</v>
      </c>
      <c r="C12" s="255" t="s">
        <v>146</v>
      </c>
      <c r="D12" s="246" t="s">
        <v>32</v>
      </c>
      <c r="E12" s="715">
        <v>400</v>
      </c>
      <c r="F12" s="606">
        <f t="shared" si="0"/>
        <v>2000</v>
      </c>
      <c r="G12" s="715">
        <v>400</v>
      </c>
      <c r="H12" s="715">
        <v>400</v>
      </c>
      <c r="I12" s="606">
        <v>400</v>
      </c>
      <c r="J12" s="601">
        <v>400</v>
      </c>
      <c r="K12" s="601">
        <v>400</v>
      </c>
      <c r="L12" s="709" t="s">
        <v>226</v>
      </c>
      <c r="M12" s="708" t="s">
        <v>87</v>
      </c>
      <c r="N12" s="178">
        <f>'[2]Лист 1'!$F$479/1000</f>
        <v>400</v>
      </c>
      <c r="O12" s="100">
        <v>400</v>
      </c>
      <c r="P12" s="163">
        <f t="shared" si="3"/>
        <v>0</v>
      </c>
      <c r="Q12" s="26"/>
      <c r="R12" s="26"/>
    </row>
    <row r="13" spans="1:18" ht="117" customHeight="1" x14ac:dyDescent="0.25">
      <c r="A13" s="713" t="s">
        <v>95</v>
      </c>
      <c r="B13" s="581" t="s">
        <v>77</v>
      </c>
      <c r="C13" s="255" t="s">
        <v>146</v>
      </c>
      <c r="D13" s="251" t="s">
        <v>32</v>
      </c>
      <c r="E13" s="715">
        <v>2753</v>
      </c>
      <c r="F13" s="606">
        <f t="shared" si="0"/>
        <v>14505</v>
      </c>
      <c r="G13" s="715">
        <v>2773</v>
      </c>
      <c r="H13" s="715">
        <v>2933</v>
      </c>
      <c r="I13" s="606">
        <v>2933</v>
      </c>
      <c r="J13" s="601">
        <v>2933</v>
      </c>
      <c r="K13" s="601">
        <v>2933</v>
      </c>
      <c r="L13" s="709" t="s">
        <v>226</v>
      </c>
      <c r="M13" s="708" t="s">
        <v>227</v>
      </c>
      <c r="N13" s="178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100">
        <v>2933</v>
      </c>
      <c r="P13" s="163">
        <f t="shared" si="3"/>
        <v>0</v>
      </c>
    </row>
    <row r="14" spans="1:18" ht="141.75" customHeight="1" x14ac:dyDescent="0.25">
      <c r="A14" s="713" t="s">
        <v>96</v>
      </c>
      <c r="B14" s="716" t="s">
        <v>85</v>
      </c>
      <c r="C14" s="255" t="s">
        <v>146</v>
      </c>
      <c r="D14" s="251" t="s">
        <v>32</v>
      </c>
      <c r="E14" s="715">
        <f>4626+118+162</f>
        <v>4906</v>
      </c>
      <c r="F14" s="606">
        <f t="shared" si="0"/>
        <v>24530</v>
      </c>
      <c r="G14" s="582">
        <v>4906</v>
      </c>
      <c r="H14" s="582">
        <v>4906</v>
      </c>
      <c r="I14" s="717">
        <v>4906</v>
      </c>
      <c r="J14" s="583">
        <v>4906</v>
      </c>
      <c r="K14" s="583">
        <v>4906</v>
      </c>
      <c r="L14" s="709" t="s">
        <v>226</v>
      </c>
      <c r="M14" s="708" t="s">
        <v>169</v>
      </c>
      <c r="N14" s="178">
        <f>'[2]Лист 1'!$F$481/1000</f>
        <v>4906</v>
      </c>
      <c r="O14" s="59">
        <v>4906</v>
      </c>
      <c r="P14" s="163">
        <f t="shared" si="3"/>
        <v>0</v>
      </c>
    </row>
    <row r="15" spans="1:18" ht="108.75" customHeight="1" x14ac:dyDescent="0.25">
      <c r="A15" s="678" t="s">
        <v>97</v>
      </c>
      <c r="B15" s="483" t="s">
        <v>182</v>
      </c>
      <c r="C15" s="255" t="s">
        <v>146</v>
      </c>
      <c r="D15" s="251" t="s">
        <v>32</v>
      </c>
      <c r="E15" s="582">
        <v>0</v>
      </c>
      <c r="F15" s="606">
        <f t="shared" si="0"/>
        <v>1996.72</v>
      </c>
      <c r="G15" s="582">
        <v>1978.5</v>
      </c>
      <c r="H15" s="582">
        <v>0</v>
      </c>
      <c r="I15" s="717">
        <v>18.22</v>
      </c>
      <c r="J15" s="583">
        <v>0</v>
      </c>
      <c r="K15" s="583">
        <v>0</v>
      </c>
      <c r="L15" s="709" t="s">
        <v>226</v>
      </c>
      <c r="M15" s="718" t="s">
        <v>228</v>
      </c>
      <c r="N15" s="178">
        <v>0</v>
      </c>
      <c r="O15" s="59">
        <v>0</v>
      </c>
      <c r="P15" s="163">
        <f t="shared" si="3"/>
        <v>0</v>
      </c>
    </row>
    <row r="16" spans="1:18" ht="36.75" customHeight="1" x14ac:dyDescent="0.25">
      <c r="A16" s="396"/>
      <c r="B16" s="399" t="s">
        <v>174</v>
      </c>
      <c r="C16" s="399" t="s">
        <v>146</v>
      </c>
      <c r="D16" s="62" t="s">
        <v>10</v>
      </c>
      <c r="E16" s="101">
        <f t="shared" ref="E16:J16" si="4">SUM(E17:E18)</f>
        <v>279825.12</v>
      </c>
      <c r="F16" s="223">
        <f t="shared" ref="F16:F27" si="5">SUM(G16:K16)</f>
        <v>1146685.8369999998</v>
      </c>
      <c r="G16" s="101">
        <f t="shared" si="4"/>
        <v>244345.209</v>
      </c>
      <c r="H16" s="101">
        <f t="shared" si="4"/>
        <v>364901.39099999995</v>
      </c>
      <c r="I16" s="719">
        <f t="shared" si="4"/>
        <v>387476.27500000002</v>
      </c>
      <c r="J16" s="223">
        <f t="shared" si="4"/>
        <v>74981.481</v>
      </c>
      <c r="K16" s="223">
        <f>SUM(K17:K18)</f>
        <v>74981.481</v>
      </c>
      <c r="L16" s="405"/>
      <c r="M16" s="402"/>
      <c r="N16" s="178"/>
      <c r="O16" s="102"/>
      <c r="P16" s="163"/>
    </row>
    <row r="17" spans="1:21" ht="64.5" customHeight="1" x14ac:dyDescent="0.25">
      <c r="A17" s="397"/>
      <c r="B17" s="400"/>
      <c r="C17" s="400"/>
      <c r="D17" s="62" t="s">
        <v>9</v>
      </c>
      <c r="E17" s="103">
        <f>E19+E20+E21+E23+E24+E27</f>
        <v>93145.973999999987</v>
      </c>
      <c r="F17" s="223">
        <f t="shared" si="5"/>
        <v>881688.76699999999</v>
      </c>
      <c r="G17" s="103">
        <f t="shared" ref="G17:K17" si="6">G19+G20+G21+G23+G24+G27</f>
        <v>206317.139</v>
      </c>
      <c r="H17" s="103">
        <f>H19+H20+H21+H23+H24+H27</f>
        <v>271375.08499999996</v>
      </c>
      <c r="I17" s="720">
        <f>I19+I20+I21+I23+I24+I27</f>
        <v>254033.58100000001</v>
      </c>
      <c r="J17" s="224">
        <f t="shared" si="6"/>
        <v>74981.481</v>
      </c>
      <c r="K17" s="224">
        <f t="shared" si="6"/>
        <v>74981.481</v>
      </c>
      <c r="L17" s="406"/>
      <c r="M17" s="403"/>
      <c r="N17" s="178"/>
      <c r="O17" s="104"/>
      <c r="P17" s="163"/>
    </row>
    <row r="18" spans="1:21" ht="123" customHeight="1" x14ac:dyDescent="0.25">
      <c r="A18" s="398"/>
      <c r="B18" s="401"/>
      <c r="C18" s="401"/>
      <c r="D18" s="14" t="s">
        <v>89</v>
      </c>
      <c r="E18" s="103">
        <f t="shared" ref="E18:H18" si="7">E26</f>
        <v>186679.14600000001</v>
      </c>
      <c r="F18" s="223">
        <f t="shared" si="5"/>
        <v>264997.06999999995</v>
      </c>
      <c r="G18" s="103">
        <f t="shared" si="7"/>
        <v>38028.07</v>
      </c>
      <c r="H18" s="103">
        <f t="shared" si="7"/>
        <v>93526.305999999997</v>
      </c>
      <c r="I18" s="720">
        <f>I26+I22</f>
        <v>133442.69399999999</v>
      </c>
      <c r="J18" s="224">
        <f t="shared" ref="J18:K18" si="8">J26</f>
        <v>0</v>
      </c>
      <c r="K18" s="224">
        <f t="shared" si="8"/>
        <v>0</v>
      </c>
      <c r="L18" s="407"/>
      <c r="M18" s="404"/>
      <c r="N18" s="178"/>
      <c r="O18" s="104"/>
      <c r="P18" s="163"/>
    </row>
    <row r="19" spans="1:21" ht="70.5" customHeight="1" x14ac:dyDescent="0.25">
      <c r="A19" s="721" t="s">
        <v>109</v>
      </c>
      <c r="B19" s="722" t="s">
        <v>126</v>
      </c>
      <c r="C19" s="255" t="s">
        <v>146</v>
      </c>
      <c r="D19" s="117" t="s">
        <v>35</v>
      </c>
      <c r="E19" s="723">
        <v>59593.555999999997</v>
      </c>
      <c r="F19" s="724">
        <f t="shared" si="5"/>
        <v>367934.74899999995</v>
      </c>
      <c r="G19" s="723">
        <v>62202.173000000003</v>
      </c>
      <c r="H19" s="101">
        <v>76363.612999999998</v>
      </c>
      <c r="I19" s="728">
        <f>74981.481+3398.4+1026.31-0.19</f>
        <v>79406.000999999989</v>
      </c>
      <c r="J19" s="724">
        <v>74981.481</v>
      </c>
      <c r="K19" s="724">
        <v>74981.481</v>
      </c>
      <c r="L19" s="725" t="s">
        <v>11</v>
      </c>
      <c r="M19" s="726" t="s">
        <v>36</v>
      </c>
      <c r="N19" s="178">
        <f>'[2]Лист 1'!$I$503/1000</f>
        <v>70293.926999999996</v>
      </c>
      <c r="O19" s="157">
        <f>62238.611+1620.2+489.26+5796.5</f>
        <v>70144.570999999996</v>
      </c>
      <c r="P19" s="163">
        <f t="shared" si="3"/>
        <v>149.35599999999977</v>
      </c>
      <c r="Q19" s="6" t="s">
        <v>293</v>
      </c>
      <c r="R19" s="26"/>
      <c r="S19" s="26"/>
      <c r="T19" s="26"/>
      <c r="U19" s="26"/>
    </row>
    <row r="20" spans="1:21" ht="81" customHeight="1" x14ac:dyDescent="0.25">
      <c r="A20" s="721" t="s">
        <v>110</v>
      </c>
      <c r="B20" s="727" t="s">
        <v>170</v>
      </c>
      <c r="C20" s="255" t="s">
        <v>146</v>
      </c>
      <c r="D20" s="117" t="s">
        <v>35</v>
      </c>
      <c r="E20" s="723">
        <v>27783.599999999999</v>
      </c>
      <c r="F20" s="724">
        <f t="shared" si="5"/>
        <v>78226.7</v>
      </c>
      <c r="G20" s="723">
        <v>37639.671999999999</v>
      </c>
      <c r="H20" s="101">
        <v>40587.027999999998</v>
      </c>
      <c r="I20" s="728">
        <v>0</v>
      </c>
      <c r="J20" s="724">
        <v>0</v>
      </c>
      <c r="K20" s="724">
        <v>0</v>
      </c>
      <c r="L20" s="729" t="s">
        <v>229</v>
      </c>
      <c r="M20" s="730" t="s">
        <v>127</v>
      </c>
      <c r="N20" s="178">
        <f>'[2]Лист 1'!$I$512/1000</f>
        <v>42329.667999999998</v>
      </c>
      <c r="O20" s="157">
        <v>42509.667999999998</v>
      </c>
      <c r="P20" s="163">
        <f t="shared" si="3"/>
        <v>-180</v>
      </c>
      <c r="R20" s="26"/>
      <c r="S20" s="26"/>
      <c r="T20" s="26"/>
    </row>
    <row r="21" spans="1:21" ht="68.25" customHeight="1" x14ac:dyDescent="0.25">
      <c r="A21" s="731" t="s">
        <v>111</v>
      </c>
      <c r="B21" s="732" t="s">
        <v>201</v>
      </c>
      <c r="C21" s="604" t="s">
        <v>146</v>
      </c>
      <c r="D21" s="117" t="s">
        <v>35</v>
      </c>
      <c r="E21" s="723">
        <v>4185.8180000000002</v>
      </c>
      <c r="F21" s="724">
        <f t="shared" si="5"/>
        <v>441</v>
      </c>
      <c r="G21" s="723">
        <v>0</v>
      </c>
      <c r="H21" s="723">
        <v>441</v>
      </c>
      <c r="I21" s="728">
        <v>0</v>
      </c>
      <c r="J21" s="724">
        <v>0</v>
      </c>
      <c r="K21" s="724">
        <v>0</v>
      </c>
      <c r="L21" s="733" t="s">
        <v>230</v>
      </c>
      <c r="M21" s="734" t="s">
        <v>37</v>
      </c>
      <c r="N21" s="178">
        <f>'[2]Лист 1'!$F$521/1000</f>
        <v>441</v>
      </c>
      <c r="O21" s="105">
        <v>441</v>
      </c>
      <c r="P21" s="163">
        <f t="shared" si="3"/>
        <v>0</v>
      </c>
    </row>
    <row r="22" spans="1:21" ht="119.25" customHeight="1" x14ac:dyDescent="0.25">
      <c r="A22" s="735"/>
      <c r="B22" s="736"/>
      <c r="C22" s="611"/>
      <c r="D22" s="117" t="s">
        <v>89</v>
      </c>
      <c r="E22" s="723">
        <v>0</v>
      </c>
      <c r="F22" s="724">
        <f t="shared" si="5"/>
        <v>0</v>
      </c>
      <c r="G22" s="723">
        <v>0</v>
      </c>
      <c r="H22" s="723">
        <v>0</v>
      </c>
      <c r="I22" s="728">
        <f>12980-12980</f>
        <v>0</v>
      </c>
      <c r="J22" s="724">
        <v>0</v>
      </c>
      <c r="K22" s="724">
        <v>0</v>
      </c>
      <c r="L22" s="737"/>
      <c r="M22" s="738"/>
      <c r="N22" s="178">
        <v>0</v>
      </c>
      <c r="O22" s="105">
        <v>0</v>
      </c>
      <c r="P22" s="163">
        <f t="shared" si="3"/>
        <v>0</v>
      </c>
    </row>
    <row r="23" spans="1:21" ht="64.5" customHeight="1" x14ac:dyDescent="0.25">
      <c r="A23" s="739" t="s">
        <v>112</v>
      </c>
      <c r="B23" s="740" t="s">
        <v>171</v>
      </c>
      <c r="C23" s="255" t="s">
        <v>146</v>
      </c>
      <c r="D23" s="117" t="s">
        <v>35</v>
      </c>
      <c r="E23" s="723">
        <v>368</v>
      </c>
      <c r="F23" s="724">
        <f t="shared" si="5"/>
        <v>1421.875</v>
      </c>
      <c r="G23" s="723">
        <v>370.30500000000001</v>
      </c>
      <c r="H23" s="723">
        <v>0</v>
      </c>
      <c r="I23" s="728">
        <v>1051.57</v>
      </c>
      <c r="J23" s="724">
        <v>0</v>
      </c>
      <c r="K23" s="724">
        <v>0</v>
      </c>
      <c r="L23" s="725" t="s">
        <v>231</v>
      </c>
      <c r="M23" s="741" t="s">
        <v>38</v>
      </c>
      <c r="N23" s="178">
        <v>0</v>
      </c>
      <c r="O23" s="105">
        <v>0</v>
      </c>
      <c r="P23" s="163">
        <f t="shared" si="3"/>
        <v>0</v>
      </c>
    </row>
    <row r="24" spans="1:21" ht="60.75" customHeight="1" x14ac:dyDescent="0.25">
      <c r="A24" s="731" t="s">
        <v>113</v>
      </c>
      <c r="B24" s="732" t="s">
        <v>172</v>
      </c>
      <c r="C24" s="604" t="s">
        <v>146</v>
      </c>
      <c r="D24" s="117" t="s">
        <v>35</v>
      </c>
      <c r="E24" s="723">
        <v>1065</v>
      </c>
      <c r="F24" s="724">
        <f t="shared" si="5"/>
        <v>433664.44299999997</v>
      </c>
      <c r="G24" s="723">
        <f>765.545+105339.444</f>
        <v>106104.989</v>
      </c>
      <c r="H24" s="723">
        <f>153983.443+0.001</f>
        <v>153983.44399999999</v>
      </c>
      <c r="I24" s="728">
        <f>170000+3576.01</f>
        <v>173576.01</v>
      </c>
      <c r="J24" s="724">
        <v>0</v>
      </c>
      <c r="K24" s="724">
        <v>0</v>
      </c>
      <c r="L24" s="733" t="s">
        <v>232</v>
      </c>
      <c r="M24" s="742" t="s">
        <v>233</v>
      </c>
      <c r="N24" s="178">
        <f>('[2]Лист 1'!$F$455+'[2]Лист 1'!$F$350)/1000</f>
        <v>164831.76999999999</v>
      </c>
      <c r="O24" s="105">
        <f>165226.77-395</f>
        <v>164831.76999999999</v>
      </c>
      <c r="P24" s="163">
        <f t="shared" si="3"/>
        <v>0</v>
      </c>
    </row>
    <row r="25" spans="1:21" ht="93.75" x14ac:dyDescent="0.25">
      <c r="A25" s="743"/>
      <c r="B25" s="744"/>
      <c r="C25" s="745"/>
      <c r="D25" s="117" t="s">
        <v>276</v>
      </c>
      <c r="E25" s="723">
        <v>0</v>
      </c>
      <c r="F25" s="724">
        <f t="shared" si="5"/>
        <v>323983.44400000002</v>
      </c>
      <c r="G25" s="723">
        <v>0</v>
      </c>
      <c r="H25" s="723">
        <v>153983.44399999999</v>
      </c>
      <c r="I25" s="728">
        <v>170000</v>
      </c>
      <c r="J25" s="724">
        <v>0</v>
      </c>
      <c r="K25" s="724">
        <v>0</v>
      </c>
      <c r="L25" s="746"/>
      <c r="M25" s="747"/>
      <c r="N25" s="178">
        <f>N24</f>
        <v>164831.76999999999</v>
      </c>
      <c r="O25" s="105">
        <f>165226.77-395</f>
        <v>164831.76999999999</v>
      </c>
      <c r="P25" s="163">
        <f t="shared" si="3"/>
        <v>0</v>
      </c>
      <c r="Q25" s="6" t="s">
        <v>288</v>
      </c>
    </row>
    <row r="26" spans="1:21" ht="119.25" customHeight="1" x14ac:dyDescent="0.3">
      <c r="A26" s="735"/>
      <c r="B26" s="736"/>
      <c r="C26" s="611"/>
      <c r="D26" s="14" t="s">
        <v>89</v>
      </c>
      <c r="E26" s="723">
        <v>186679.14600000001</v>
      </c>
      <c r="F26" s="724">
        <f t="shared" si="5"/>
        <v>264997.06999999995</v>
      </c>
      <c r="G26" s="723">
        <v>38028.07</v>
      </c>
      <c r="H26" s="723">
        <v>93526.305999999997</v>
      </c>
      <c r="I26" s="728">
        <f>347.11+4414.584+7500+4300+1700+7280.04+1979+2806+67936+35179.96</f>
        <v>133442.69399999999</v>
      </c>
      <c r="J26" s="724">
        <v>0</v>
      </c>
      <c r="K26" s="724">
        <v>0</v>
      </c>
      <c r="L26" s="737"/>
      <c r="M26" s="748"/>
      <c r="N26" s="178">
        <f>('[2]Лист 1'!$F$349+'[2]Лист 1'!$F$454)/1000</f>
        <v>96068.13</v>
      </c>
      <c r="O26" s="157">
        <f>3000+42596+46477.13+3000+1490</f>
        <v>96563.13</v>
      </c>
      <c r="P26" s="163">
        <f t="shared" si="3"/>
        <v>-495</v>
      </c>
      <c r="Q26" s="169" t="s">
        <v>306</v>
      </c>
    </row>
    <row r="27" spans="1:21" ht="93.75" x14ac:dyDescent="0.25">
      <c r="A27" s="739" t="s">
        <v>114</v>
      </c>
      <c r="B27" s="740" t="s">
        <v>173</v>
      </c>
      <c r="C27" s="117" t="s">
        <v>146</v>
      </c>
      <c r="D27" s="117" t="s">
        <v>35</v>
      </c>
      <c r="E27" s="723">
        <v>150</v>
      </c>
      <c r="F27" s="724">
        <f t="shared" si="5"/>
        <v>0</v>
      </c>
      <c r="G27" s="723">
        <v>0</v>
      </c>
      <c r="H27" s="723">
        <v>0</v>
      </c>
      <c r="I27" s="728">
        <v>0</v>
      </c>
      <c r="J27" s="724">
        <v>0</v>
      </c>
      <c r="K27" s="724">
        <v>0</v>
      </c>
      <c r="L27" s="725" t="s">
        <v>231</v>
      </c>
      <c r="M27" s="726" t="s">
        <v>128</v>
      </c>
      <c r="N27" s="178">
        <v>0</v>
      </c>
      <c r="O27" s="105">
        <v>0</v>
      </c>
      <c r="P27" s="163">
        <f t="shared" si="3"/>
        <v>0</v>
      </c>
      <c r="R27" s="27"/>
      <c r="S27" s="27"/>
      <c r="T27" s="27"/>
      <c r="U27" s="27"/>
    </row>
    <row r="28" spans="1:21" ht="18.75" x14ac:dyDescent="0.25">
      <c r="A28" s="749" t="s">
        <v>59</v>
      </c>
      <c r="B28" s="664"/>
      <c r="C28" s="664"/>
      <c r="D28" s="664"/>
      <c r="E28" s="665">
        <f t="shared" ref="E28:G28" si="9">E29+E31</f>
        <v>303856.261</v>
      </c>
      <c r="F28" s="666">
        <f>F29+F31</f>
        <v>1273581.0669999998</v>
      </c>
      <c r="G28" s="665">
        <f t="shared" si="9"/>
        <v>271844.04800000001</v>
      </c>
      <c r="H28" s="665">
        <f>H29+H31</f>
        <v>389751.68399999995</v>
      </c>
      <c r="I28" s="750">
        <f t="shared" ref="I28:K28" si="10">I29+I31</f>
        <v>412337.12100000004</v>
      </c>
      <c r="J28" s="666">
        <f t="shared" si="10"/>
        <v>99824.107000000004</v>
      </c>
      <c r="K28" s="666">
        <f t="shared" si="10"/>
        <v>99824.107000000004</v>
      </c>
      <c r="L28" s="79"/>
      <c r="M28" s="106"/>
      <c r="N28" s="155"/>
      <c r="O28" s="155"/>
      <c r="P28" s="155"/>
    </row>
    <row r="29" spans="1:21" ht="18.75" x14ac:dyDescent="0.25">
      <c r="A29" s="395" t="s">
        <v>9</v>
      </c>
      <c r="B29" s="341"/>
      <c r="C29" s="341"/>
      <c r="D29" s="341"/>
      <c r="E29" s="78">
        <f>E8+E17</f>
        <v>117177.11499999999</v>
      </c>
      <c r="F29" s="208">
        <f>SUM(G29:K29)</f>
        <v>1008583.9969999999</v>
      </c>
      <c r="G29" s="78">
        <f>G8+G17</f>
        <v>233815.978</v>
      </c>
      <c r="H29" s="78">
        <f>H8+H17</f>
        <v>296225.37799999997</v>
      </c>
      <c r="I29" s="751">
        <f>I8+I17</f>
        <v>278894.42700000003</v>
      </c>
      <c r="J29" s="208">
        <f>J8+J17</f>
        <v>99824.107000000004</v>
      </c>
      <c r="K29" s="208">
        <f>K8+K17</f>
        <v>99824.107000000004</v>
      </c>
      <c r="L29" s="79"/>
      <c r="M29" s="106"/>
      <c r="N29" s="156"/>
      <c r="O29" s="156"/>
      <c r="P29" s="156"/>
    </row>
    <row r="30" spans="1:21" ht="18.75" x14ac:dyDescent="0.25">
      <c r="A30" s="395" t="s">
        <v>276</v>
      </c>
      <c r="B30" s="341"/>
      <c r="C30" s="341"/>
      <c r="D30" s="341"/>
      <c r="E30" s="78">
        <v>0</v>
      </c>
      <c r="F30" s="208">
        <f t="shared" ref="F30:F31" si="11">SUM(G30:K30)</f>
        <v>323983.44400000002</v>
      </c>
      <c r="G30" s="78">
        <f>G25</f>
        <v>0</v>
      </c>
      <c r="H30" s="78">
        <f t="shared" ref="H30:K30" si="12">H25</f>
        <v>153983.44399999999</v>
      </c>
      <c r="I30" s="751">
        <f t="shared" si="12"/>
        <v>170000</v>
      </c>
      <c r="J30" s="78">
        <f t="shared" si="12"/>
        <v>0</v>
      </c>
      <c r="K30" s="78">
        <f t="shared" si="12"/>
        <v>0</v>
      </c>
      <c r="L30" s="79"/>
      <c r="M30" s="106"/>
      <c r="N30" s="156"/>
      <c r="O30" s="156"/>
      <c r="P30" s="156"/>
    </row>
    <row r="31" spans="1:21" ht="41.25" customHeight="1" thickBot="1" x14ac:dyDescent="0.35">
      <c r="A31" s="393" t="s">
        <v>89</v>
      </c>
      <c r="B31" s="394"/>
      <c r="C31" s="394"/>
      <c r="D31" s="394"/>
      <c r="E31" s="107">
        <f>E18</f>
        <v>186679.14600000001</v>
      </c>
      <c r="F31" s="208">
        <f t="shared" si="11"/>
        <v>264997.06999999995</v>
      </c>
      <c r="G31" s="107">
        <f>G18</f>
        <v>38028.07</v>
      </c>
      <c r="H31" s="107">
        <f>H18</f>
        <v>93526.305999999997</v>
      </c>
      <c r="I31" s="752">
        <f>I18</f>
        <v>133442.69399999999</v>
      </c>
      <c r="J31" s="225">
        <f>J18</f>
        <v>0</v>
      </c>
      <c r="K31" s="225">
        <f>K18</f>
        <v>0</v>
      </c>
      <c r="L31" s="96"/>
      <c r="M31" s="696"/>
      <c r="N31" s="141"/>
      <c r="O31" s="141"/>
      <c r="P31" s="141"/>
      <c r="S31" s="20"/>
      <c r="T31" s="20"/>
    </row>
    <row r="32" spans="1:21" ht="15.75" x14ac:dyDescent="0.25">
      <c r="A32" s="108"/>
      <c r="B32" s="108"/>
      <c r="C32" s="109"/>
      <c r="D32" s="109"/>
      <c r="E32" s="109"/>
      <c r="F32" s="110"/>
      <c r="G32" s="111"/>
      <c r="H32" s="186"/>
      <c r="I32" s="112"/>
      <c r="J32" s="112"/>
      <c r="K32" s="112"/>
      <c r="L32" s="108"/>
      <c r="M32" s="108"/>
      <c r="N32" s="108"/>
      <c r="O32" s="108"/>
      <c r="P32" s="108"/>
    </row>
    <row r="33" spans="3:11" ht="15.75" x14ac:dyDescent="0.25">
      <c r="E33" s="20"/>
      <c r="F33" s="37"/>
      <c r="G33" s="20"/>
      <c r="H33" s="187"/>
    </row>
    <row r="34" spans="3:11" ht="15.75" x14ac:dyDescent="0.25">
      <c r="C34" s="36"/>
      <c r="D34" s="36"/>
      <c r="E34" s="36"/>
      <c r="F34" s="114"/>
      <c r="G34" s="36"/>
      <c r="H34" s="188"/>
      <c r="I34" s="115"/>
      <c r="J34" s="36"/>
      <c r="K34" s="36"/>
    </row>
    <row r="35" spans="3:11" x14ac:dyDescent="0.25">
      <c r="E35" s="20"/>
    </row>
    <row r="36" spans="3:11" x14ac:dyDescent="0.25">
      <c r="E36" s="20"/>
      <c r="F36" s="116"/>
      <c r="G36" s="52"/>
      <c r="H36" s="185"/>
      <c r="I36" s="87"/>
      <c r="J36" s="52"/>
      <c r="K36" s="52"/>
    </row>
    <row r="37" spans="3:11" x14ac:dyDescent="0.25">
      <c r="E37" s="20"/>
      <c r="F37" s="116"/>
      <c r="G37" s="52"/>
      <c r="H37" s="185"/>
      <c r="I37" s="38"/>
      <c r="J37" s="20"/>
      <c r="K37" s="20"/>
    </row>
    <row r="38" spans="3:11" x14ac:dyDescent="0.25">
      <c r="E38" s="20"/>
      <c r="F38" s="116"/>
      <c r="G38" s="52"/>
      <c r="H38" s="185"/>
      <c r="I38" s="87"/>
      <c r="J38" s="52"/>
      <c r="K38" s="52"/>
    </row>
    <row r="39" spans="3:11" x14ac:dyDescent="0.25">
      <c r="E39" s="52"/>
      <c r="F39" s="116"/>
      <c r="G39" s="52"/>
      <c r="H39" s="185"/>
      <c r="I39" s="87"/>
      <c r="J39" s="52"/>
      <c r="K39" s="52"/>
    </row>
    <row r="40" spans="3:11" x14ac:dyDescent="0.25">
      <c r="F40" s="116"/>
      <c r="G40" s="52"/>
    </row>
    <row r="41" spans="3:11" x14ac:dyDescent="0.25">
      <c r="E41" s="52"/>
      <c r="F41" s="116"/>
      <c r="G41" s="52"/>
      <c r="H41" s="185"/>
      <c r="I41" s="87"/>
      <c r="J41" s="52"/>
      <c r="K41" s="52"/>
    </row>
    <row r="42" spans="3:11" x14ac:dyDescent="0.25">
      <c r="E42" s="52"/>
      <c r="F42" s="116"/>
      <c r="G42" s="52"/>
      <c r="H42" s="185"/>
      <c r="I42" s="87"/>
      <c r="J42" s="52"/>
      <c r="K42" s="52"/>
    </row>
    <row r="43" spans="3:11" x14ac:dyDescent="0.25">
      <c r="F43" s="116"/>
      <c r="G43" s="52"/>
      <c r="H43" s="185"/>
    </row>
    <row r="45" spans="3:11" x14ac:dyDescent="0.25">
      <c r="F45" s="116"/>
      <c r="G45" s="52"/>
      <c r="H45" s="185"/>
      <c r="I45" s="87"/>
      <c r="J45" s="52"/>
      <c r="K45" s="52"/>
    </row>
    <row r="46" spans="3:11" x14ac:dyDescent="0.25">
      <c r="F46" s="116"/>
      <c r="G46" s="52"/>
      <c r="H46" s="185"/>
      <c r="I46" s="87"/>
      <c r="J46" s="52"/>
      <c r="K46" s="52"/>
    </row>
    <row r="47" spans="3:11" x14ac:dyDescent="0.25">
      <c r="F47" s="37"/>
      <c r="G47" s="20"/>
      <c r="H47" s="180"/>
      <c r="I47" s="38"/>
      <c r="J47" s="20"/>
      <c r="K47" s="20"/>
    </row>
  </sheetData>
  <mergeCells count="30"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L21:L22"/>
    <mergeCell ref="M21:M22"/>
    <mergeCell ref="A31:D31"/>
    <mergeCell ref="A29:D29"/>
    <mergeCell ref="L24:L26"/>
    <mergeCell ref="M24:M26"/>
    <mergeCell ref="A28:D28"/>
    <mergeCell ref="A30:D30"/>
  </mergeCells>
  <pageMargins left="0.19685039370078741" right="0.19685039370078741" top="0.39370078740157483" bottom="0.39370078740157483" header="0" footer="0"/>
  <pageSetup paperSize="9" scale="44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6"/>
  <sheetViews>
    <sheetView tabSelected="1" view="pageBreakPreview" zoomScale="70" zoomScaleNormal="70" zoomScaleSheetLayoutView="70" workbookViewId="0">
      <pane xSplit="2" ySplit="7" topLeftCell="C23" activePane="bottomRight" state="frozen"/>
      <selection activeCell="H33" sqref="H33"/>
      <selection pane="topRight" activeCell="H33" sqref="H33"/>
      <selection pane="bottomLeft" activeCell="H33" sqref="H33"/>
      <selection pane="bottomRight" activeCell="W11" sqref="W11"/>
    </sheetView>
  </sheetViews>
  <sheetFormatPr defaultColWidth="9.140625" defaultRowHeight="15" x14ac:dyDescent="0.25"/>
  <cols>
    <col min="1" max="1" width="6.7109375" style="6" customWidth="1"/>
    <col min="2" max="2" width="62.5703125" style="6" customWidth="1"/>
    <col min="3" max="3" width="18.5703125" style="6" customWidth="1"/>
    <col min="4" max="4" width="34.7109375" style="6" customWidth="1"/>
    <col min="5" max="5" width="20.5703125" style="6" customWidth="1"/>
    <col min="6" max="6" width="22.85546875" style="41" customWidth="1"/>
    <col min="7" max="7" width="18.5703125" style="6" customWidth="1"/>
    <col min="8" max="8" width="20.140625" style="182" customWidth="1"/>
    <col min="9" max="9" width="20.7109375" style="42" customWidth="1"/>
    <col min="10" max="10" width="20.140625" style="6" customWidth="1"/>
    <col min="11" max="11" width="21.28515625" style="6" customWidth="1"/>
    <col min="12" max="12" width="28" style="6" customWidth="1"/>
    <col min="13" max="13" width="39.7109375" style="6" customWidth="1"/>
    <col min="14" max="14" width="39.7109375" style="6" hidden="1" customWidth="1"/>
    <col min="15" max="15" width="17.140625" style="6" hidden="1" customWidth="1"/>
    <col min="16" max="16" width="9.140625" style="6" customWidth="1"/>
    <col min="17" max="22" width="9.140625" style="6" hidden="1" customWidth="1"/>
    <col min="23" max="23" width="9.140625" style="6" customWidth="1"/>
    <col min="24" max="16384" width="9.140625" style="6"/>
  </cols>
  <sheetData>
    <row r="1" spans="1:20" ht="15.6" x14ac:dyDescent="0.3">
      <c r="A1" s="1"/>
      <c r="B1" s="2"/>
      <c r="C1" s="3"/>
      <c r="D1" s="2"/>
      <c r="E1" s="2"/>
      <c r="F1" s="43"/>
      <c r="G1" s="2"/>
      <c r="H1" s="183"/>
      <c r="I1" s="4"/>
      <c r="J1" s="5"/>
      <c r="K1" s="5"/>
      <c r="L1" s="5"/>
      <c r="M1" s="5"/>
      <c r="N1" s="5"/>
    </row>
    <row r="2" spans="1:20" ht="15.75" customHeight="1" x14ac:dyDescent="0.25">
      <c r="A2" s="1"/>
      <c r="B2" s="7"/>
      <c r="C2" s="8"/>
      <c r="D2" s="9"/>
      <c r="E2" s="9"/>
      <c r="F2" s="44"/>
      <c r="G2" s="10"/>
      <c r="H2" s="179"/>
      <c r="I2" s="11"/>
      <c r="J2" s="10"/>
      <c r="K2" s="10"/>
      <c r="L2" s="304"/>
      <c r="M2" s="304"/>
      <c r="N2" s="194"/>
    </row>
    <row r="3" spans="1:20" ht="15.75" customHeight="1" thickBot="1" x14ac:dyDescent="0.3">
      <c r="A3" s="1"/>
      <c r="B3" s="7"/>
      <c r="C3" s="8"/>
      <c r="D3" s="9"/>
      <c r="E3" s="9"/>
      <c r="F3" s="44"/>
      <c r="G3" s="10"/>
      <c r="H3" s="179"/>
      <c r="I3" s="11"/>
      <c r="J3" s="10"/>
      <c r="K3" s="10"/>
      <c r="L3" s="194"/>
      <c r="M3" s="194"/>
      <c r="N3" s="194"/>
    </row>
    <row r="4" spans="1:20" ht="18.75" x14ac:dyDescent="0.25">
      <c r="A4" s="697" t="s">
        <v>1</v>
      </c>
      <c r="B4" s="698" t="s">
        <v>14</v>
      </c>
      <c r="C4" s="698" t="s">
        <v>0</v>
      </c>
      <c r="D4" s="698" t="s">
        <v>15</v>
      </c>
      <c r="E4" s="698" t="s">
        <v>153</v>
      </c>
      <c r="F4" s="698" t="s">
        <v>16</v>
      </c>
      <c r="G4" s="699" t="s">
        <v>49</v>
      </c>
      <c r="H4" s="700"/>
      <c r="I4" s="700"/>
      <c r="J4" s="700"/>
      <c r="K4" s="701"/>
      <c r="L4" s="698" t="s">
        <v>17</v>
      </c>
      <c r="M4" s="702" t="s">
        <v>7</v>
      </c>
      <c r="N4" s="151"/>
      <c r="Q4" s="6">
        <v>1.0309280000000001</v>
      </c>
      <c r="R4" s="6">
        <v>1.02</v>
      </c>
      <c r="S4" s="6">
        <v>1.06</v>
      </c>
      <c r="T4" s="6">
        <v>1.1000000000000001</v>
      </c>
    </row>
    <row r="5" spans="1:20" ht="56.25" customHeight="1" x14ac:dyDescent="0.25">
      <c r="A5" s="703"/>
      <c r="B5" s="340"/>
      <c r="C5" s="340"/>
      <c r="D5" s="340"/>
      <c r="E5" s="340"/>
      <c r="F5" s="340"/>
      <c r="G5" s="67" t="s">
        <v>154</v>
      </c>
      <c r="H5" s="67" t="s">
        <v>47</v>
      </c>
      <c r="I5" s="67" t="s">
        <v>147</v>
      </c>
      <c r="J5" s="67" t="s">
        <v>148</v>
      </c>
      <c r="K5" s="67" t="s">
        <v>149</v>
      </c>
      <c r="L5" s="340"/>
      <c r="M5" s="704"/>
      <c r="N5" s="151"/>
    </row>
    <row r="6" spans="1:20" ht="18.75" x14ac:dyDescent="0.25">
      <c r="A6" s="15" t="s">
        <v>29</v>
      </c>
      <c r="B6" s="16">
        <v>2</v>
      </c>
      <c r="C6" s="16" t="s">
        <v>18</v>
      </c>
      <c r="D6" s="16" t="s">
        <v>134</v>
      </c>
      <c r="E6" s="16" t="s">
        <v>19</v>
      </c>
      <c r="F6" s="16" t="s">
        <v>131</v>
      </c>
      <c r="G6" s="16" t="s">
        <v>20</v>
      </c>
      <c r="H6" s="16" t="s">
        <v>132</v>
      </c>
      <c r="I6" s="16" t="s">
        <v>21</v>
      </c>
      <c r="J6" s="16" t="s">
        <v>22</v>
      </c>
      <c r="K6" s="16" t="s">
        <v>30</v>
      </c>
      <c r="L6" s="16" t="s">
        <v>31</v>
      </c>
      <c r="M6" s="17" t="s">
        <v>50</v>
      </c>
      <c r="N6" s="138"/>
    </row>
    <row r="7" spans="1:20" ht="18.75" x14ac:dyDescent="0.25">
      <c r="A7" s="98"/>
      <c r="B7" s="408" t="s">
        <v>202</v>
      </c>
      <c r="C7" s="408"/>
      <c r="D7" s="705"/>
      <c r="E7" s="705"/>
      <c r="F7" s="705"/>
      <c r="G7" s="705"/>
      <c r="H7" s="705"/>
      <c r="I7" s="705"/>
      <c r="J7" s="705"/>
      <c r="K7" s="705"/>
      <c r="L7" s="705"/>
      <c r="M7" s="706"/>
      <c r="N7" s="152"/>
    </row>
    <row r="8" spans="1:20" ht="18.75" x14ac:dyDescent="0.25">
      <c r="A8" s="396"/>
      <c r="B8" s="399" t="s">
        <v>139</v>
      </c>
      <c r="C8" s="399" t="s">
        <v>146</v>
      </c>
      <c r="D8" s="62" t="s">
        <v>10</v>
      </c>
      <c r="E8" s="101">
        <f t="shared" ref="E8:K8" si="0">SUM(E9:E11)</f>
        <v>3430.058</v>
      </c>
      <c r="F8" s="223">
        <f t="shared" si="0"/>
        <v>19931.632999999998</v>
      </c>
      <c r="G8" s="101">
        <f t="shared" si="0"/>
        <v>4022.665</v>
      </c>
      <c r="H8" s="101">
        <f t="shared" si="0"/>
        <v>6839.262999999999</v>
      </c>
      <c r="I8" s="223">
        <f t="shared" si="0"/>
        <v>9069.7049999999999</v>
      </c>
      <c r="J8" s="223">
        <f t="shared" si="0"/>
        <v>0</v>
      </c>
      <c r="K8" s="223">
        <f t="shared" si="0"/>
        <v>0</v>
      </c>
      <c r="L8" s="405"/>
      <c r="M8" s="402"/>
      <c r="N8" s="154"/>
    </row>
    <row r="9" spans="1:20" ht="37.5" x14ac:dyDescent="0.25">
      <c r="A9" s="397"/>
      <c r="B9" s="400"/>
      <c r="C9" s="400"/>
      <c r="D9" s="117" t="s">
        <v>34</v>
      </c>
      <c r="E9" s="118">
        <f>E15</f>
        <v>784</v>
      </c>
      <c r="F9" s="724">
        <f t="shared" ref="F9:F14" si="1">SUM(G9:K9)</f>
        <v>4871</v>
      </c>
      <c r="G9" s="118">
        <f t="shared" ref="G9:K9" si="2">G15</f>
        <v>0</v>
      </c>
      <c r="H9" s="118">
        <f t="shared" si="2"/>
        <v>2500</v>
      </c>
      <c r="I9" s="226">
        <f t="shared" si="2"/>
        <v>2371</v>
      </c>
      <c r="J9" s="226">
        <f t="shared" si="2"/>
        <v>0</v>
      </c>
      <c r="K9" s="226">
        <f t="shared" si="2"/>
        <v>0</v>
      </c>
      <c r="L9" s="406"/>
      <c r="M9" s="403"/>
      <c r="N9" s="154"/>
    </row>
    <row r="10" spans="1:20" ht="56.25" x14ac:dyDescent="0.25">
      <c r="A10" s="397"/>
      <c r="B10" s="400"/>
      <c r="C10" s="400"/>
      <c r="D10" s="62" t="s">
        <v>9</v>
      </c>
      <c r="E10" s="103">
        <f>E12+E13+E16</f>
        <v>2646.058</v>
      </c>
      <c r="F10" s="724">
        <f t="shared" si="1"/>
        <v>14887.862999999999</v>
      </c>
      <c r="G10" s="103">
        <f>G12+G13+G16</f>
        <v>4022.665</v>
      </c>
      <c r="H10" s="103">
        <f>H12+H13+H16</f>
        <v>4166.4929999999995</v>
      </c>
      <c r="I10" s="224">
        <f>I12+I13+I16</f>
        <v>6698.7049999999999</v>
      </c>
      <c r="J10" s="224">
        <f>J12+J13+J16</f>
        <v>0</v>
      </c>
      <c r="K10" s="224">
        <f>K12+K13+K16</f>
        <v>0</v>
      </c>
      <c r="L10" s="406"/>
      <c r="M10" s="403"/>
      <c r="N10" s="154"/>
    </row>
    <row r="11" spans="1:20" ht="112.5" x14ac:dyDescent="0.25">
      <c r="A11" s="397"/>
      <c r="B11" s="400"/>
      <c r="C11" s="400"/>
      <c r="D11" s="62" t="s">
        <v>89</v>
      </c>
      <c r="E11" s="103">
        <f t="shared" ref="E11:K11" si="3">E14</f>
        <v>0</v>
      </c>
      <c r="F11" s="724">
        <f t="shared" si="1"/>
        <v>172.76999999999998</v>
      </c>
      <c r="G11" s="103">
        <f t="shared" si="3"/>
        <v>0</v>
      </c>
      <c r="H11" s="103">
        <f t="shared" si="3"/>
        <v>172.76999999999998</v>
      </c>
      <c r="I11" s="224">
        <f t="shared" si="3"/>
        <v>0</v>
      </c>
      <c r="J11" s="224">
        <f t="shared" si="3"/>
        <v>0</v>
      </c>
      <c r="K11" s="224">
        <f t="shared" si="3"/>
        <v>0</v>
      </c>
      <c r="L11" s="406"/>
      <c r="M11" s="403"/>
      <c r="N11" s="154"/>
    </row>
    <row r="12" spans="1:20" ht="96" customHeight="1" x14ac:dyDescent="0.25">
      <c r="A12" s="256" t="s">
        <v>91</v>
      </c>
      <c r="B12" s="753" t="s">
        <v>203</v>
      </c>
      <c r="C12" s="257" t="s">
        <v>146</v>
      </c>
      <c r="D12" s="62" t="s">
        <v>23</v>
      </c>
      <c r="E12" s="582">
        <v>0</v>
      </c>
      <c r="F12" s="583">
        <f t="shared" si="1"/>
        <v>0</v>
      </c>
      <c r="G12" s="582">
        <v>0</v>
      </c>
      <c r="H12" s="582">
        <v>0</v>
      </c>
      <c r="I12" s="583">
        <v>0</v>
      </c>
      <c r="J12" s="583">
        <v>0</v>
      </c>
      <c r="K12" s="583">
        <v>0</v>
      </c>
      <c r="L12" s="252" t="s">
        <v>11</v>
      </c>
      <c r="M12" s="754" t="s">
        <v>142</v>
      </c>
      <c r="N12" s="103"/>
    </row>
    <row r="13" spans="1:20" ht="56.25" x14ac:dyDescent="0.25">
      <c r="A13" s="396" t="s">
        <v>92</v>
      </c>
      <c r="B13" s="755" t="s">
        <v>261</v>
      </c>
      <c r="C13" s="604" t="s">
        <v>146</v>
      </c>
      <c r="D13" s="62" t="s">
        <v>23</v>
      </c>
      <c r="E13" s="582">
        <f>3921.6-1353.942</f>
        <v>2567.6579999999999</v>
      </c>
      <c r="F13" s="583">
        <f t="shared" si="1"/>
        <v>14121.262999999999</v>
      </c>
      <c r="G13" s="582">
        <f>1353.942+2668.723</f>
        <v>4022.665</v>
      </c>
      <c r="H13" s="582">
        <f>2491.959+1098.316+326.218</f>
        <v>3916.4929999999995</v>
      </c>
      <c r="I13" s="583">
        <f>2491.959+269.846+329.3+3091</f>
        <v>6182.1049999999996</v>
      </c>
      <c r="J13" s="583">
        <v>0</v>
      </c>
      <c r="K13" s="583">
        <v>0</v>
      </c>
      <c r="L13" s="756" t="s">
        <v>235</v>
      </c>
      <c r="M13" s="757" t="s">
        <v>234</v>
      </c>
      <c r="N13" s="103">
        <f>'[2]Лист 1'!$F$456</f>
        <v>3091105</v>
      </c>
      <c r="O13" s="36" t="s">
        <v>277</v>
      </c>
    </row>
    <row r="14" spans="1:20" ht="113.25" customHeight="1" x14ac:dyDescent="0.25">
      <c r="A14" s="398"/>
      <c r="B14" s="758"/>
      <c r="C14" s="611"/>
      <c r="D14" s="14" t="s">
        <v>89</v>
      </c>
      <c r="E14" s="582">
        <v>0</v>
      </c>
      <c r="F14" s="583">
        <f t="shared" si="1"/>
        <v>172.76999999999998</v>
      </c>
      <c r="G14" s="582">
        <v>0</v>
      </c>
      <c r="H14" s="582">
        <f>95+77.77</f>
        <v>172.76999999999998</v>
      </c>
      <c r="I14" s="583">
        <v>0</v>
      </c>
      <c r="J14" s="583">
        <v>0</v>
      </c>
      <c r="K14" s="583">
        <v>0</v>
      </c>
      <c r="L14" s="759"/>
      <c r="M14" s="760"/>
      <c r="N14" s="103"/>
      <c r="O14" s="20"/>
    </row>
    <row r="15" spans="1:20" ht="72" customHeight="1" x14ac:dyDescent="0.25">
      <c r="A15" s="405" t="s">
        <v>93</v>
      </c>
      <c r="B15" s="761" t="s">
        <v>204</v>
      </c>
      <c r="C15" s="604" t="s">
        <v>146</v>
      </c>
      <c r="D15" s="62" t="s">
        <v>5</v>
      </c>
      <c r="E15" s="715">
        <v>784</v>
      </c>
      <c r="F15" s="601">
        <f>SUM(G15:K15)</f>
        <v>4871</v>
      </c>
      <c r="G15" s="715">
        <f>G17+G19</f>
        <v>0</v>
      </c>
      <c r="H15" s="715">
        <f>H17+H19</f>
        <v>2500</v>
      </c>
      <c r="I15" s="601">
        <f t="shared" ref="I15:K15" si="4">I17+I19</f>
        <v>2371</v>
      </c>
      <c r="J15" s="601">
        <f t="shared" si="4"/>
        <v>0</v>
      </c>
      <c r="K15" s="601">
        <f t="shared" si="4"/>
        <v>0</v>
      </c>
      <c r="L15" s="756" t="s">
        <v>141</v>
      </c>
      <c r="M15" s="757" t="s">
        <v>142</v>
      </c>
      <c r="N15" s="103">
        <f>'[2]Лист 1'!$F$457</f>
        <v>2500000</v>
      </c>
    </row>
    <row r="16" spans="1:20" ht="81.75" customHeight="1" x14ac:dyDescent="0.25">
      <c r="A16" s="407"/>
      <c r="B16" s="761"/>
      <c r="C16" s="745"/>
      <c r="D16" s="62" t="s">
        <v>23</v>
      </c>
      <c r="E16" s="715">
        <v>78.400000000000006</v>
      </c>
      <c r="F16" s="601">
        <f>SUM(G16:K16)</f>
        <v>766.6</v>
      </c>
      <c r="G16" s="715">
        <f>G18+G20</f>
        <v>0</v>
      </c>
      <c r="H16" s="715">
        <f>H18+H20</f>
        <v>250</v>
      </c>
      <c r="I16" s="601">
        <f t="shared" ref="I16:K16" si="5">I18+I20</f>
        <v>516.6</v>
      </c>
      <c r="J16" s="601">
        <f t="shared" si="5"/>
        <v>0</v>
      </c>
      <c r="K16" s="601">
        <f t="shared" si="5"/>
        <v>0</v>
      </c>
      <c r="L16" s="762"/>
      <c r="M16" s="763"/>
      <c r="N16" s="103">
        <f>'[2]Лист 1'!$F$458</f>
        <v>250000</v>
      </c>
    </row>
    <row r="17" spans="1:18" ht="36.75" customHeight="1" x14ac:dyDescent="0.25">
      <c r="A17" s="405" t="s">
        <v>282</v>
      </c>
      <c r="B17" s="761" t="s">
        <v>283</v>
      </c>
      <c r="C17" s="745"/>
      <c r="D17" s="62" t="s">
        <v>5</v>
      </c>
      <c r="E17" s="715">
        <v>0</v>
      </c>
      <c r="F17" s="601">
        <f>SUM(G17:K17)</f>
        <v>0</v>
      </c>
      <c r="G17" s="715">
        <v>0</v>
      </c>
      <c r="H17" s="715">
        <v>0</v>
      </c>
      <c r="I17" s="601">
        <v>0</v>
      </c>
      <c r="J17" s="601">
        <v>0</v>
      </c>
      <c r="K17" s="601">
        <v>0</v>
      </c>
      <c r="L17" s="762"/>
      <c r="M17" s="763"/>
      <c r="N17" s="103"/>
    </row>
    <row r="18" spans="1:18" ht="56.25" x14ac:dyDescent="0.25">
      <c r="A18" s="407"/>
      <c r="B18" s="761"/>
      <c r="C18" s="745"/>
      <c r="D18" s="62" t="s">
        <v>23</v>
      </c>
      <c r="E18" s="715">
        <v>0</v>
      </c>
      <c r="F18" s="601">
        <f t="shared" ref="F18:F20" si="6">SUM(G18:K18)</f>
        <v>0</v>
      </c>
      <c r="G18" s="715">
        <v>0</v>
      </c>
      <c r="H18" s="715">
        <v>0</v>
      </c>
      <c r="I18" s="601">
        <v>0</v>
      </c>
      <c r="J18" s="601">
        <v>0</v>
      </c>
      <c r="K18" s="601">
        <v>0</v>
      </c>
      <c r="L18" s="762"/>
      <c r="M18" s="763"/>
      <c r="N18" s="103"/>
    </row>
    <row r="19" spans="1:18" ht="53.25" customHeight="1" x14ac:dyDescent="0.25">
      <c r="A19" s="405" t="s">
        <v>284</v>
      </c>
      <c r="B19" s="761" t="s">
        <v>285</v>
      </c>
      <c r="C19" s="745"/>
      <c r="D19" s="62" t="s">
        <v>5</v>
      </c>
      <c r="E19" s="715">
        <v>0</v>
      </c>
      <c r="F19" s="601">
        <f t="shared" si="6"/>
        <v>4871</v>
      </c>
      <c r="G19" s="715">
        <v>0</v>
      </c>
      <c r="H19" s="715">
        <v>2500</v>
      </c>
      <c r="I19" s="601">
        <f>5166-5166+2371</f>
        <v>2371</v>
      </c>
      <c r="J19" s="601">
        <v>0</v>
      </c>
      <c r="K19" s="601">
        <v>0</v>
      </c>
      <c r="L19" s="762"/>
      <c r="M19" s="763"/>
      <c r="N19" s="103"/>
    </row>
    <row r="20" spans="1:18" ht="60" customHeight="1" x14ac:dyDescent="0.25">
      <c r="A20" s="407"/>
      <c r="B20" s="761"/>
      <c r="C20" s="611"/>
      <c r="D20" s="62" t="s">
        <v>23</v>
      </c>
      <c r="E20" s="715">
        <v>0</v>
      </c>
      <c r="F20" s="601">
        <f t="shared" si="6"/>
        <v>766.6</v>
      </c>
      <c r="G20" s="715">
        <v>0</v>
      </c>
      <c r="H20" s="715">
        <v>250</v>
      </c>
      <c r="I20" s="601">
        <v>516.6</v>
      </c>
      <c r="J20" s="601">
        <v>0</v>
      </c>
      <c r="K20" s="601">
        <v>0</v>
      </c>
      <c r="L20" s="759"/>
      <c r="M20" s="760"/>
      <c r="N20" s="103"/>
    </row>
    <row r="21" spans="1:18" ht="18.75" x14ac:dyDescent="0.25">
      <c r="A21" s="749" t="s">
        <v>205</v>
      </c>
      <c r="B21" s="664"/>
      <c r="C21" s="664"/>
      <c r="D21" s="664"/>
      <c r="E21" s="665">
        <f t="shared" ref="E21:K21" si="7">SUM(E22:E24)</f>
        <v>3430.058</v>
      </c>
      <c r="F21" s="666">
        <f t="shared" si="7"/>
        <v>19931.632999999998</v>
      </c>
      <c r="G21" s="665">
        <f t="shared" si="7"/>
        <v>4022.665</v>
      </c>
      <c r="H21" s="665">
        <f t="shared" si="7"/>
        <v>6839.262999999999</v>
      </c>
      <c r="I21" s="666">
        <f t="shared" si="7"/>
        <v>9069.7049999999999</v>
      </c>
      <c r="J21" s="666">
        <f t="shared" si="7"/>
        <v>0</v>
      </c>
      <c r="K21" s="666">
        <f t="shared" si="7"/>
        <v>0</v>
      </c>
      <c r="L21" s="79"/>
      <c r="M21" s="106"/>
      <c r="N21" s="103"/>
    </row>
    <row r="22" spans="1:18" ht="18.75" x14ac:dyDescent="0.25">
      <c r="A22" s="415" t="s">
        <v>39</v>
      </c>
      <c r="B22" s="416"/>
      <c r="C22" s="416"/>
      <c r="D22" s="416"/>
      <c r="E22" s="764">
        <f>E9</f>
        <v>784</v>
      </c>
      <c r="F22" s="227">
        <f t="shared" ref="F22:F24" si="8">SUM(G22:K22)</f>
        <v>4871</v>
      </c>
      <c r="G22" s="764">
        <f t="shared" ref="G22:K24" si="9">G9</f>
        <v>0</v>
      </c>
      <c r="H22" s="764">
        <f t="shared" si="9"/>
        <v>2500</v>
      </c>
      <c r="I22" s="227">
        <f t="shared" si="9"/>
        <v>2371</v>
      </c>
      <c r="J22" s="227">
        <f t="shared" si="9"/>
        <v>0</v>
      </c>
      <c r="K22" s="227">
        <f t="shared" si="9"/>
        <v>0</v>
      </c>
      <c r="L22" s="119"/>
      <c r="M22" s="120"/>
      <c r="N22" s="122"/>
      <c r="Q22" s="20"/>
      <c r="R22" s="20"/>
    </row>
    <row r="23" spans="1:18" ht="18.75" x14ac:dyDescent="0.25">
      <c r="A23" s="395" t="s">
        <v>9</v>
      </c>
      <c r="B23" s="341"/>
      <c r="C23" s="341"/>
      <c r="D23" s="341"/>
      <c r="E23" s="78">
        <f>E10</f>
        <v>2646.058</v>
      </c>
      <c r="F23" s="227">
        <f t="shared" si="8"/>
        <v>14887.862999999999</v>
      </c>
      <c r="G23" s="78">
        <f t="shared" si="9"/>
        <v>4022.665</v>
      </c>
      <c r="H23" s="78">
        <f t="shared" si="9"/>
        <v>4166.4929999999995</v>
      </c>
      <c r="I23" s="208">
        <f t="shared" si="9"/>
        <v>6698.7049999999999</v>
      </c>
      <c r="J23" s="208">
        <f t="shared" si="9"/>
        <v>0</v>
      </c>
      <c r="K23" s="208">
        <f t="shared" si="9"/>
        <v>0</v>
      </c>
      <c r="L23" s="79"/>
      <c r="M23" s="106"/>
      <c r="N23" s="156"/>
    </row>
    <row r="24" spans="1:18" ht="38.25" customHeight="1" thickBot="1" x14ac:dyDescent="0.35">
      <c r="A24" s="410" t="s">
        <v>89</v>
      </c>
      <c r="B24" s="411"/>
      <c r="C24" s="411"/>
      <c r="D24" s="411"/>
      <c r="E24" s="35">
        <f>E11</f>
        <v>0</v>
      </c>
      <c r="F24" s="227">
        <f t="shared" si="8"/>
        <v>172.76999999999998</v>
      </c>
      <c r="G24" s="35">
        <f t="shared" si="9"/>
        <v>0</v>
      </c>
      <c r="H24" s="35">
        <f t="shared" si="9"/>
        <v>172.76999999999998</v>
      </c>
      <c r="I24" s="203">
        <f t="shared" si="9"/>
        <v>0</v>
      </c>
      <c r="J24" s="203">
        <f t="shared" si="9"/>
        <v>0</v>
      </c>
      <c r="K24" s="203">
        <f t="shared" si="9"/>
        <v>0</v>
      </c>
      <c r="L24" s="34"/>
      <c r="M24" s="519"/>
      <c r="N24" s="141"/>
      <c r="Q24" s="20"/>
      <c r="R24" s="20"/>
    </row>
    <row r="25" spans="1:18" ht="18.75" x14ac:dyDescent="0.25">
      <c r="A25" s="765" t="s">
        <v>60</v>
      </c>
      <c r="B25" s="766"/>
      <c r="C25" s="766"/>
      <c r="D25" s="766"/>
      <c r="E25" s="767">
        <f>SUM(E26:E33)-E29</f>
        <v>7021462.8399999999</v>
      </c>
      <c r="F25" s="768">
        <f>SUM(G25:K25)</f>
        <v>44153598.800700009</v>
      </c>
      <c r="G25" s="767">
        <f>SUM(G26:G33)-G29</f>
        <v>8928399.2300000004</v>
      </c>
      <c r="H25" s="767">
        <f>SUM(H26:H33)-H29</f>
        <v>8638764.8728</v>
      </c>
      <c r="I25" s="768">
        <f t="shared" ref="I25:K25" si="10">SUM(I26:I33)-I29</f>
        <v>8445694.0809000004</v>
      </c>
      <c r="J25" s="768">
        <f t="shared" si="10"/>
        <v>8503983.6900000013</v>
      </c>
      <c r="K25" s="768">
        <f t="shared" si="10"/>
        <v>9636756.9270000011</v>
      </c>
      <c r="L25" s="769"/>
      <c r="M25" s="770"/>
      <c r="N25" s="158"/>
      <c r="Q25" s="20"/>
      <c r="R25" s="20"/>
    </row>
    <row r="26" spans="1:18" ht="18.75" x14ac:dyDescent="0.25">
      <c r="A26" s="415" t="s">
        <v>296</v>
      </c>
      <c r="B26" s="416"/>
      <c r="C26" s="416"/>
      <c r="D26" s="416"/>
      <c r="E26" s="101">
        <f>'Подпрограмма 1'!E82+'Подпрограмма 2'!E134</f>
        <v>0</v>
      </c>
      <c r="F26" s="223">
        <f t="shared" ref="F26" si="11">SUM(G26:K26)</f>
        <v>60262.067540000004</v>
      </c>
      <c r="G26" s="101">
        <f>'Подпрограмма 1'!G82+'Подпрограмма 2'!G134</f>
        <v>0</v>
      </c>
      <c r="H26" s="101">
        <f>'Подпрограмма 1'!H82+'Подпрограмма 2'!H134</f>
        <v>49896</v>
      </c>
      <c r="I26" s="223">
        <f>'Подпрограмма 1'!I82+'Подпрограмма 2'!I134</f>
        <v>10366.06754</v>
      </c>
      <c r="J26" s="223">
        <f>'Подпрограмма 1'!J82+'Подпрограмма 2'!J134</f>
        <v>0</v>
      </c>
      <c r="K26" s="223">
        <f>'Подпрограмма 1'!K82+'Подпрограмма 2'!K134</f>
        <v>0</v>
      </c>
      <c r="L26" s="119"/>
      <c r="M26" s="120"/>
      <c r="N26" s="122">
        <f>'Подпрограмма 1'!F82</f>
        <v>49896</v>
      </c>
      <c r="Q26" s="20"/>
      <c r="R26" s="20"/>
    </row>
    <row r="27" spans="1:18" ht="18.75" x14ac:dyDescent="0.25">
      <c r="A27" s="415" t="s">
        <v>39</v>
      </c>
      <c r="B27" s="416"/>
      <c r="C27" s="416"/>
      <c r="D27" s="416"/>
      <c r="E27" s="101">
        <f>'Подпрограмма 1'!E83+'Подпрограмма 2'!E135+'Подпрограмма 3'!E41+'Подпрограмма 5'!E22</f>
        <v>3899175.8</v>
      </c>
      <c r="F27" s="223">
        <f t="shared" ref="F27:F33" si="12">SUM(G27:K27)</f>
        <v>27615445.591849998</v>
      </c>
      <c r="G27" s="101">
        <f>'Подпрограмма 1'!G83+'Подпрограмма 2'!G135+'Подпрограмма 3'!G41+'Подпрограмма 5'!G22</f>
        <v>4641257.1409999998</v>
      </c>
      <c r="H27" s="101">
        <f>'Подпрограмма 1'!H83+'Подпрограмма 2'!H135+'Подпрограмма 3'!H41+'Подпрограмма 5'!H22</f>
        <v>5334584.8949999996</v>
      </c>
      <c r="I27" s="223">
        <f>'Подпрограмма 1'!I83+'Подпрограмма 2'!I135+'Подпрограмма 3'!I41+'Подпрограмма 5'!I22</f>
        <v>5386445.6658500005</v>
      </c>
      <c r="J27" s="223">
        <f>'Подпрограмма 1'!J83+'Подпрограмма 2'!J135+'Подпрограмма 3'!J41+'Подпрограмма 5'!J22</f>
        <v>5769035.0800000001</v>
      </c>
      <c r="K27" s="223">
        <f>'Подпрограмма 1'!K83+'Подпрограмма 2'!K135+'Подпрограмма 3'!K41+'Подпрограмма 5'!K22</f>
        <v>6484122.8100000005</v>
      </c>
      <c r="L27" s="119"/>
      <c r="M27" s="120"/>
      <c r="N27" s="124">
        <f>'Подпрограмма 1'!F83+'Подпрограмма 2'!F135+'Подпрограмма 3'!F41+'Подпрограмма 5'!F22</f>
        <v>27615445.591849998</v>
      </c>
      <c r="Q27" s="20"/>
      <c r="R27" s="20"/>
    </row>
    <row r="28" spans="1:18" ht="18.75" x14ac:dyDescent="0.25">
      <c r="A28" s="415" t="s">
        <v>40</v>
      </c>
      <c r="B28" s="416"/>
      <c r="C28" s="416"/>
      <c r="D28" s="416"/>
      <c r="E28" s="101">
        <f>'Подпрограмма 1'!E84+'Подпрограмма 2'!E136+'Подпрограмма 3'!E42+'Подпрограмма 4'!E29+'Подпрограмма 5'!E23</f>
        <v>2065511.7819999999</v>
      </c>
      <c r="F28" s="223">
        <f t="shared" si="12"/>
        <v>13060895.093020001</v>
      </c>
      <c r="G28" s="101">
        <f>'Подпрограмма 1'!G84+'Подпрограмма 2'!G136+'Подпрограмма 3'!G42+'Подпрограмма 4'!G29+'Подпрограмма 5'!G23</f>
        <v>3360868.4640000002</v>
      </c>
      <c r="H28" s="101">
        <f>'Подпрограмма 1'!H84+'Подпрограмма 2'!H136+'Подпрограмма 3'!H42+'Подпрограмма 4'!H29+'Подпрограмма 5'!H23</f>
        <v>2153924.0578000001</v>
      </c>
      <c r="I28" s="223">
        <f>'Подпрограмма 1'!I84+'Подпрограмма 2'!I136+'Подпрограмма 3'!I42+'Подпрограмма 4'!I29+'Подпрограмма 5'!I23</f>
        <v>2353363.3512200001</v>
      </c>
      <c r="J28" s="223">
        <f>'Подпрограмма 1'!J84+'Подпрограмма 2'!J136+'Подпрограмма 3'!J42+'Подпрограмма 4'!J29+'Подпрограмма 5'!J23</f>
        <v>2386805.9700000002</v>
      </c>
      <c r="K28" s="223">
        <f>'Подпрограмма 1'!K84+'Подпрограмма 2'!K136+'Подпрограмма 3'!K42+'Подпрограмма 4'!K29+'Подпрограмма 5'!K23</f>
        <v>2805933.25</v>
      </c>
      <c r="L28" s="119"/>
      <c r="M28" s="120"/>
      <c r="N28" s="124">
        <f>'Подпрограмма 1'!F84+'Подпрограмма 2'!F136+'Подпрограмма 3'!F42+'Подпрограмма 4'!F29+'Подпрограмма 5'!F23</f>
        <v>13060895.093020001</v>
      </c>
      <c r="Q28" s="20"/>
      <c r="R28" s="20"/>
    </row>
    <row r="29" spans="1:18" ht="18.75" x14ac:dyDescent="0.25">
      <c r="A29" s="415" t="s">
        <v>276</v>
      </c>
      <c r="B29" s="416"/>
      <c r="C29" s="416"/>
      <c r="D29" s="416"/>
      <c r="E29" s="101">
        <v>0</v>
      </c>
      <c r="F29" s="223">
        <f t="shared" si="12"/>
        <v>696172.26022000005</v>
      </c>
      <c r="G29" s="101">
        <f>'Подпрограмма 1'!G85+'Подпрограмма 2'!G137+'Подпрограмма 3'!G43+'Подпрограмма 4'!G30</f>
        <v>0</v>
      </c>
      <c r="H29" s="101">
        <f>'Подпрограмма 1'!H85+'Подпрограмма 2'!H137+'Подпрограмма 3'!H43+'Подпрограмма 4'!H30</f>
        <v>310680.42499999999</v>
      </c>
      <c r="I29" s="223">
        <f>'Подпрограмма 1'!I85+'Подпрограмма 2'!I137+'Подпрограмма 3'!I43+'Подпрограмма 4'!I30</f>
        <v>385491.83522000001</v>
      </c>
      <c r="J29" s="101">
        <f>'Подпрограмма 1'!J85+'Подпрограмма 2'!J137+'Подпрограмма 3'!J43+'Подпрограмма 4'!J30</f>
        <v>0</v>
      </c>
      <c r="K29" s="101">
        <f>'Подпрограмма 1'!K85+'Подпрограмма 2'!K137+'Подпрограмма 3'!K43+'Подпрограмма 4'!K30</f>
        <v>0</v>
      </c>
      <c r="L29" s="119"/>
      <c r="M29" s="120"/>
      <c r="N29" s="122"/>
      <c r="Q29" s="20"/>
      <c r="R29" s="20"/>
    </row>
    <row r="30" spans="1:18" ht="37.5" customHeight="1" x14ac:dyDescent="0.3">
      <c r="A30" s="410" t="s">
        <v>89</v>
      </c>
      <c r="B30" s="411"/>
      <c r="C30" s="411"/>
      <c r="D30" s="411"/>
      <c r="E30" s="173">
        <f>'Подпрограмма 1'!E86+'Подпрограмма 2'!E138+'Подпрограмма 4'!E31+'Подпрограмма 5'!E24</f>
        <v>566448.99100000004</v>
      </c>
      <c r="F30" s="223">
        <f t="shared" si="12"/>
        <v>746016.82808999997</v>
      </c>
      <c r="G30" s="173">
        <f>'Подпрограмма 1'!G86+'Подпрограмма 2'!G138+'Подпрограмма 4'!G31+'Подпрограмма 5'!G24</f>
        <v>95192.994000000006</v>
      </c>
      <c r="H30" s="173">
        <f>'Подпрограмма 1'!H86+'Подпрограмма 2'!H138+'Подпрограмма 4'!H31+'Подпрограмма 5'!H24</f>
        <v>501951.91100000002</v>
      </c>
      <c r="I30" s="198">
        <f>'Подпрограмма 1'!I86+'Подпрограмма 2'!I138+'Подпрограмма 4'!I31+'Подпрограмма 5'!I24</f>
        <v>148871.92309</v>
      </c>
      <c r="J30" s="198">
        <f>'Подпрограмма 1'!J86+'Подпрограмма 2'!J138+'Подпрограмма 4'!J31+'Подпрограмма 5'!J24</f>
        <v>0</v>
      </c>
      <c r="K30" s="198">
        <f>'Подпрограмма 1'!K86+'Подпрограмма 2'!K138+'Подпрограмма 4'!K31+'Подпрограмма 5'!K24</f>
        <v>0</v>
      </c>
      <c r="L30" s="34"/>
      <c r="M30" s="519"/>
      <c r="N30" s="165">
        <f>'Подпрограмма 1'!F86+'Подпрограмма 2'!F138+'Подпрограмма 4'!F31+'Подпрограмма 5'!F24</f>
        <v>746016.82808999997</v>
      </c>
      <c r="Q30" s="20"/>
      <c r="R30" s="20"/>
    </row>
    <row r="31" spans="1:18" ht="15.75" customHeight="1" x14ac:dyDescent="0.3">
      <c r="A31" s="412" t="s">
        <v>51</v>
      </c>
      <c r="B31" s="413"/>
      <c r="C31" s="413"/>
      <c r="D31" s="413"/>
      <c r="E31" s="173">
        <f>'Подпрограмма 1'!E87+'Подпрограмма 2'!E139+'Подпрограмма 3'!E44</f>
        <v>214394.50400000002</v>
      </c>
      <c r="F31" s="223">
        <f t="shared" si="12"/>
        <v>1529735.8982000002</v>
      </c>
      <c r="G31" s="173">
        <f>'Подпрограмма 1'!G87+'Подпрограмма 2'!G139+'Подпрограмма 3'!G44</f>
        <v>246539.18600000002</v>
      </c>
      <c r="H31" s="173">
        <f>'Подпрограмма 1'!H87+'Подпрограмма 2'!H139+'Подпрограмма 3'!H44</f>
        <v>280227.05499999999</v>
      </c>
      <c r="I31" s="198">
        <f>'Подпрограмма 1'!I87+'Подпрограмма 2'!I139+'Подпрограмма 3'!I44</f>
        <v>359789.58219999995</v>
      </c>
      <c r="J31" s="198">
        <f>'Подпрограмма 1'!J87+'Подпрограмма 2'!J139+'Подпрограмма 3'!J44</f>
        <v>322310.924</v>
      </c>
      <c r="K31" s="198">
        <f>'Подпрограмма 1'!K87+'Подпрограмма 2'!K139+'Подпрограмма 3'!K44</f>
        <v>320869.15100000001</v>
      </c>
      <c r="L31" s="34"/>
      <c r="M31" s="519"/>
      <c r="N31" s="141">
        <f>'Подпрограмма 1'!F87+'Подпрограмма 2'!F139+'Подпрограмма 3'!F44</f>
        <v>1529735.8981999999</v>
      </c>
      <c r="Q31" s="20"/>
      <c r="R31" s="20"/>
    </row>
    <row r="32" spans="1:18" ht="18.75" x14ac:dyDescent="0.3">
      <c r="A32" s="412" t="s">
        <v>79</v>
      </c>
      <c r="B32" s="413"/>
      <c r="C32" s="413"/>
      <c r="D32" s="413"/>
      <c r="E32" s="173">
        <f>'Подпрограмма 1'!E88+'Подпрограмма 2'!E140</f>
        <v>255931.76300000001</v>
      </c>
      <c r="F32" s="223">
        <f t="shared" si="12"/>
        <v>853243.32200000004</v>
      </c>
      <c r="G32" s="173">
        <f>'Подпрограмма 1'!G88+'Подпрограмма 2'!G140</f>
        <v>296541.44500000001</v>
      </c>
      <c r="H32" s="173">
        <f>'Подпрограмма 1'!H88+'Подпрограмма 2'!H140</f>
        <v>318180.95399999997</v>
      </c>
      <c r="I32" s="198">
        <f>'Подпрограмма 1'!I88+'Подпрограмма 2'!I140</f>
        <v>186857.49100000001</v>
      </c>
      <c r="J32" s="198">
        <f>'Подпрограмма 1'!J88+'Подпрограмма 2'!J140</f>
        <v>25831.716000000008</v>
      </c>
      <c r="K32" s="198">
        <f>'Подпрограмма 1'!K88+'Подпрограмма 2'!K140</f>
        <v>25831.716000000008</v>
      </c>
      <c r="L32" s="34"/>
      <c r="M32" s="519"/>
      <c r="N32" s="141">
        <f>'Подпрограмма 1'!F88+'Подпрограмма 2'!F140</f>
        <v>853243.32200000004</v>
      </c>
      <c r="Q32" s="20"/>
      <c r="R32" s="20"/>
    </row>
    <row r="33" spans="1:18" ht="21.75" customHeight="1" thickBot="1" x14ac:dyDescent="0.35">
      <c r="A33" s="383" t="s">
        <v>4</v>
      </c>
      <c r="B33" s="384"/>
      <c r="C33" s="384"/>
      <c r="D33" s="384"/>
      <c r="E33" s="121">
        <f>'Подпрограмма 1'!E89+'Подпрограмма 2'!E141</f>
        <v>20000</v>
      </c>
      <c r="F33" s="771">
        <f t="shared" si="12"/>
        <v>288000</v>
      </c>
      <c r="G33" s="121">
        <f>'Подпрограмма 1'!G89+'Подпрограмма 2'!G141</f>
        <v>288000</v>
      </c>
      <c r="H33" s="121">
        <f>'Подпрограмма 1'!H89+'Подпрограмма 2'!H141</f>
        <v>0</v>
      </c>
      <c r="I33" s="228">
        <f>'Подпрограмма 2'!I141</f>
        <v>0</v>
      </c>
      <c r="J33" s="228">
        <f>'Подпрограмма 2'!J141</f>
        <v>0</v>
      </c>
      <c r="K33" s="228">
        <f>'Подпрограмма 2'!K141</f>
        <v>0</v>
      </c>
      <c r="L33" s="96"/>
      <c r="M33" s="696"/>
      <c r="N33" s="141"/>
      <c r="Q33" s="20"/>
      <c r="R33" s="20"/>
    </row>
    <row r="34" spans="1:18" ht="18" x14ac:dyDescent="0.25">
      <c r="A34" s="122"/>
      <c r="B34" s="122"/>
      <c r="C34" s="122"/>
      <c r="D34" s="122"/>
      <c r="E34" s="122"/>
      <c r="F34" s="122"/>
      <c r="G34" s="124"/>
      <c r="H34" s="124"/>
      <c r="I34" s="124"/>
      <c r="J34" s="124"/>
      <c r="K34" s="124"/>
      <c r="L34" s="122"/>
      <c r="M34" s="125"/>
      <c r="N34" s="125"/>
    </row>
    <row r="35" spans="1:18" ht="18.75" x14ac:dyDescent="0.25">
      <c r="A35" s="126"/>
      <c r="B35" s="258" t="s">
        <v>248</v>
      </c>
      <c r="C35" s="772"/>
      <c r="D35" s="772"/>
      <c r="E35" s="772"/>
      <c r="F35" s="128"/>
      <c r="G35" s="128"/>
      <c r="H35" s="126" t="s">
        <v>280</v>
      </c>
      <c r="I35" s="126"/>
      <c r="J35" s="129"/>
      <c r="K35" s="129"/>
      <c r="L35" s="129"/>
      <c r="M35" s="126"/>
      <c r="N35" s="126"/>
    </row>
    <row r="36" spans="1:18" ht="18.75" x14ac:dyDescent="0.25">
      <c r="A36" s="126"/>
      <c r="B36" s="130"/>
      <c r="C36" s="130"/>
      <c r="D36" s="773"/>
      <c r="E36" s="130"/>
      <c r="F36" s="130"/>
      <c r="G36" s="130"/>
      <c r="H36" s="774"/>
      <c r="I36" s="130"/>
      <c r="J36" s="130"/>
      <c r="K36" s="130"/>
      <c r="L36" s="130"/>
      <c r="M36" s="130"/>
      <c r="N36" s="130"/>
    </row>
    <row r="37" spans="1:18" ht="18.75" x14ac:dyDescent="0.25">
      <c r="A37" s="122"/>
      <c r="B37" s="126" t="s">
        <v>135</v>
      </c>
      <c r="C37" s="126"/>
      <c r="D37" s="126"/>
      <c r="E37" s="126"/>
      <c r="F37" s="128"/>
      <c r="G37" s="128"/>
      <c r="H37" s="414" t="s">
        <v>82</v>
      </c>
      <c r="I37" s="414"/>
      <c r="J37" s="414"/>
      <c r="K37" s="414"/>
      <c r="L37" s="122"/>
      <c r="M37" s="122"/>
      <c r="N37" s="122"/>
    </row>
    <row r="38" spans="1:18" ht="18.75" x14ac:dyDescent="0.25">
      <c r="A38" s="122"/>
      <c r="B38" s="122"/>
      <c r="C38" s="773"/>
      <c r="D38" s="773"/>
      <c r="E38" s="773"/>
      <c r="F38" s="773"/>
      <c r="G38" s="126"/>
      <c r="H38" s="258"/>
      <c r="I38" s="258"/>
      <c r="J38" s="258"/>
      <c r="K38" s="258"/>
      <c r="L38" s="122"/>
      <c r="M38" s="122"/>
      <c r="N38" s="122"/>
    </row>
    <row r="39" spans="1:18" ht="18.75" x14ac:dyDescent="0.25">
      <c r="A39" s="122"/>
      <c r="B39" s="126" t="s">
        <v>83</v>
      </c>
      <c r="C39" s="126"/>
      <c r="D39" s="126"/>
      <c r="E39" s="126"/>
      <c r="F39" s="128"/>
      <c r="G39" s="128"/>
      <c r="H39" s="258" t="s">
        <v>249</v>
      </c>
      <c r="I39" s="258"/>
      <c r="J39" s="258"/>
      <c r="K39" s="258"/>
      <c r="L39" s="122"/>
      <c r="M39" s="122"/>
      <c r="N39" s="122"/>
    </row>
    <row r="40" spans="1:18" ht="18.75" x14ac:dyDescent="0.25">
      <c r="A40" s="122"/>
      <c r="B40" s="196"/>
      <c r="C40" s="196"/>
      <c r="D40" s="196"/>
      <c r="E40" s="196"/>
      <c r="F40" s="196"/>
      <c r="G40" s="126"/>
      <c r="H40" s="127"/>
      <c r="I40" s="197"/>
      <c r="J40" s="197"/>
      <c r="K40" s="197"/>
      <c r="L40" s="122"/>
      <c r="M40" s="122"/>
      <c r="N40" s="122"/>
    </row>
    <row r="41" spans="1:18" ht="18.75" x14ac:dyDescent="0.25">
      <c r="A41" s="122"/>
      <c r="B41" s="123"/>
      <c r="C41" s="131"/>
      <c r="D41" s="131"/>
      <c r="E41" s="131"/>
      <c r="F41" s="171"/>
      <c r="G41" s="126"/>
      <c r="H41" s="189"/>
      <c r="I41" s="197"/>
      <c r="J41" s="197"/>
      <c r="K41" s="197"/>
      <c r="L41" s="122"/>
      <c r="M41" s="122"/>
      <c r="N41" s="122"/>
    </row>
    <row r="42" spans="1:18" ht="15.75" x14ac:dyDescent="0.25">
      <c r="H42" s="190"/>
      <c r="I42" s="132"/>
      <c r="J42" s="195"/>
      <c r="K42" s="195"/>
    </row>
    <row r="43" spans="1:18" ht="15.75" x14ac:dyDescent="0.25">
      <c r="E43" s="20"/>
      <c r="H43" s="190"/>
      <c r="I43" s="132"/>
      <c r="J43" s="409"/>
      <c r="K43" s="409"/>
    </row>
    <row r="44" spans="1:18" ht="15.75" x14ac:dyDescent="0.25">
      <c r="E44" s="20"/>
      <c r="H44" s="187"/>
      <c r="I44" s="113"/>
      <c r="J44" s="195"/>
      <c r="K44" s="195"/>
    </row>
    <row r="45" spans="1:18" ht="15.75" x14ac:dyDescent="0.25">
      <c r="E45" s="20"/>
      <c r="F45" s="37"/>
      <c r="G45" s="20"/>
      <c r="H45" s="187"/>
      <c r="M45" s="20"/>
      <c r="N45" s="20"/>
    </row>
    <row r="46" spans="1:18" ht="15.75" x14ac:dyDescent="0.25">
      <c r="C46" s="36"/>
      <c r="D46" s="36"/>
      <c r="E46" s="133"/>
      <c r="F46" s="40"/>
      <c r="G46" s="133"/>
      <c r="H46" s="181"/>
      <c r="I46" s="39"/>
      <c r="J46" s="133"/>
      <c r="K46" s="133"/>
    </row>
    <row r="47" spans="1:18" ht="15.75" x14ac:dyDescent="0.25">
      <c r="C47" s="36"/>
      <c r="D47" s="36"/>
      <c r="E47" s="133"/>
      <c r="F47" s="40"/>
      <c r="G47" s="133"/>
      <c r="H47" s="181"/>
      <c r="I47" s="39"/>
      <c r="J47" s="133"/>
      <c r="K47" s="133"/>
    </row>
    <row r="48" spans="1:18" ht="15.75" x14ac:dyDescent="0.25">
      <c r="C48" s="36"/>
      <c r="D48" s="36"/>
      <c r="E48" s="133"/>
      <c r="F48" s="40"/>
      <c r="G48" s="133"/>
      <c r="H48" s="181"/>
      <c r="I48" s="39"/>
      <c r="J48" s="133"/>
      <c r="K48" s="133"/>
    </row>
    <row r="49" spans="3:12" ht="15.75" x14ac:dyDescent="0.25">
      <c r="C49" s="36"/>
      <c r="D49" s="36"/>
      <c r="E49" s="133"/>
      <c r="F49" s="40"/>
      <c r="G49" s="133"/>
      <c r="H49" s="181"/>
      <c r="I49" s="39"/>
      <c r="J49" s="133"/>
      <c r="K49" s="133"/>
      <c r="L49" s="133"/>
    </row>
    <row r="50" spans="3:12" ht="15.75" x14ac:dyDescent="0.25">
      <c r="C50" s="36"/>
      <c r="D50" s="36"/>
      <c r="E50" s="133"/>
      <c r="F50" s="40"/>
      <c r="G50" s="133"/>
      <c r="H50" s="181"/>
      <c r="I50" s="39"/>
      <c r="J50" s="133"/>
      <c r="K50" s="133"/>
    </row>
    <row r="51" spans="3:12" ht="15.75" x14ac:dyDescent="0.25">
      <c r="C51" s="36"/>
      <c r="D51" s="36"/>
      <c r="E51" s="133"/>
      <c r="F51" s="40"/>
      <c r="G51" s="133"/>
      <c r="H51" s="181"/>
      <c r="I51" s="39"/>
      <c r="J51" s="133"/>
      <c r="K51" s="133"/>
    </row>
    <row r="52" spans="3:12" ht="15.75" x14ac:dyDescent="0.25">
      <c r="C52" s="36"/>
      <c r="D52" s="36"/>
      <c r="E52" s="36"/>
      <c r="F52" s="114"/>
      <c r="G52" s="36"/>
      <c r="H52" s="188"/>
      <c r="I52" s="115"/>
      <c r="J52" s="36"/>
      <c r="K52" s="36"/>
    </row>
    <row r="53" spans="3:12" ht="15.75" x14ac:dyDescent="0.25">
      <c r="E53" s="20"/>
      <c r="H53" s="181"/>
      <c r="I53" s="39"/>
      <c r="J53" s="134"/>
      <c r="K53" s="134"/>
    </row>
    <row r="54" spans="3:12" ht="15.75" x14ac:dyDescent="0.25">
      <c r="E54" s="20"/>
      <c r="F54" s="116"/>
      <c r="G54" s="52"/>
      <c r="H54" s="181"/>
      <c r="I54" s="39"/>
      <c r="J54" s="133"/>
      <c r="K54" s="52"/>
    </row>
    <row r="55" spans="3:12" ht="15.75" x14ac:dyDescent="0.25">
      <c r="E55" s="20"/>
      <c r="F55" s="116"/>
      <c r="G55" s="52"/>
      <c r="H55" s="181"/>
      <c r="I55" s="39"/>
      <c r="J55" s="134"/>
    </row>
    <row r="56" spans="3:12" x14ac:dyDescent="0.25">
      <c r="E56" s="20"/>
      <c r="F56" s="116"/>
      <c r="G56" s="52"/>
      <c r="H56" s="185"/>
      <c r="I56" s="87"/>
      <c r="J56" s="52"/>
      <c r="K56" s="52"/>
    </row>
    <row r="57" spans="3:12" x14ac:dyDescent="0.25">
      <c r="E57" s="52"/>
      <c r="F57" s="116"/>
      <c r="G57" s="52"/>
      <c r="H57" s="185"/>
      <c r="I57" s="87"/>
      <c r="J57" s="52"/>
      <c r="K57" s="52"/>
    </row>
    <row r="58" spans="3:12" x14ac:dyDescent="0.25">
      <c r="F58" s="116"/>
      <c r="G58" s="52"/>
    </row>
    <row r="59" spans="3:12" x14ac:dyDescent="0.25">
      <c r="E59" s="52"/>
      <c r="F59" s="116"/>
      <c r="G59" s="52"/>
      <c r="H59" s="185"/>
      <c r="I59" s="87"/>
      <c r="J59" s="52"/>
      <c r="K59" s="52"/>
    </row>
    <row r="60" spans="3:12" x14ac:dyDescent="0.25">
      <c r="E60" s="52"/>
      <c r="F60" s="116"/>
      <c r="G60" s="52"/>
      <c r="H60" s="185"/>
      <c r="I60" s="87"/>
      <c r="J60" s="52"/>
      <c r="K60" s="52"/>
    </row>
    <row r="61" spans="3:12" x14ac:dyDescent="0.25">
      <c r="F61" s="116"/>
      <c r="G61" s="52"/>
      <c r="H61" s="185"/>
    </row>
    <row r="62" spans="3:12" x14ac:dyDescent="0.25">
      <c r="G62" s="20"/>
      <c r="H62" s="180"/>
      <c r="I62" s="38"/>
      <c r="J62" s="20"/>
      <c r="K62" s="20"/>
    </row>
    <row r="63" spans="3:12" x14ac:dyDescent="0.25">
      <c r="F63" s="116"/>
      <c r="G63" s="52"/>
      <c r="H63" s="185"/>
      <c r="I63" s="87"/>
      <c r="J63" s="52"/>
      <c r="K63" s="52"/>
    </row>
    <row r="64" spans="3:12" x14ac:dyDescent="0.25">
      <c r="F64" s="116"/>
      <c r="G64" s="52"/>
      <c r="H64" s="185"/>
      <c r="I64" s="38"/>
      <c r="J64" s="52"/>
      <c r="K64" s="52"/>
    </row>
    <row r="65" spans="6:15" x14ac:dyDescent="0.25">
      <c r="F65" s="37"/>
      <c r="G65" s="20"/>
      <c r="H65" s="180"/>
      <c r="I65" s="38"/>
      <c r="J65" s="20"/>
      <c r="K65" s="20"/>
    </row>
    <row r="66" spans="6:15" x14ac:dyDescent="0.25">
      <c r="I66" s="38"/>
      <c r="J66" s="28"/>
      <c r="K66" s="28"/>
    </row>
    <row r="67" spans="6:15" x14ac:dyDescent="0.25">
      <c r="F67" s="37"/>
      <c r="G67" s="20"/>
      <c r="H67" s="180"/>
      <c r="I67" s="38"/>
      <c r="J67" s="20"/>
      <c r="K67" s="20"/>
    </row>
    <row r="68" spans="6:15" x14ac:dyDescent="0.25">
      <c r="I68" s="38"/>
      <c r="M68" s="20"/>
      <c r="N68" s="20"/>
      <c r="O68" s="20"/>
    </row>
    <row r="69" spans="6:15" x14ac:dyDescent="0.25">
      <c r="I69" s="38"/>
    </row>
    <row r="70" spans="6:15" x14ac:dyDescent="0.25">
      <c r="I70" s="38"/>
      <c r="J70" s="20"/>
    </row>
    <row r="71" spans="6:15" x14ac:dyDescent="0.25">
      <c r="I71" s="38"/>
    </row>
    <row r="72" spans="6:15" x14ac:dyDescent="0.25">
      <c r="I72" s="38"/>
    </row>
    <row r="73" spans="6:15" x14ac:dyDescent="0.25">
      <c r="I73" s="38"/>
    </row>
    <row r="75" spans="6:15" x14ac:dyDescent="0.25">
      <c r="I75" s="38"/>
      <c r="J75" s="20"/>
    </row>
    <row r="76" spans="6:15" x14ac:dyDescent="0.25">
      <c r="I76" s="38"/>
    </row>
  </sheetData>
  <mergeCells count="47">
    <mergeCell ref="A17:A18"/>
    <mergeCell ref="A27:D27"/>
    <mergeCell ref="A28:D28"/>
    <mergeCell ref="A23:D23"/>
    <mergeCell ref="A24:D24"/>
    <mergeCell ref="A25:D25"/>
    <mergeCell ref="B17:B18"/>
    <mergeCell ref="A19:A20"/>
    <mergeCell ref="B19:B20"/>
    <mergeCell ref="A26:D26"/>
    <mergeCell ref="A13:A14"/>
    <mergeCell ref="B13:B14"/>
    <mergeCell ref="C13:C14"/>
    <mergeCell ref="J43:K43"/>
    <mergeCell ref="A30:D30"/>
    <mergeCell ref="A31:D31"/>
    <mergeCell ref="A32:D32"/>
    <mergeCell ref="A33:D33"/>
    <mergeCell ref="C35:E35"/>
    <mergeCell ref="H37:I37"/>
    <mergeCell ref="J37:K37"/>
    <mergeCell ref="A21:D21"/>
    <mergeCell ref="A22:D22"/>
    <mergeCell ref="A15:A16"/>
    <mergeCell ref="B15:B16"/>
    <mergeCell ref="A29:D29"/>
    <mergeCell ref="A8:A11"/>
    <mergeCell ref="B8:B11"/>
    <mergeCell ref="C8:C11"/>
    <mergeCell ref="L8:L11"/>
    <mergeCell ref="M8:M11"/>
    <mergeCell ref="A4:A5"/>
    <mergeCell ref="B4:B5"/>
    <mergeCell ref="C4:C5"/>
    <mergeCell ref="D4:D5"/>
    <mergeCell ref="E4:E5"/>
    <mergeCell ref="L15:L20"/>
    <mergeCell ref="M15:M20"/>
    <mergeCell ref="C15:C20"/>
    <mergeCell ref="B7:M7"/>
    <mergeCell ref="L2:M2"/>
    <mergeCell ref="F4:F5"/>
    <mergeCell ref="G4:K4"/>
    <mergeCell ref="L4:L5"/>
    <mergeCell ref="M4:M5"/>
    <mergeCell ref="L13:L14"/>
    <mergeCell ref="M13:M14"/>
  </mergeCells>
  <pageMargins left="0.19685039370078741" right="0.19685039370078741" top="0.19685039370078741" bottom="0.19685039370078741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Зиминова Анна Юрьевна</cp:lastModifiedBy>
  <cp:lastPrinted>2019-06-14T12:52:24Z</cp:lastPrinted>
  <dcterms:created xsi:type="dcterms:W3CDTF">2018-10-25T07:45:42Z</dcterms:created>
  <dcterms:modified xsi:type="dcterms:W3CDTF">2019-07-17T13:26:26Z</dcterms:modified>
</cp:coreProperties>
</file>