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40" windowWidth="23250" windowHeight="10695" activeTab="1"/>
  </bookViews>
  <sheets>
    <sheet name="культура прил. 1 на 17-21" sheetId="2" r:id="rId1"/>
    <sheet name="культура прил. №2 17-21 " sheetId="5" r:id="rId2"/>
  </sheets>
  <externalReferences>
    <externalReference r:id="rId3"/>
  </externalReferences>
  <definedNames>
    <definedName name="_GoBack" localSheetId="1">'культура прил. №2 17-21 '!#REF!</definedName>
    <definedName name="_xlnm._FilterDatabase" localSheetId="0" hidden="1">'культура прил. 1 на 17-21'!$A$6:$M$134</definedName>
    <definedName name="_xlnm.Print_Titles" localSheetId="0">'культура прил. 1 на 17-21'!$4:$5</definedName>
    <definedName name="_xlnm.Print_Titles" localSheetId="1">'культура прил. №2 17-21 '!$4:$5</definedName>
    <definedName name="_xlnm.Print_Area" localSheetId="0">'культура прил. 1 на 17-21'!$A$1:$M$131</definedName>
    <definedName name="_xlnm.Print_Area" localSheetId="1">'культура прил. №2 17-21 '!$A$1:$O$54</definedName>
  </definedNames>
  <calcPr calcId="145621"/>
</workbook>
</file>

<file path=xl/calcChain.xml><?xml version="1.0" encoding="utf-8"?>
<calcChain xmlns="http://schemas.openxmlformats.org/spreadsheetml/2006/main">
  <c r="I69" i="2" l="1"/>
  <c r="I97" i="2" l="1"/>
  <c r="I98" i="2"/>
  <c r="I70" i="2"/>
  <c r="I35" i="2" l="1"/>
  <c r="I100" i="2"/>
  <c r="I65" i="2" l="1"/>
  <c r="H58" i="2"/>
  <c r="I58" i="2"/>
  <c r="J58" i="2"/>
  <c r="K58" i="2"/>
  <c r="I59" i="2"/>
  <c r="J59" i="2"/>
  <c r="K59" i="2"/>
  <c r="J60" i="2"/>
  <c r="K60" i="2"/>
  <c r="G58" i="2"/>
  <c r="G59" i="2"/>
  <c r="G60" i="2"/>
  <c r="E58" i="2"/>
  <c r="E59" i="2"/>
  <c r="E60" i="2"/>
  <c r="I64" i="2" l="1"/>
  <c r="I60" i="2" s="1"/>
  <c r="I93" i="2" l="1"/>
  <c r="F100" i="2" l="1"/>
  <c r="F99" i="2"/>
  <c r="F98" i="2"/>
  <c r="H97" i="2"/>
  <c r="E97" i="2"/>
  <c r="H96" i="2"/>
  <c r="F96" i="2" s="1"/>
  <c r="F95" i="2"/>
  <c r="F94" i="2"/>
  <c r="F93" i="2"/>
  <c r="E93" i="2"/>
  <c r="K86" i="2"/>
  <c r="J86" i="2"/>
  <c r="I86" i="2"/>
  <c r="H86" i="2"/>
  <c r="G86" i="2"/>
  <c r="E86" i="2"/>
  <c r="K84" i="2"/>
  <c r="J84" i="2"/>
  <c r="I84" i="2"/>
  <c r="H84" i="2"/>
  <c r="G84" i="2"/>
  <c r="E84" i="2"/>
  <c r="K83" i="2"/>
  <c r="J83" i="2"/>
  <c r="I83" i="2"/>
  <c r="H83" i="2"/>
  <c r="G83" i="2"/>
  <c r="E83" i="2"/>
  <c r="K82" i="2"/>
  <c r="J82" i="2"/>
  <c r="I82" i="2"/>
  <c r="H82" i="2"/>
  <c r="G82" i="2"/>
  <c r="K80" i="2"/>
  <c r="J80" i="2"/>
  <c r="I80" i="2"/>
  <c r="G80" i="2"/>
  <c r="E80" i="2"/>
  <c r="K79" i="2" l="1"/>
  <c r="H80" i="2"/>
  <c r="H79" i="2" s="1"/>
  <c r="J79" i="2"/>
  <c r="F82" i="2"/>
  <c r="D41" i="5" s="1"/>
  <c r="I79" i="2"/>
  <c r="F83" i="2"/>
  <c r="F84" i="2"/>
  <c r="F86" i="2"/>
  <c r="G41" i="5" s="1"/>
  <c r="E82" i="2"/>
  <c r="E79" i="2" s="1"/>
  <c r="G79" i="2"/>
  <c r="F97" i="2"/>
  <c r="F79" i="2" l="1"/>
  <c r="F80" i="2"/>
  <c r="I116" i="2"/>
  <c r="E48" i="5" l="1"/>
  <c r="D48" i="5"/>
  <c r="C48" i="5"/>
  <c r="B48" i="5"/>
  <c r="D39" i="5"/>
  <c r="F34" i="5"/>
  <c r="C34" i="5"/>
  <c r="B34" i="5"/>
  <c r="F29" i="5"/>
  <c r="E29" i="5"/>
  <c r="D29" i="5"/>
  <c r="C29" i="5"/>
  <c r="E8" i="5"/>
  <c r="D8" i="5"/>
  <c r="C8" i="5"/>
  <c r="B52" i="5" l="1"/>
  <c r="G52" i="5"/>
  <c r="F52" i="5"/>
  <c r="H21" i="2" l="1"/>
  <c r="H12" i="2" s="1"/>
  <c r="H128" i="2" s="1"/>
  <c r="I21" i="2"/>
  <c r="I12" i="2" s="1"/>
  <c r="I128" i="2" s="1"/>
  <c r="J21" i="2"/>
  <c r="J12" i="2" s="1"/>
  <c r="J128" i="2" s="1"/>
  <c r="K21" i="2"/>
  <c r="K12" i="2" s="1"/>
  <c r="K128" i="2" s="1"/>
  <c r="G21" i="2"/>
  <c r="G12" i="2" s="1"/>
  <c r="G128" i="2" s="1"/>
  <c r="E21" i="2"/>
  <c r="E12" i="2" s="1"/>
  <c r="E128" i="2" s="1"/>
  <c r="H22" i="2"/>
  <c r="F22" i="2" s="1"/>
  <c r="F29" i="2"/>
  <c r="I16" i="2"/>
  <c r="J16" i="2"/>
  <c r="K16" i="2"/>
  <c r="I18" i="2"/>
  <c r="J18" i="2"/>
  <c r="K18" i="2"/>
  <c r="H19" i="2"/>
  <c r="I19" i="2"/>
  <c r="J19" i="2"/>
  <c r="K19" i="2"/>
  <c r="H20" i="2"/>
  <c r="H11" i="2" s="1"/>
  <c r="I20" i="2"/>
  <c r="I11" i="2" s="1"/>
  <c r="J20" i="2"/>
  <c r="J11" i="2" s="1"/>
  <c r="K20" i="2"/>
  <c r="K11" i="2" s="1"/>
  <c r="G20" i="2"/>
  <c r="G11" i="2" s="1"/>
  <c r="G19" i="2"/>
  <c r="G18" i="2"/>
  <c r="G16" i="2"/>
  <c r="E16" i="2"/>
  <c r="E18" i="2"/>
  <c r="E19" i="2"/>
  <c r="E20" i="2"/>
  <c r="E11" i="2" s="1"/>
  <c r="F128" i="2" l="1"/>
  <c r="F21" i="2"/>
  <c r="F12" i="2"/>
  <c r="F20" i="2"/>
  <c r="F28" i="2" l="1"/>
  <c r="F26" i="2"/>
  <c r="F25" i="2"/>
  <c r="H24" i="2"/>
  <c r="K23" i="2"/>
  <c r="K17" i="2" s="1"/>
  <c r="K15" i="2" s="1"/>
  <c r="J23" i="2"/>
  <c r="J17" i="2" s="1"/>
  <c r="J15" i="2" s="1"/>
  <c r="I23" i="2"/>
  <c r="I17" i="2" s="1"/>
  <c r="I15" i="2" s="1"/>
  <c r="H23" i="2"/>
  <c r="H17" i="2" s="1"/>
  <c r="G23" i="2"/>
  <c r="G17" i="2" s="1"/>
  <c r="G15" i="2" s="1"/>
  <c r="E23" i="2"/>
  <c r="E17" i="2" s="1"/>
  <c r="E9" i="2" s="1"/>
  <c r="E15" i="2" l="1"/>
  <c r="F23" i="2"/>
  <c r="H16" i="2"/>
  <c r="H15" i="2" s="1"/>
  <c r="F15" i="2" s="1"/>
  <c r="F24" i="2"/>
  <c r="H18" i="2"/>
  <c r="F27" i="2"/>
  <c r="F108" i="2" l="1"/>
  <c r="H74" i="2" l="1"/>
  <c r="I74" i="2"/>
  <c r="J74" i="2"/>
  <c r="K74" i="2"/>
  <c r="H75" i="2"/>
  <c r="I75" i="2"/>
  <c r="J75" i="2"/>
  <c r="K75" i="2"/>
  <c r="G75" i="2"/>
  <c r="G74" i="2"/>
  <c r="G73" i="2" s="1"/>
  <c r="E74" i="2"/>
  <c r="E73" i="2" s="1"/>
  <c r="E75" i="2"/>
  <c r="F77" i="2" l="1"/>
  <c r="F76" i="2"/>
  <c r="H105" i="2" l="1"/>
  <c r="I105" i="2"/>
  <c r="J105" i="2"/>
  <c r="K105" i="2"/>
  <c r="G105" i="2"/>
  <c r="E105" i="2"/>
  <c r="F75" i="2"/>
  <c r="H61" i="2"/>
  <c r="H55" i="2" s="1"/>
  <c r="I61" i="2"/>
  <c r="I55" i="2" s="1"/>
  <c r="J61" i="2"/>
  <c r="J55" i="2" s="1"/>
  <c r="K61" i="2"/>
  <c r="K55" i="2" s="1"/>
  <c r="G61" i="2"/>
  <c r="E61" i="2"/>
  <c r="E55" i="2" s="1"/>
  <c r="H10" i="2"/>
  <c r="I10" i="2"/>
  <c r="J10" i="2"/>
  <c r="K10" i="2"/>
  <c r="G10" i="2"/>
  <c r="E10" i="2"/>
  <c r="J124" i="2" l="1"/>
  <c r="H124" i="2"/>
  <c r="E124" i="2"/>
  <c r="K124" i="2"/>
  <c r="I124" i="2"/>
  <c r="F61" i="2"/>
  <c r="F10" i="2"/>
  <c r="F105" i="2"/>
  <c r="G55" i="2"/>
  <c r="G124" i="2" s="1"/>
  <c r="H116" i="2"/>
  <c r="H13" i="2"/>
  <c r="F124" i="2" l="1"/>
  <c r="F55" i="2"/>
  <c r="H106" i="2" l="1"/>
  <c r="I106" i="2"/>
  <c r="J106" i="2"/>
  <c r="K106" i="2"/>
  <c r="E106" i="2"/>
  <c r="F112" i="2"/>
  <c r="F106" i="2" l="1"/>
  <c r="H64" i="2"/>
  <c r="H60" i="2" s="1"/>
  <c r="H66" i="2"/>
  <c r="H118" i="2"/>
  <c r="F111" i="2" l="1"/>
  <c r="H73" i="2"/>
  <c r="I73" i="2"/>
  <c r="J73" i="2"/>
  <c r="K73" i="2"/>
  <c r="F19" i="2"/>
  <c r="F73" i="2" l="1"/>
  <c r="F74" i="2"/>
  <c r="E49" i="2" l="1"/>
  <c r="G49" i="2"/>
  <c r="I40" i="2" l="1"/>
  <c r="J40" i="2"/>
  <c r="K40" i="2"/>
  <c r="I41" i="2"/>
  <c r="J41" i="2"/>
  <c r="K41" i="2"/>
  <c r="G41" i="2"/>
  <c r="E40" i="2"/>
  <c r="E41" i="2"/>
  <c r="H54" i="2"/>
  <c r="F34" i="2" l="1"/>
  <c r="I54" i="2" l="1"/>
  <c r="J54" i="2"/>
  <c r="K54" i="2"/>
  <c r="G54" i="2"/>
  <c r="E54" i="2"/>
  <c r="H52" i="2"/>
  <c r="I52" i="2"/>
  <c r="J52" i="2"/>
  <c r="K52" i="2"/>
  <c r="G52" i="2"/>
  <c r="I53" i="2"/>
  <c r="J53" i="2"/>
  <c r="K53" i="2"/>
  <c r="G53" i="2"/>
  <c r="E53" i="2"/>
  <c r="H62" i="2"/>
  <c r="H56" i="2" s="1"/>
  <c r="I62" i="2"/>
  <c r="I56" i="2" s="1"/>
  <c r="J62" i="2"/>
  <c r="J56" i="2" s="1"/>
  <c r="K62" i="2"/>
  <c r="K56" i="2" s="1"/>
  <c r="E62" i="2"/>
  <c r="E56" i="2" s="1"/>
  <c r="H63" i="2"/>
  <c r="H57" i="2" s="1"/>
  <c r="I63" i="2"/>
  <c r="I57" i="2" s="1"/>
  <c r="I126" i="2" s="1"/>
  <c r="J63" i="2"/>
  <c r="J57" i="2" s="1"/>
  <c r="J126" i="2" s="1"/>
  <c r="K63" i="2"/>
  <c r="K57" i="2" s="1"/>
  <c r="K126" i="2" s="1"/>
  <c r="G63" i="2"/>
  <c r="G57" i="2" s="1"/>
  <c r="G126" i="2" s="1"/>
  <c r="E63" i="2"/>
  <c r="E57" i="2" s="1"/>
  <c r="E126" i="2" s="1"/>
  <c r="F64" i="2"/>
  <c r="F65" i="2"/>
  <c r="F66" i="2"/>
  <c r="F70" i="2"/>
  <c r="J51" i="2" l="1"/>
  <c r="K51" i="2"/>
  <c r="F60" i="2"/>
  <c r="F52" i="2"/>
  <c r="F57" i="2"/>
  <c r="F63" i="2"/>
  <c r="I51" i="2" l="1"/>
  <c r="F54" i="2"/>
  <c r="D34" i="5" s="1"/>
  <c r="H72" i="2"/>
  <c r="H59" i="2" s="1"/>
  <c r="F72" i="2" l="1"/>
  <c r="H53" i="2"/>
  <c r="H51" i="2" l="1"/>
  <c r="F53" i="2"/>
  <c r="G71" i="2"/>
  <c r="F69" i="2"/>
  <c r="F68" i="2"/>
  <c r="F67" i="2"/>
  <c r="F71" i="2" l="1"/>
  <c r="G62" i="2"/>
  <c r="F59" i="2"/>
  <c r="H104" i="2"/>
  <c r="G56" i="2" l="1"/>
  <c r="F62" i="2"/>
  <c r="G51" i="2" l="1"/>
  <c r="F51" i="2" s="1"/>
  <c r="F56" i="2"/>
  <c r="G104" i="2" l="1"/>
  <c r="E104" i="2"/>
  <c r="I104" i="2"/>
  <c r="J104" i="2"/>
  <c r="K104" i="2"/>
  <c r="F113" i="2"/>
  <c r="H37" i="2"/>
  <c r="F104" i="2" l="1"/>
  <c r="F45" i="2"/>
  <c r="F43" i="2"/>
  <c r="F33" i="2"/>
  <c r="F32" i="2"/>
  <c r="F14" i="2"/>
  <c r="H102" i="2" l="1"/>
  <c r="H120" i="2" s="1"/>
  <c r="I102" i="2"/>
  <c r="I120" i="2" s="1"/>
  <c r="J102" i="2"/>
  <c r="J120" i="2" s="1"/>
  <c r="K102" i="2"/>
  <c r="K120" i="2" s="1"/>
  <c r="H103" i="2"/>
  <c r="I103" i="2"/>
  <c r="J103" i="2"/>
  <c r="K103" i="2"/>
  <c r="E103" i="2"/>
  <c r="G103" i="2"/>
  <c r="E102" i="2"/>
  <c r="E101" i="2" s="1"/>
  <c r="G102" i="2"/>
  <c r="G120" i="2" s="1"/>
  <c r="F109" i="2"/>
  <c r="E52" i="2"/>
  <c r="F58" i="2"/>
  <c r="E39" i="2"/>
  <c r="I39" i="2"/>
  <c r="J39" i="2"/>
  <c r="K39" i="2"/>
  <c r="G39" i="2"/>
  <c r="H48" i="2"/>
  <c r="E8" i="2"/>
  <c r="I8" i="2"/>
  <c r="J8" i="2"/>
  <c r="K8" i="2"/>
  <c r="G8" i="2"/>
  <c r="G121" i="2" s="1"/>
  <c r="J121" i="2" l="1"/>
  <c r="E121" i="2"/>
  <c r="K121" i="2"/>
  <c r="I121" i="2"/>
  <c r="E51" i="2"/>
  <c r="E120" i="2"/>
  <c r="F120" i="2"/>
  <c r="E7" i="2"/>
  <c r="F103" i="2"/>
  <c r="J101" i="2"/>
  <c r="H101" i="2"/>
  <c r="F102" i="2"/>
  <c r="G101" i="2"/>
  <c r="K101" i="2"/>
  <c r="I101" i="2"/>
  <c r="H8" i="2"/>
  <c r="F16" i="2"/>
  <c r="H39" i="2"/>
  <c r="F39" i="2" s="1"/>
  <c r="F48" i="2"/>
  <c r="H121" i="2" l="1"/>
  <c r="C41" i="5"/>
  <c r="C52" i="5" s="1"/>
  <c r="F101" i="2"/>
  <c r="F8" i="2"/>
  <c r="F121" i="2" l="1"/>
  <c r="H46" i="2"/>
  <c r="H40" i="2" s="1"/>
  <c r="H31" i="2" l="1"/>
  <c r="H50" i="2" l="1"/>
  <c r="F50" i="2" s="1"/>
  <c r="H49" i="2"/>
  <c r="H41" i="2" s="1"/>
  <c r="F18" i="2"/>
  <c r="F41" i="2" l="1"/>
  <c r="H126" i="2"/>
  <c r="F126" i="2" s="1"/>
  <c r="G116" i="2"/>
  <c r="G118" i="2"/>
  <c r="G44" i="2"/>
  <c r="G40" i="2" s="1"/>
  <c r="F40" i="2" s="1"/>
  <c r="G13" i="2" l="1"/>
  <c r="H9" i="2" l="1"/>
  <c r="I9" i="2"/>
  <c r="J9" i="2"/>
  <c r="K9" i="2"/>
  <c r="K7" i="2" l="1"/>
  <c r="I7" i="2"/>
  <c r="J7" i="2"/>
  <c r="H7" i="2"/>
  <c r="F11" i="2"/>
  <c r="G31" i="2" l="1"/>
  <c r="H115" i="2" l="1"/>
  <c r="I115" i="2"/>
  <c r="J115" i="2"/>
  <c r="K115" i="2"/>
  <c r="G115" i="2"/>
  <c r="E115" i="2"/>
  <c r="E114" i="2" l="1"/>
  <c r="E123" i="2"/>
  <c r="K114" i="2"/>
  <c r="K123" i="2"/>
  <c r="I114" i="2"/>
  <c r="I123" i="2"/>
  <c r="J114" i="2"/>
  <c r="J123" i="2"/>
  <c r="H114" i="2"/>
  <c r="H123" i="2"/>
  <c r="G114" i="2"/>
  <c r="F115" i="2"/>
  <c r="D51" i="5" s="1"/>
  <c r="D52" i="5" s="1"/>
  <c r="F114" i="2" l="1"/>
  <c r="E41" i="5"/>
  <c r="E52" i="5" s="1"/>
  <c r="F118" i="2"/>
  <c r="F117" i="2"/>
  <c r="F116" i="2"/>
  <c r="F110" i="2"/>
  <c r="H42" i="2" l="1"/>
  <c r="H125" i="2" s="1"/>
  <c r="H119" i="2" s="1"/>
  <c r="I42" i="2"/>
  <c r="I125" i="2" s="1"/>
  <c r="I119" i="2" s="1"/>
  <c r="J42" i="2"/>
  <c r="J125" i="2" s="1"/>
  <c r="J119" i="2" s="1"/>
  <c r="K42" i="2"/>
  <c r="K125" i="2" s="1"/>
  <c r="K119" i="2" s="1"/>
  <c r="G42" i="2"/>
  <c r="G125" i="2" s="1"/>
  <c r="E42" i="2"/>
  <c r="E125" i="2" s="1"/>
  <c r="E119" i="2" s="1"/>
  <c r="F125" i="2" l="1"/>
  <c r="F42" i="2"/>
  <c r="E38" i="2"/>
  <c r="K38" i="2"/>
  <c r="G38" i="2"/>
  <c r="J38" i="2"/>
  <c r="I38" i="2"/>
  <c r="H38" i="2"/>
  <c r="F38" i="2" l="1"/>
  <c r="F49" i="2"/>
  <c r="F47" i="2"/>
  <c r="F46" i="2"/>
  <c r="F44" i="2"/>
  <c r="F37" i="2"/>
  <c r="F36" i="2"/>
  <c r="F35" i="2"/>
  <c r="F31" i="2"/>
  <c r="G30" i="2"/>
  <c r="G9" i="2" s="1"/>
  <c r="F17" i="2"/>
  <c r="F13" i="2"/>
  <c r="G7" i="2" l="1"/>
  <c r="F7" i="2" s="1"/>
  <c r="G123" i="2"/>
  <c r="F9" i="2"/>
  <c r="F30" i="2"/>
  <c r="F123" i="2" l="1"/>
  <c r="G119" i="2"/>
  <c r="F119" i="2" s="1"/>
</calcChain>
</file>

<file path=xl/sharedStrings.xml><?xml version="1.0" encoding="utf-8"?>
<sst xmlns="http://schemas.openxmlformats.org/spreadsheetml/2006/main" count="491" uniqueCount="241">
  <si>
    <t>1.</t>
  </si>
  <si>
    <t xml:space="preserve">Итого:         </t>
  </si>
  <si>
    <t>Средства       бюджета ОМР МО</t>
  </si>
  <si>
    <t>Средства       бюджетов       городских/  сельских поселений, передаваемые в бюджет  ОМР МО</t>
  </si>
  <si>
    <t>1.1.</t>
  </si>
  <si>
    <t>Организация и проведение  культурно-массовых мероприятий</t>
  </si>
  <si>
    <t>Средства бюджета ОМР МО</t>
  </si>
  <si>
    <t>1.2.</t>
  </si>
  <si>
    <t>1.3.</t>
  </si>
  <si>
    <t>Организация деятельности                  МБУ "КСЦ ОМР" по  оказанию муницпальной услуги "Организация комплектования книжным фондом библиотек поселений"</t>
  </si>
  <si>
    <t>1.4.</t>
  </si>
  <si>
    <t>Обеспечение содержания имущества МБУ "КСЦ ОМР"</t>
  </si>
  <si>
    <t>1.5.</t>
  </si>
  <si>
    <t>Комплектование  библиотечных фондов библиотек поселений</t>
  </si>
  <si>
    <t>Средства       бюджетов       городских/  сельских поселений, передоваемые в бюджет  ОМР МО</t>
  </si>
  <si>
    <t>1.6.</t>
  </si>
  <si>
    <t>Обеспечение деятельности библиотек сельских поселений</t>
  </si>
  <si>
    <t>2.</t>
  </si>
  <si>
    <t>Внебюджетные средства</t>
  </si>
  <si>
    <t>2.1.</t>
  </si>
  <si>
    <t>2.2.</t>
  </si>
  <si>
    <t xml:space="preserve">Обеспечение содержания имущества учреждений дополнительного образования в сфере искусства </t>
  </si>
  <si>
    <t>2.3.</t>
  </si>
  <si>
    <t>Организация и проведение конкурсов районного, областного и межзонального уровней</t>
  </si>
  <si>
    <t>3.</t>
  </si>
  <si>
    <t>3.1.</t>
  </si>
  <si>
    <t>Проведение текущего ремонта в учреждении культуры и учреждениях дополнительного образования детей в сфере искусства</t>
  </si>
  <si>
    <t xml:space="preserve">4. </t>
  </si>
  <si>
    <t>4.1.</t>
  </si>
  <si>
    <t>Проведение мониторинга  качества и доступности услуг  в сфере туризма</t>
  </si>
  <si>
    <t>5.</t>
  </si>
  <si>
    <t>Инвестиции</t>
  </si>
  <si>
    <t>5.1.</t>
  </si>
  <si>
    <t>5.2.</t>
  </si>
  <si>
    <t>5.3.</t>
  </si>
  <si>
    <t>6.</t>
  </si>
  <si>
    <t>6.1.</t>
  </si>
  <si>
    <t>6.2.</t>
  </si>
  <si>
    <t>6.3.</t>
  </si>
  <si>
    <t>Приложение №1 к муниципальной программе</t>
  </si>
  <si>
    <t>№ П\П</t>
  </si>
  <si>
    <t>Мероприятия по реализации программы (подпрограммы)</t>
  </si>
  <si>
    <t>Срок исполнения мероприятий</t>
  </si>
  <si>
    <t>Источники финансирования</t>
  </si>
  <si>
    <t>Объем финансирования мероприятия в году, предшедствующему началу реализации программы
2016 год  
(тыс. руб.)</t>
  </si>
  <si>
    <t>Всего           (тыс. руб.)</t>
  </si>
  <si>
    <t>Объем финансирования по годам (тыс. руб.)</t>
  </si>
  <si>
    <t>Ответственный за выполнение мероприятия</t>
  </si>
  <si>
    <t>Результаты выполнения мероприятия</t>
  </si>
  <si>
    <t>2017 год</t>
  </si>
  <si>
    <t>2018 год</t>
  </si>
  <si>
    <t>2019 год</t>
  </si>
  <si>
    <t>2020 год</t>
  </si>
  <si>
    <t>2021 год</t>
  </si>
  <si>
    <t>2017-2021 гг</t>
  </si>
  <si>
    <t>Средства       бюджетов       городских/  сельских поселений ОМР МО</t>
  </si>
  <si>
    <t>Ежегодно не менее 50 мероприятий</t>
  </si>
  <si>
    <t>Выполнение муниципального задания</t>
  </si>
  <si>
    <t>Объем финансирования не определен</t>
  </si>
  <si>
    <t>Проведение капитального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t>
  </si>
  <si>
    <t>Увеличение доли доступных организаций сферы культуры  для инвалидов и и других маломобильных групп населения</t>
  </si>
  <si>
    <t>Приобретение оборудования для  учреждений дополнительного образования детей в сфере искусства для обеспечения доступности для инвалидов и других маломобильных групп населения</t>
  </si>
  <si>
    <r>
      <t xml:space="preserve">Итого по Программе </t>
    </r>
    <r>
      <rPr>
        <sz val="12"/>
        <color rgb="FF00B050"/>
        <rFont val="Times New Roman"/>
        <family val="1"/>
        <charset val="204"/>
      </rPr>
      <t/>
    </r>
  </si>
  <si>
    <t>Внебюджетные источники</t>
  </si>
  <si>
    <t xml:space="preserve">Задача 2. Увеличение охвата библиотечным обслуживанием населения Одинцовского муниципального района </t>
  </si>
  <si>
    <t xml:space="preserve">Задача 3. Увеличение уровня фактической обеспеченности населения Одинцовского муниципального района парками культуры и отдыха </t>
  </si>
  <si>
    <t>Задача 4. Увеличение объема платных туристских услуг, оказанных населению Одинцовского муниципального района</t>
  </si>
  <si>
    <t>Увеличение объема платных туристских услуг, оказанных населению к 2021 году до 10,9 млн. руб.</t>
  </si>
  <si>
    <t>7.</t>
  </si>
  <si>
    <t>Проведение  текущего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t>
  </si>
  <si>
    <t>7.1.</t>
  </si>
  <si>
    <t>7.2.</t>
  </si>
  <si>
    <t>7.3.</t>
  </si>
  <si>
    <t>в том числе на повышение заработной платы</t>
  </si>
  <si>
    <t>Средства бюджета  МО</t>
  </si>
  <si>
    <t>на повышение заработной платы</t>
  </si>
  <si>
    <t>Средства       бюджета  МО</t>
  </si>
  <si>
    <t>Увеличение количества предоставляемых муниципальными библиотеками муниципальных услуг в электронном виде к 2021 году до 100 %</t>
  </si>
  <si>
    <t>Проведение текущего ремонта в Одинцовской ДМШ</t>
  </si>
  <si>
    <t>2017-2021 гг.</t>
  </si>
  <si>
    <t>Охват библиотечным обслуживанием к 2021 году до 25%.
Увеличить количество единиц библиотечного фонда к 2021 году до 745 тыс.</t>
  </si>
  <si>
    <t xml:space="preserve">ПЕРЕЧЕНЬ МЕРОПРИЯТИЙ МУНИЦИПАЛЬНОЙ ПРОГРАММЫ ОДИНЦОВСКОГО МУНИЦИПАЛЬНОГО РАЙОНА
МОСКОВСКОЙ ОБЛАСТИ 
«РАЗВИТИЕ КУЛЬТУРЫ В  ОДИНЦОВСКОМ МУНИЦИПАЛЬНОМ РАЙОНЕ МОСКОВСКОЙ ОБЛАСТИ» </t>
  </si>
  <si>
    <t>Приложение №2 к муниципальной программе</t>
  </si>
  <si>
    <t xml:space="preserve">ПЛАНИРУЕМЫЕ РЕЗУЛЬТАТЫ РЕАЛИЗАЦИИ МУНИЦИПАЛЬНОЙ ПРОГРАММЫ ОДИНЦОВСКОГО МУНИЦИПАЛЬНОГО РАЙОНА МОСКОВСКОЙ ОБЛАСТИ «РАЗВИТИЕ КУЛЬТУРЫ  В ОДИНЦОВСКОМ МУНИЦИПАЛЬНОМ РАЙОНЕ МОСКОВСКОЙ ОБЛАСТИ» </t>
  </si>
  <si>
    <t>N   п/п</t>
  </si>
  <si>
    <t xml:space="preserve">Планируемый объем финансирования на решение данной задачи (тыс. руб.)   </t>
  </si>
  <si>
    <t xml:space="preserve">Количественные  и/или качественные целевые показатели, характеризующие достижение целей и решение задач          </t>
  </si>
  <si>
    <t>Единица измерения</t>
  </si>
  <si>
    <t xml:space="preserve">Планируемое значение показателя по годам реализации                                         </t>
  </si>
  <si>
    <t xml:space="preserve">Бюджет Одинцовского муниципального района Московской области    </t>
  </si>
  <si>
    <t>2021год</t>
  </si>
  <si>
    <t>1.1. Доля населения, участвующего в коллективах народного товрчества и школах искусств</t>
  </si>
  <si>
    <t>%</t>
  </si>
  <si>
    <t>1.2. Количество культурно-массовых мероприятий</t>
  </si>
  <si>
    <t>Ед.</t>
  </si>
  <si>
    <r>
      <rPr>
        <b/>
        <sz val="16"/>
        <rFont val="Times New Roman"/>
        <family val="1"/>
        <charset val="204"/>
      </rPr>
      <t xml:space="preserve">Задача 2. Увеличение охвата библиотечным обслуживанием населения Одинцовского муниципального района </t>
    </r>
    <r>
      <rPr>
        <b/>
        <sz val="14"/>
        <color theme="1"/>
        <rFont val="Times New Roman"/>
        <family val="1"/>
        <charset val="204"/>
      </rPr>
      <t xml:space="preserve">
</t>
    </r>
  </si>
  <si>
    <t>2.1.Количество единиц библиотечного фонда</t>
  </si>
  <si>
    <t>2.2. Уровень фактической обеспеченности библиотеками от нормативной потребности</t>
  </si>
  <si>
    <t>2.3.Увеличение доли предоставляемых муниципальными библиотеками муниципальных услуг в электронном виде</t>
  </si>
  <si>
    <t xml:space="preserve">Задача 3. Увеличение уровня фактической обеспеченности населения Одинцовского муниципального района парками культуры и отдыха 
</t>
  </si>
  <si>
    <t>3.1. Количество созданных парков культуры и отдыха</t>
  </si>
  <si>
    <t>ед.</t>
  </si>
  <si>
    <t>3.2. Количество благоустроенных парков культуры и отдыха</t>
  </si>
  <si>
    <t xml:space="preserve">Задача 4. Увеличение объема платных туристских услуг, оказанных населению Одинцовского муниципального района 
</t>
  </si>
  <si>
    <t>млн. руб.</t>
  </si>
  <si>
    <t>4.1. Объем платных услуг гостиниц и аналогичных средств размещения</t>
  </si>
  <si>
    <t xml:space="preserve">Задача 5. Обеспечение состояния учреждений культуры, находящихся в муниципальной собственности, в удовлетворительном состоянии, в общем количестве учреждений культуры, находящихся на территории Одинцовского муниципального района
</t>
  </si>
  <si>
    <t>5.1. 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</si>
  <si>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5.2. Доля муниципальных учреждений культуры, здания которых требуют проведения текущего ремонта</t>
  </si>
  <si>
    <t>5.3. 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</si>
  <si>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6.1.Доля муниципальных учреждений дополнительного образования детей  в сфере искусства,  обеспеченных беспрепятственным доступом  для маломобильных групп населения</t>
  </si>
  <si>
    <t>х</t>
  </si>
  <si>
    <t>Х</t>
  </si>
  <si>
    <t>Задача 6.   Обеспечение  доступности для инвалидов и других маломобильных групп населения  учреждений  дополнительного образования детей в сфере искусства</t>
  </si>
  <si>
    <t>Задача 6.  Обеспечение  доступности для инвалидов и других маломобильных групп населения  учреждений  дополнительного образования детей в сфере искусства</t>
  </si>
  <si>
    <t>Базовое значение показателя (на начало  реализации программы на 01.01.2017)</t>
  </si>
  <si>
    <t>Мероприятия в Зареченской ДШИ</t>
  </si>
  <si>
    <t>3.3. Увеличение числа посетителей парков культуры и отдыха, расположенных на землях лесного фонда</t>
  </si>
  <si>
    <t xml:space="preserve">Средства       федерального бюджета </t>
  </si>
  <si>
    <t xml:space="preserve">Средства        бюджета МО </t>
  </si>
  <si>
    <t xml:space="preserve">Средства       федерального бюджета  </t>
  </si>
  <si>
    <t>Средства федерального бюджета</t>
  </si>
  <si>
    <t>Средства бюджета Московской области</t>
  </si>
  <si>
    <t xml:space="preserve">Средства федерального бюджета </t>
  </si>
  <si>
    <t>ДМШ и ДШИ</t>
  </si>
  <si>
    <t xml:space="preserve"> МБУ "КСЦ ОМР"</t>
  </si>
  <si>
    <t>Благоустройство и создание парков</t>
  </si>
  <si>
    <t>КДКТиМП</t>
  </si>
  <si>
    <t>КДКТиМП,      ДМШ и ДШИ</t>
  </si>
  <si>
    <t>КДКТиМП, МБУ "КСЦ ОМР"</t>
  </si>
  <si>
    <t>КДКТиМП,                     ДМШ и ДШИ</t>
  </si>
  <si>
    <t>КДКТиМП,                ДМШ и ДШИ</t>
  </si>
  <si>
    <t>˗</t>
  </si>
  <si>
    <t>КДКТиМП,  МБУ "КСЦ ОМР"</t>
  </si>
  <si>
    <t>-</t>
  </si>
  <si>
    <t>КДКТиМП,                  ДМШ и ДШИ</t>
  </si>
  <si>
    <t>Председатель Комитета по делам культуры, туризму и молодёжной политике                                                                                                                                      И.Е. Ватрунина</t>
  </si>
  <si>
    <t>3.4. Соответствие нормативу обеспеченности парками культуры и отдыха  Московской области (показатель обеспеченности по Московской области)</t>
  </si>
  <si>
    <t xml:space="preserve">Увеличение уровня фактической обеспеченности парками культуры и отдыха к 2021 году.                                                        </t>
  </si>
  <si>
    <t>КДКТиМП, МАУДО Зареченская ДШИ</t>
  </si>
  <si>
    <t>КДКТиМП.,МБУ "КСЦ ОМР"</t>
  </si>
  <si>
    <t>−</t>
  </si>
  <si>
    <t>Задача 7.  Обеспечение деятельности Комитета по делам  культуры, туризму и молодежной политике</t>
  </si>
  <si>
    <t>Средства бюджета ОМР передаваемые в бюджеты городских и сельских поселений</t>
  </si>
  <si>
    <t>Средства бюджета ОМР, передаваемые в бюджеты городских/сельских поселений</t>
  </si>
  <si>
    <t>Средства бюджетов городских/ сельских поселений, передаваемые в бюджет  ОМР МО</t>
  </si>
  <si>
    <r>
      <t>Приобретение основных средств для учреждения культуры и учреждений дополнительного образования детей в сфере искусства</t>
    </r>
    <r>
      <rPr>
        <b/>
        <sz val="11"/>
        <rFont val="Times New Roman"/>
        <family val="1"/>
        <charset val="204"/>
      </rPr>
      <t xml:space="preserve"> </t>
    </r>
  </si>
  <si>
    <t>КДКТиМП, ДМШ и ДШИ</t>
  </si>
  <si>
    <t>2*</t>
  </si>
  <si>
    <r>
      <rPr>
        <sz val="10"/>
        <rFont val="Times New Roman"/>
        <family val="1"/>
        <charset val="204"/>
      </rPr>
      <t>Обеспечение современными аппаратно-программными комплексами со средствами криптографической защиты информации</t>
    </r>
    <r>
      <rPr>
        <sz val="10"/>
        <color rgb="FFFF0000"/>
        <rFont val="Times New Roman"/>
        <family val="1"/>
        <charset val="204"/>
      </rPr>
      <t xml:space="preserve"> </t>
    </r>
    <r>
      <rPr>
        <sz val="10"/>
        <rFont val="Times New Roman"/>
        <family val="1"/>
        <charset val="204"/>
      </rPr>
      <t>ДМШ и ДШИ</t>
    </r>
  </si>
  <si>
    <t xml:space="preserve">Приобретение основных средств  для Комитета по делам культуры, туризму и молодёжной политике Администрации Одинцовского муниципального района </t>
  </si>
  <si>
    <t>Обеспечение деятельности Комитета по делам культуры, туризму и молодёжной политике Администрации Одинцовского муниципального района</t>
  </si>
  <si>
    <t>Задача 7.  Обеспечение деятельности Комитета по делам культуры, туризму и молодёжной политике Администрации Одинцовского муниципального района</t>
  </si>
  <si>
    <t>Проведение текущего ремонта в ДШИ и ДМШ</t>
  </si>
  <si>
    <t>Приобретение основных средств</t>
  </si>
  <si>
    <t xml:space="preserve">Приобретение основных для средств для учрежждений доп.образования детей в сфере искусства:
</t>
  </si>
  <si>
    <t>3.1.1.</t>
  </si>
  <si>
    <t>3.1.2.</t>
  </si>
  <si>
    <t>3.1.3.</t>
  </si>
  <si>
    <t>в том числе  за счёт иных МБТ в виде дотаций, передаваемых из бюджета МО</t>
  </si>
  <si>
    <t>Создание новых и (или) благоустройство существующих парков культуры и отдыха, расположенных на землях лесного фонда</t>
  </si>
  <si>
    <t>Обеспечение деятельности парков культуры и отдыха, расположенных на землях лесного фонда</t>
  </si>
  <si>
    <t xml:space="preserve">Благоустройство и создание парковых территорий </t>
  </si>
  <si>
    <t xml:space="preserve">парк на территории с.п..Барвихинское
</t>
  </si>
  <si>
    <t>парки на территории с.п. Успенское («Горки X»), с.п. Жаворонковское, г.п. Одинцово,   с.п..Барвихинское</t>
  </si>
  <si>
    <t>повышение заработной платы</t>
  </si>
  <si>
    <t xml:space="preserve">Проведение текущего ремонта в Комитете по делам культуры, туризму и молодёжной политике Администрации Одинцовского муниципального района </t>
  </si>
  <si>
    <t>*  значение показателя с учетом целевой субсидии для МБУ "ОПКСиО" в соответствии с Соглашением о предоставлении в 2018 году иных межбюджетных трансфертов из бюджета Одинцовского муниципального района на целевое финансирование мероприятий муниципальной программы г.п. Одинцово "Формирование современной комфортной городской среды проживания на территории городского поселения Одинцово Одинцовского муниципального района Московской области"</t>
  </si>
  <si>
    <t>Средства бюджетов городских и сельских поселений, передаваемых в бюджет ОМР</t>
  </si>
  <si>
    <t xml:space="preserve">Текущий  ремонт учреждений дополнительного образования детей в сфере искусства для обеспечения доступности для инвалидов и других маломобильных групп населения. </t>
  </si>
  <si>
    <t xml:space="preserve"> На ремонт Лесногородской ДШИ по соглашению с г.п. Лесной городок.</t>
  </si>
  <si>
    <t xml:space="preserve"> КДКТиМП,  МБУ "КСЦ ОМР"</t>
  </si>
  <si>
    <t>4.2.</t>
  </si>
  <si>
    <t xml:space="preserve">Обеспечение реализации концепции развития туризма в Одинцовском муниципальном районе </t>
  </si>
  <si>
    <t>В пределах средств, предусмотренных на содержание исполнителя</t>
  </si>
  <si>
    <t>1.2.1.</t>
  </si>
  <si>
    <t>Организация текущей деятельности на оказание муниципальных услуг (работ) учреждением культуры МБУ "КСЦ ОМР"</t>
  </si>
  <si>
    <t>1.2.2.</t>
  </si>
  <si>
    <t xml:space="preserve">Организация  деятельности учреждений дополнительного образования в сфере искусства на оказание муниципальной услуги "Предоставление дополнительного образовнаия в учреждениях дополнительного образования детей" </t>
  </si>
  <si>
    <t>Организация текущей деятельности на оказание муниципальных услуг (работ) учреждением культуры МБУ "ОПКСиО ОМР"</t>
  </si>
  <si>
    <t xml:space="preserve">КДКТиМП, МБУ "ОПКСиО ОМР" </t>
  </si>
  <si>
    <t>Задача 1. Обеспечение организации  дополнительного образования в сфере культуры, организации досуга и культурно-массовых мероприятий в Одинцовском муниципальном районе</t>
  </si>
  <si>
    <t>2.4.Доля библиотек, соответствующих единым Требованиям к условиям деятельности библиотек Московской области (к 2021 году - не менее 80 %)</t>
  </si>
  <si>
    <t>6.2. Количество учреждений дополнительного образования детей в сфере искусства, обеспеченных пандусами</t>
  </si>
  <si>
    <t>да/нет</t>
  </si>
  <si>
    <t>да</t>
  </si>
  <si>
    <t>Организация текущей деятельности на оказание муниципальных услуг (работ) учреждениями культуры МБУ "КСЦ ОМР", МБУ "ОПКСиО ОМР"</t>
  </si>
  <si>
    <t>1.4.Увеличение числа посещений организаций культуры</t>
  </si>
  <si>
    <t>1.4.1.Прирост посещений общедоступных (публичных) библиотек</t>
  </si>
  <si>
    <t>1.5.Доля детей, привлекаемых к участию в творческих мероприятиях</t>
  </si>
  <si>
    <t>1.6.Доля детей в возрасте от 5 до 18 лет, охваченных дополнительным образованием сферы культуры</t>
  </si>
  <si>
    <t>1.7.Уровень фактической обеспеченности клубами и учреждениями клубного типа от нормативной потребности</t>
  </si>
  <si>
    <t xml:space="preserve">1.8.Зарплата бюджетников – отношение средней заработной платы работников учреждений культуры к среднемесячной начисленной заработной плате наемных работников в организациях, у индивидуальных предпринимателей и физических лиц (среднемесячному доходу от трудовой деятельности) в Московской области </t>
  </si>
  <si>
    <t xml:space="preserve">1.9. Доля муниципальных учреждений культуры, обеспеченных доступом в информационно-телекоммуникационную сеть Интернет на скорости:
для учреждений культуры, расположенных в городских поселениях, – не менее 50 Мбит/с;
для учреждений культуры, расположенных в сельских поселениях, – не менее 10 Мбит/с.
</t>
  </si>
  <si>
    <t>тыс. чел.</t>
  </si>
  <si>
    <t>1.4.1.1..Количество посещений общедоступных (публичных) библиотек</t>
  </si>
  <si>
    <t xml:space="preserve">1.4.2.Прирост посещений платных культурно-массовых мероприятий клубов и домов культуры </t>
  </si>
  <si>
    <t xml:space="preserve">1.4.2.1.Количество посещений платных культурно-массовых мероприятий клубов и домов культуры </t>
  </si>
  <si>
    <t xml:space="preserve">1.4.3.Прирост участников клубных формирований </t>
  </si>
  <si>
    <t xml:space="preserve">1.4.3.1.Количество участников клубных формирований </t>
  </si>
  <si>
    <t>1.4.4.Прирост посещений концертных организаций</t>
  </si>
  <si>
    <t>1.4.4.1.Количество посещений концертных организаций</t>
  </si>
  <si>
    <t>1.4.5.Прирост учащихся ДШИ</t>
  </si>
  <si>
    <t>1.4.5.1.Количество учащихся ДШИ</t>
  </si>
  <si>
    <t xml:space="preserve">Задача 5. Обеспечение состояния учреждений культуры, находящихся в муниципальной собственности, в удовлетворительном состоянии, в общем количестве учреждений культуры, находящихся на территории Одинцовского муниципального района </t>
  </si>
  <si>
    <t>5.1.1.</t>
  </si>
  <si>
    <t>5.1.2.</t>
  </si>
  <si>
    <t>Сельское поселение ОМР МО   Никольское, МБУК "Никольский СКДЦ "Полёт"</t>
  </si>
  <si>
    <t>Сельское поселение ОМР МО   Успенское, МБУККТ "Успенский МСДК "</t>
  </si>
  <si>
    <t>Проведение капитального  ремонта и технического переоснащения и благоустройство территории объекта культуры МБУККТ "Успенский муниципальный сельский дом культуры"</t>
  </si>
  <si>
    <t xml:space="preserve">1.3.Количество мероприятий, проведенных в соответствии с муниципальным заданием учреждениями культуры МБУ "КСЦ ОМР", МБУ "ОПКСиО ОМР" </t>
  </si>
  <si>
    <t xml:space="preserve">КДКТиМП, МБУ "КСЦ ОМР", МБУ "ОПКСиО ОМР" </t>
  </si>
  <si>
    <t xml:space="preserve">выполнение муниципального задания учреждениями культуры МБУ "КСЦ ОМР", МБУ "ОПКСиО ОМР" </t>
  </si>
  <si>
    <t>выполнение муниципального задания учреждением культуры МБУ "КСЦ ОМР"</t>
  </si>
  <si>
    <t xml:space="preserve">выполнение муниципального задания  учреждением культуры МБУ "ОПКСиО ОМР" </t>
  </si>
  <si>
    <t>выполнение муниципального задания учреждениями дополнительного образования в сфере искусства</t>
  </si>
  <si>
    <t>Проведение конкурсов районного, областного и межзональных уровней согласно утвержденному Плану проведения мероприятий.</t>
  </si>
  <si>
    <t>приобретение костюмов для Зареченской ДШИ (средства гп Заречье)</t>
  </si>
  <si>
    <t>Проведение капитального  ремонта и технического переоснащения  здания муниципального бюджетного учреждения культуры "Никольский сельский культурно-досуговый центр "Полёт"</t>
  </si>
  <si>
    <t>Проведение капитального  ремонта в  учреждениях дополнительного образования детей в сфере искусства и учреждениях культуры</t>
  </si>
  <si>
    <t>1.10. Доля зданий культурно-досуговых учреждений (далее – КДУ), соответствующих единым Требованиям к условиям деятельности КДУ Московской области</t>
  </si>
  <si>
    <t>5.4. Обеспечено оснащение муниципальных учреждений дополнительного образования сферы культуры Одинцовского муниципального района Московской области современными аппаратно-программными комплексами со средствами криптографической защиты информации</t>
  </si>
  <si>
    <t>5.6.Обеспечение детских музыкальных школ и школ искусств необходимыми музыкальными инструментами</t>
  </si>
  <si>
    <t xml:space="preserve">5.5. Количество отремонтированных зданий муниципальных учреждений культуры на территории Одинцовского муниципального района </t>
  </si>
  <si>
    <t xml:space="preserve">Средства       бюджетов    городских/сельских поселений ОМР МО  </t>
  </si>
  <si>
    <t>Комфортные и безопасные условия предоставления услуг МБУККТ "Никольский сельский культурно-досуговый центр "Полёт"</t>
  </si>
  <si>
    <t>Проведение капитального ремонта и технического переоснащения МБУККТ "Успенский муниципальный сельский дом культуры" в п.Сосны</t>
  </si>
  <si>
    <t>В пределах средств из бюджета МО, направленные в бюджеты городских/сельских поселений ОМР МО                                                                                                                             Справочно: 2019 год - 94950 тыс. руб.</t>
  </si>
  <si>
    <t>В пределах средств, предусмотренных в бюджетах городских/сельских поселений ОМР МО                                                                                                                             Справочно: 2019 год - 23050 тыс. руб.</t>
  </si>
  <si>
    <t>Средства из бюджета МО, направленные в бюджеты городских/сельских поселений ОМР МО                                                                                                                             Справочно: 2019 год - 94950 тыс. руб.</t>
  </si>
  <si>
    <t>Средства бюджета МО</t>
  </si>
  <si>
    <t>В пределах средств, предусмотренных в бюджетах городских/сельских поселений ОМР МО    (СП Никольское)                                                                                                                           Справочно: 2019 год - 3400 тыс. руб.</t>
  </si>
  <si>
    <t>В пределах средств, предусмотренных в бюджетах городских/сельских поселений ОМР МО                                                                                                  Справочно: 2019 год - 23050 тыс. руб.</t>
  </si>
  <si>
    <t>Средства из бюджета МО, направленные в бюджеты городских/сельских поселений ОМР МО                                                                                                                             Справочно: 2019 год - 64600 тыс. руб.</t>
  </si>
  <si>
    <t>Средства из бюджета МО, направленные в бюджеты городских/сельских поселений ОМР МО                                                                                                                             Справочно: 2019 год - 30350 тыс. руб.</t>
  </si>
  <si>
    <t>В пределах средств, предусмотренных в бюджетах городских/сельских поселений ОМР МО   (СП Успенское)                                                                                                                          Справочно: 2019 год - 19650 тыс. руб.</t>
  </si>
  <si>
    <t>68,25</t>
  </si>
  <si>
    <t>213301,36200</t>
  </si>
  <si>
    <t>39702,94926</t>
  </si>
  <si>
    <t>Приложение № 1 к постановлению
Администрации Одинцовского
муниципального района
Московской области
от 31.05.2019 № 2717</t>
  </si>
  <si>
    <t>Приложение № 2 к постановлению
Администрации Одинцовского
муниципального района
Московской области
от 31.05.2019 №  2717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</si>
</sst>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00"/>
    <numFmt numFmtId="167" formatCode="0.00000"/>
    <numFmt numFmtId="168" formatCode="#,##0.00000"/>
  </numFmts>
  <fonts count="44"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name val="Times New Roman"/>
      <family val="1"/>
      <charset val="204"/>
    </font>
    <font>
      <b/>
      <sz val="11"/>
      <name val="Times New Roman"/>
      <family val="1"/>
      <charset val="204"/>
    </font>
    <font>
      <sz val="12"/>
      <name val="Times New Roman"/>
      <family val="1"/>
      <charset val="204"/>
    </font>
    <font>
      <b/>
      <sz val="12"/>
      <name val="Times New Roman"/>
      <family val="1"/>
      <charset val="204"/>
    </font>
    <font>
      <b/>
      <sz val="14"/>
      <name val="Times New Roman"/>
      <family val="1"/>
      <charset val="204"/>
    </font>
    <font>
      <sz val="12"/>
      <color theme="1"/>
      <name val="Times New Roman"/>
      <family val="1"/>
      <charset val="204"/>
    </font>
    <font>
      <sz val="12"/>
      <color rgb="FF000000"/>
      <name val="Times New Roman"/>
      <family val="1"/>
      <charset val="204"/>
    </font>
    <font>
      <sz val="11"/>
      <name val="Calibri"/>
      <family val="2"/>
      <charset val="204"/>
      <scheme val="minor"/>
    </font>
    <font>
      <sz val="11"/>
      <name val="Times New Roman"/>
      <family val="1"/>
      <charset val="204"/>
    </font>
    <font>
      <sz val="14"/>
      <name val="Times New Roman"/>
      <family val="1"/>
      <charset val="204"/>
    </font>
    <font>
      <sz val="14"/>
      <color theme="1"/>
      <name val="Calibri"/>
      <family val="2"/>
      <charset val="204"/>
      <scheme val="minor"/>
    </font>
    <font>
      <sz val="10"/>
      <color rgb="FF00B050"/>
      <name val="Times New Roman"/>
      <family val="1"/>
      <charset val="204"/>
    </font>
    <font>
      <sz val="12"/>
      <color rgb="FF00B050"/>
      <name val="Times New Roman"/>
      <family val="1"/>
      <charset val="204"/>
    </font>
    <font>
      <sz val="11"/>
      <color theme="1"/>
      <name val="Times New Roman"/>
      <family val="1"/>
      <charset val="204"/>
    </font>
    <font>
      <sz val="11"/>
      <color rgb="FF000000"/>
      <name val="Arial"/>
      <family val="2"/>
      <charset val="204"/>
    </font>
    <font>
      <sz val="11"/>
      <color rgb="FF000000"/>
      <name val="Arial"/>
      <family val="2"/>
      <charset val="204"/>
    </font>
    <font>
      <sz val="12"/>
      <color theme="1"/>
      <name val="Calibri"/>
      <family val="2"/>
      <charset val="204"/>
      <scheme val="minor"/>
    </font>
    <font>
      <b/>
      <sz val="16"/>
      <name val="Times New Roman"/>
      <family val="1"/>
      <charset val="204"/>
    </font>
    <font>
      <b/>
      <sz val="14"/>
      <color theme="1"/>
      <name val="Times New Roman"/>
      <family val="1"/>
      <charset val="204"/>
    </font>
    <font>
      <sz val="14"/>
      <color theme="1"/>
      <name val="Times New Roman"/>
      <family val="1"/>
      <charset val="204"/>
    </font>
    <font>
      <b/>
      <sz val="16"/>
      <color theme="1"/>
      <name val="Times New Roman"/>
      <family val="1"/>
      <charset val="204"/>
    </font>
    <font>
      <sz val="16"/>
      <name val="Times New Roman"/>
      <family val="1"/>
      <charset val="204"/>
    </font>
    <font>
      <sz val="14"/>
      <color rgb="FF000000"/>
      <name val="Times New Roman"/>
      <family val="1"/>
      <charset val="204"/>
    </font>
    <font>
      <sz val="14"/>
      <color theme="1"/>
      <name val="Calibri"/>
      <family val="2"/>
      <charset val="204"/>
    </font>
    <font>
      <sz val="14"/>
      <name val="Calibri"/>
      <family val="2"/>
      <charset val="204"/>
    </font>
    <font>
      <b/>
      <sz val="11"/>
      <color theme="1"/>
      <name val="Times New Roman"/>
      <family val="1"/>
      <charset val="204"/>
    </font>
    <font>
      <sz val="11"/>
      <name val="Arial Cyr"/>
      <charset val="204"/>
    </font>
    <font>
      <sz val="10"/>
      <name val="Times New Roman"/>
      <family val="1"/>
      <charset val="204"/>
    </font>
    <font>
      <sz val="10"/>
      <color rgb="FFFF0000"/>
      <name val="Times New Roman"/>
      <family val="1"/>
      <charset val="204"/>
    </font>
    <font>
      <sz val="9"/>
      <name val="Times New Roman"/>
      <family val="1"/>
      <charset val="204"/>
    </font>
    <font>
      <sz val="9"/>
      <color theme="1"/>
      <name val="Times New Roman"/>
      <family val="1"/>
      <charset val="204"/>
    </font>
    <font>
      <sz val="10"/>
      <color theme="1"/>
      <name val="Times New Roman"/>
      <family val="1"/>
      <charset val="204"/>
    </font>
    <font>
      <sz val="10"/>
      <color theme="1"/>
      <name val="Calibri"/>
      <family val="2"/>
      <charset val="204"/>
      <scheme val="minor"/>
    </font>
    <font>
      <b/>
      <sz val="11"/>
      <name val="Arial Cyr"/>
      <charset val="204"/>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3">
    <xf numFmtId="0" fontId="0" fillId="0" borderId="0"/>
    <xf numFmtId="0" fontId="8" fillId="0" borderId="0"/>
    <xf numFmtId="0" fontId="23" fillId="0" borderId="0"/>
    <xf numFmtId="0" fontId="7" fillId="0" borderId="0"/>
    <xf numFmtId="0" fontId="6" fillId="0" borderId="0"/>
    <xf numFmtId="0" fontId="24" fillId="0" borderId="0"/>
    <xf numFmtId="0" fontId="5" fillId="0" borderId="0"/>
    <xf numFmtId="0" fontId="4" fillId="0" borderId="0"/>
    <xf numFmtId="0" fontId="2" fillId="0" borderId="0"/>
    <xf numFmtId="0" fontId="2" fillId="0" borderId="0"/>
    <xf numFmtId="0" fontId="1" fillId="0" borderId="0"/>
    <xf numFmtId="0" fontId="1" fillId="0" borderId="0"/>
    <xf numFmtId="0" fontId="43" fillId="0" borderId="0"/>
  </cellStyleXfs>
  <cellXfs count="369">
    <xf numFmtId="0" fontId="0" fillId="0" borderId="0" xfId="0"/>
    <xf numFmtId="0" fontId="18" fillId="2" borderId="1" xfId="0" applyFont="1" applyFill="1" applyBorder="1" applyAlignment="1">
      <alignment vertical="top" wrapText="1"/>
    </xf>
    <xf numFmtId="0" fontId="28" fillId="2" borderId="1" xfId="0" applyNumberFormat="1" applyFont="1" applyFill="1" applyBorder="1" applyAlignment="1">
      <alignment horizontal="center" vertical="top" wrapText="1"/>
    </xf>
    <xf numFmtId="1" fontId="18" fillId="2" borderId="1" xfId="0" applyNumberFormat="1" applyFont="1" applyFill="1" applyBorder="1" applyAlignment="1">
      <alignment horizontal="center" vertical="top" wrapText="1"/>
    </xf>
    <xf numFmtId="0" fontId="28" fillId="0" borderId="1" xfId="0" applyNumberFormat="1" applyFont="1" applyBorder="1" applyAlignment="1">
      <alignment horizontal="center" vertical="top" wrapText="1"/>
    </xf>
    <xf numFmtId="0" fontId="32" fillId="2" borderId="1" xfId="0" applyNumberFormat="1" applyFont="1" applyFill="1" applyBorder="1" applyAlignment="1">
      <alignment horizontal="center" vertical="top" wrapText="1"/>
    </xf>
    <xf numFmtId="0" fontId="16" fillId="0" borderId="0" xfId="1" applyFont="1" applyFill="1"/>
    <xf numFmtId="0" fontId="17" fillId="0" borderId="0" xfId="1" applyFont="1" applyFill="1" applyBorder="1" applyAlignment="1"/>
    <xf numFmtId="0" fontId="9" fillId="0" borderId="0" xfId="1" applyFont="1" applyFill="1" applyBorder="1" applyAlignment="1"/>
    <xf numFmtId="0" fontId="11" fillId="0" borderId="0" xfId="1" applyFont="1" applyFill="1" applyBorder="1" applyAlignment="1">
      <alignment vertical="center" wrapText="1"/>
    </xf>
    <xf numFmtId="0" fontId="17" fillId="0" borderId="0" xfId="1" applyFont="1" applyFill="1"/>
    <xf numFmtId="0" fontId="11" fillId="0" borderId="0" xfId="1" applyFont="1" applyFill="1" applyBorder="1" applyAlignment="1">
      <alignment horizontal="right" vertical="center" wrapText="1"/>
    </xf>
    <xf numFmtId="0" fontId="19" fillId="0" borderId="0" xfId="1" applyFont="1" applyFill="1" applyBorder="1" applyAlignment="1">
      <alignment horizontal="center" vertical="top" wrapText="1"/>
    </xf>
    <xf numFmtId="0" fontId="11" fillId="0" borderId="0" xfId="1" applyFont="1" applyFill="1" applyAlignment="1">
      <alignment horizontal="center" vertical="top" wrapText="1"/>
    </xf>
    <xf numFmtId="0" fontId="12" fillId="0" borderId="1" xfId="1" applyFont="1" applyFill="1" applyBorder="1" applyAlignment="1">
      <alignment horizontal="center" vertical="top" wrapText="1"/>
    </xf>
    <xf numFmtId="0" fontId="16" fillId="0" borderId="18" xfId="1" applyFont="1" applyFill="1" applyBorder="1"/>
    <xf numFmtId="0" fontId="18" fillId="0" borderId="18" xfId="1" applyFont="1" applyFill="1" applyBorder="1" applyAlignment="1">
      <alignment horizontal="center"/>
    </xf>
    <xf numFmtId="0" fontId="8" fillId="0" borderId="0" xfId="1" applyFill="1"/>
    <xf numFmtId="0" fontId="22" fillId="0" borderId="0" xfId="1" applyFont="1" applyFill="1" applyAlignment="1">
      <alignment horizontal="justify" vertical="center"/>
    </xf>
    <xf numFmtId="0" fontId="14" fillId="0" borderId="0" xfId="1" applyFont="1" applyFill="1" applyAlignment="1">
      <alignment horizontal="justify" vertical="center"/>
    </xf>
    <xf numFmtId="0" fontId="17" fillId="0" borderId="1" xfId="1" applyFont="1" applyFill="1" applyBorder="1" applyAlignment="1">
      <alignment vertical="top" wrapText="1"/>
    </xf>
    <xf numFmtId="0" fontId="22" fillId="0" borderId="1" xfId="1" applyFont="1" applyFill="1" applyBorder="1" applyAlignment="1">
      <alignment vertical="top" wrapText="1"/>
    </xf>
    <xf numFmtId="0" fontId="17" fillId="0" borderId="1" xfId="1" applyFont="1" applyFill="1" applyBorder="1" applyAlignment="1">
      <alignment horizontal="left" vertical="top"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0" fontId="17" fillId="0" borderId="1" xfId="0" applyFont="1" applyFill="1" applyBorder="1" applyAlignment="1">
      <alignment wrapText="1"/>
    </xf>
    <xf numFmtId="0" fontId="17" fillId="0" borderId="1" xfId="1" applyFont="1" applyFill="1" applyBorder="1" applyAlignment="1">
      <alignment horizontal="center" vertical="top" wrapText="1"/>
    </xf>
    <xf numFmtId="0" fontId="17" fillId="0" borderId="1" xfId="1" applyFont="1" applyFill="1" applyBorder="1" applyAlignment="1">
      <alignment horizontal="center" vertical="center" wrapText="1"/>
    </xf>
    <xf numFmtId="0" fontId="10" fillId="0" borderId="1" xfId="1" applyFont="1" applyFill="1" applyBorder="1" applyAlignment="1">
      <alignment vertical="top" wrapText="1"/>
    </xf>
    <xf numFmtId="167" fontId="10" fillId="0" borderId="1" xfId="1" applyNumberFormat="1" applyFont="1" applyFill="1" applyBorder="1" applyAlignment="1">
      <alignment vertical="top" wrapText="1"/>
    </xf>
    <xf numFmtId="165" fontId="10" fillId="0" borderId="1" xfId="1" applyNumberFormat="1" applyFont="1" applyFill="1" applyBorder="1" applyAlignment="1">
      <alignment vertical="top" wrapText="1"/>
    </xf>
    <xf numFmtId="165" fontId="17" fillId="0" borderId="1" xfId="1" applyNumberFormat="1" applyFont="1" applyFill="1" applyBorder="1" applyAlignment="1">
      <alignment vertical="top" wrapText="1"/>
    </xf>
    <xf numFmtId="167" fontId="17" fillId="0" borderId="1" xfId="1" applyNumberFormat="1" applyFont="1" applyFill="1" applyBorder="1" applyAlignment="1">
      <alignment vertical="top" wrapText="1"/>
    </xf>
    <xf numFmtId="165" fontId="17" fillId="0" borderId="1" xfId="1" applyNumberFormat="1" applyFont="1" applyFill="1" applyBorder="1" applyAlignment="1">
      <alignment horizontal="center" vertical="center" wrapText="1"/>
    </xf>
    <xf numFmtId="167" fontId="22" fillId="0" borderId="1" xfId="1" applyNumberFormat="1" applyFont="1" applyFill="1" applyBorder="1" applyAlignment="1">
      <alignment vertical="top" wrapText="1"/>
    </xf>
    <xf numFmtId="167" fontId="34" fillId="0" borderId="1" xfId="1" applyNumberFormat="1" applyFont="1" applyFill="1" applyBorder="1" applyAlignment="1">
      <alignment vertical="top" wrapText="1"/>
    </xf>
    <xf numFmtId="165" fontId="22" fillId="0" borderId="1" xfId="1" applyNumberFormat="1" applyFont="1" applyFill="1" applyBorder="1" applyAlignment="1">
      <alignment horizontal="center" vertical="center" wrapText="1"/>
    </xf>
    <xf numFmtId="0" fontId="22" fillId="0" borderId="1" xfId="1" applyFont="1" applyFill="1" applyBorder="1" applyAlignment="1">
      <alignment horizontal="center" vertical="top" wrapText="1"/>
    </xf>
    <xf numFmtId="167" fontId="10" fillId="0" borderId="1" xfId="0" applyNumberFormat="1" applyFont="1" applyFill="1" applyBorder="1" applyAlignment="1">
      <alignment vertical="top" wrapText="1"/>
    </xf>
    <xf numFmtId="167" fontId="17" fillId="0" borderId="1" xfId="0" applyNumberFormat="1" applyFont="1" applyFill="1" applyBorder="1" applyAlignment="1">
      <alignment vertical="top" wrapText="1"/>
    </xf>
    <xf numFmtId="0" fontId="17" fillId="0" borderId="1" xfId="0" applyFont="1" applyFill="1" applyBorder="1" applyAlignment="1">
      <alignment horizontal="center" vertical="center" wrapText="1"/>
    </xf>
    <xf numFmtId="167" fontId="17" fillId="0" borderId="1" xfId="0" applyNumberFormat="1" applyFont="1" applyFill="1" applyBorder="1" applyAlignment="1">
      <alignment horizontal="right" vertical="center" wrapText="1"/>
    </xf>
    <xf numFmtId="167" fontId="10" fillId="0" borderId="1" xfId="0" applyNumberFormat="1" applyFont="1" applyFill="1" applyBorder="1" applyAlignment="1">
      <alignment horizontal="right" vertical="center" wrapText="1"/>
    </xf>
    <xf numFmtId="167" fontId="17" fillId="0" borderId="1" xfId="0" applyNumberFormat="1" applyFont="1" applyFill="1" applyBorder="1" applyAlignment="1">
      <alignment vertical="center" wrapText="1"/>
    </xf>
    <xf numFmtId="167" fontId="17" fillId="0" borderId="1" xfId="0" applyNumberFormat="1" applyFont="1" applyFill="1" applyBorder="1" applyAlignment="1">
      <alignment horizontal="center" vertical="center" wrapText="1"/>
    </xf>
    <xf numFmtId="16" fontId="17" fillId="0" borderId="1" xfId="0" applyNumberFormat="1" applyFont="1" applyFill="1" applyBorder="1" applyAlignment="1">
      <alignment horizontal="center" vertical="top" wrapText="1"/>
    </xf>
    <xf numFmtId="165" fontId="17" fillId="0" borderId="1" xfId="0" applyNumberFormat="1" applyFont="1" applyFill="1" applyBorder="1" applyAlignment="1">
      <alignment horizontal="center" vertical="top" wrapText="1"/>
    </xf>
    <xf numFmtId="16" fontId="17" fillId="0" borderId="2" xfId="0" applyNumberFormat="1" applyFont="1" applyFill="1" applyBorder="1" applyAlignment="1">
      <alignment horizontal="center" vertical="top" wrapText="1"/>
    </xf>
    <xf numFmtId="167" fontId="17" fillId="0" borderId="2" xfId="0" applyNumberFormat="1" applyFont="1" applyFill="1" applyBorder="1" applyAlignment="1">
      <alignment vertical="top" wrapText="1"/>
    </xf>
    <xf numFmtId="167" fontId="10" fillId="0" borderId="2" xfId="0" applyNumberFormat="1" applyFont="1" applyFill="1" applyBorder="1" applyAlignment="1">
      <alignment vertical="top" wrapText="1"/>
    </xf>
    <xf numFmtId="165" fontId="17" fillId="0" borderId="2" xfId="0" applyNumberFormat="1" applyFont="1" applyFill="1" applyBorder="1" applyAlignment="1">
      <alignment horizontal="center" vertical="top" wrapText="1"/>
    </xf>
    <xf numFmtId="167" fontId="10" fillId="0" borderId="1" xfId="1" applyNumberFormat="1"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0" borderId="1" xfId="0" applyFont="1" applyFill="1" applyBorder="1" applyAlignment="1">
      <alignment vertical="top" wrapText="1"/>
    </xf>
    <xf numFmtId="165" fontId="10" fillId="0" borderId="2" xfId="1" applyNumberFormat="1" applyFont="1" applyFill="1" applyBorder="1" applyAlignment="1">
      <alignment vertical="top" wrapText="1"/>
    </xf>
    <xf numFmtId="0" fontId="36" fillId="0" borderId="1" xfId="0" applyFont="1" applyFill="1" applyBorder="1" applyAlignment="1">
      <alignment horizontal="left" vertical="top" wrapText="1"/>
    </xf>
    <xf numFmtId="167" fontId="17" fillId="2" borderId="1" xfId="1" applyNumberFormat="1" applyFont="1" applyFill="1" applyBorder="1" applyAlignment="1">
      <alignment vertical="top" wrapText="1"/>
    </xf>
    <xf numFmtId="167" fontId="17" fillId="2" borderId="1" xfId="0" applyNumberFormat="1" applyFont="1" applyFill="1" applyBorder="1" applyAlignment="1">
      <alignment vertical="top" wrapText="1"/>
    </xf>
    <xf numFmtId="167" fontId="22" fillId="2" borderId="1" xfId="1" applyNumberFormat="1" applyFont="1" applyFill="1" applyBorder="1" applyAlignment="1">
      <alignment vertical="top" wrapText="1"/>
    </xf>
    <xf numFmtId="167" fontId="17" fillId="2" borderId="1" xfId="0" applyNumberFormat="1" applyFont="1" applyFill="1" applyBorder="1" applyAlignment="1">
      <alignment horizontal="center" vertical="center" wrapText="1"/>
    </xf>
    <xf numFmtId="0" fontId="34" fillId="2" borderId="1" xfId="1" applyFont="1" applyFill="1" applyBorder="1" applyAlignment="1">
      <alignment vertical="top" wrapText="1"/>
    </xf>
    <xf numFmtId="167" fontId="34" fillId="2" borderId="1" xfId="1" applyNumberFormat="1" applyFont="1" applyFill="1" applyBorder="1" applyAlignment="1">
      <alignment vertical="top" wrapText="1"/>
    </xf>
    <xf numFmtId="167" fontId="34" fillId="2" borderId="2" xfId="1" applyNumberFormat="1" applyFont="1" applyFill="1" applyBorder="1" applyAlignment="1">
      <alignment vertical="top" wrapText="1"/>
    </xf>
    <xf numFmtId="0" fontId="10" fillId="2" borderId="2" xfId="1" applyFont="1" applyFill="1" applyBorder="1" applyAlignment="1">
      <alignment vertical="top" wrapText="1"/>
    </xf>
    <xf numFmtId="0" fontId="22" fillId="2" borderId="1" xfId="1" applyFont="1" applyFill="1" applyBorder="1" applyAlignment="1">
      <alignment horizontal="left" vertical="top" wrapText="1"/>
    </xf>
    <xf numFmtId="167" fontId="22" fillId="2" borderId="1" xfId="1" applyNumberFormat="1" applyFont="1" applyFill="1" applyBorder="1" applyAlignment="1">
      <alignment horizontal="center" vertical="top" wrapText="1"/>
    </xf>
    <xf numFmtId="0" fontId="22" fillId="2" borderId="1" xfId="1" applyFont="1" applyFill="1" applyBorder="1" applyAlignment="1">
      <alignment vertical="top" wrapText="1"/>
    </xf>
    <xf numFmtId="0" fontId="39" fillId="2" borderId="1" xfId="1" applyFont="1" applyFill="1" applyBorder="1" applyAlignment="1">
      <alignment horizontal="left" vertical="top" wrapText="1"/>
    </xf>
    <xf numFmtId="16" fontId="17" fillId="2" borderId="2" xfId="1" applyNumberFormat="1" applyFont="1" applyFill="1" applyBorder="1" applyAlignment="1">
      <alignment horizontal="center" vertical="top" wrapText="1"/>
    </xf>
    <xf numFmtId="0" fontId="17" fillId="2" borderId="2" xfId="1" applyFont="1" applyFill="1" applyBorder="1" applyAlignment="1">
      <alignment horizontal="left" vertical="top" wrapText="1"/>
    </xf>
    <xf numFmtId="0" fontId="34" fillId="2" borderId="1" xfId="0" applyFont="1" applyFill="1" applyBorder="1" applyAlignment="1">
      <alignment vertical="top" wrapText="1"/>
    </xf>
    <xf numFmtId="0" fontId="17" fillId="2" borderId="1" xfId="0" applyFont="1" applyFill="1" applyBorder="1" applyAlignment="1">
      <alignment vertical="top" wrapText="1"/>
    </xf>
    <xf numFmtId="0" fontId="22" fillId="2" borderId="1" xfId="0" applyFont="1" applyFill="1" applyBorder="1" applyAlignment="1">
      <alignment vertical="top" wrapText="1"/>
    </xf>
    <xf numFmtId="167" fontId="34" fillId="2" borderId="1" xfId="0" applyNumberFormat="1" applyFont="1" applyFill="1" applyBorder="1" applyAlignment="1">
      <alignment vertical="top" wrapText="1"/>
    </xf>
    <xf numFmtId="167" fontId="10" fillId="2" borderId="1" xfId="0" applyNumberFormat="1" applyFont="1" applyFill="1" applyBorder="1" applyAlignment="1">
      <alignment vertical="top" wrapText="1"/>
    </xf>
    <xf numFmtId="167" fontId="10" fillId="2" borderId="1" xfId="1" applyNumberFormat="1" applyFont="1" applyFill="1" applyBorder="1" applyAlignment="1">
      <alignment vertical="top" wrapText="1"/>
    </xf>
    <xf numFmtId="0" fontId="36" fillId="2" borderId="1" xfId="0" applyFont="1" applyFill="1" applyBorder="1" applyAlignment="1">
      <alignment horizontal="left" vertical="center" wrapText="1"/>
    </xf>
    <xf numFmtId="0" fontId="17" fillId="2" borderId="1" xfId="0" applyFont="1" applyFill="1" applyBorder="1" applyAlignment="1">
      <alignment vertical="center" wrapText="1"/>
    </xf>
    <xf numFmtId="0" fontId="37" fillId="2" borderId="1" xfId="0" applyFont="1" applyFill="1" applyBorder="1" applyAlignment="1">
      <alignment horizontal="left" vertical="top" wrapText="1"/>
    </xf>
    <xf numFmtId="0" fontId="36" fillId="2" borderId="1" xfId="0" applyFont="1" applyFill="1" applyBorder="1" applyAlignment="1">
      <alignment horizontal="left" vertical="top" wrapText="1"/>
    </xf>
    <xf numFmtId="0" fontId="36" fillId="0" borderId="1" xfId="1" applyFont="1" applyFill="1" applyBorder="1" applyAlignment="1">
      <alignment vertical="top" wrapText="1"/>
    </xf>
    <xf numFmtId="0" fontId="40" fillId="0" borderId="1" xfId="1" applyFont="1" applyFill="1" applyBorder="1" applyAlignment="1">
      <alignment vertical="top" wrapText="1"/>
    </xf>
    <xf numFmtId="0" fontId="36" fillId="0" borderId="2" xfId="1" applyFont="1" applyFill="1" applyBorder="1" applyAlignment="1">
      <alignment horizontal="left" vertical="top" wrapText="1"/>
    </xf>
    <xf numFmtId="0" fontId="36" fillId="0" borderId="1" xfId="0" applyFont="1" applyFill="1" applyBorder="1" applyAlignment="1">
      <alignment vertical="top" wrapText="1"/>
    </xf>
    <xf numFmtId="0" fontId="36" fillId="0" borderId="2" xfId="0" applyFont="1" applyFill="1" applyBorder="1" applyAlignment="1">
      <alignment vertical="top" wrapText="1"/>
    </xf>
    <xf numFmtId="2" fontId="36" fillId="0" borderId="1" xfId="0" applyNumberFormat="1" applyFont="1" applyFill="1" applyBorder="1" applyAlignment="1">
      <alignment wrapText="1"/>
    </xf>
    <xf numFmtId="0" fontId="36" fillId="0" borderId="1" xfId="0" applyFont="1" applyFill="1" applyBorder="1" applyAlignment="1">
      <alignment wrapText="1"/>
    </xf>
    <xf numFmtId="0" fontId="34" fillId="2" borderId="1" xfId="1" applyFont="1" applyFill="1" applyBorder="1" applyAlignment="1">
      <alignment horizontal="left" vertical="top" wrapText="1"/>
    </xf>
    <xf numFmtId="167" fontId="34" fillId="2" borderId="1" xfId="0" applyNumberFormat="1" applyFont="1" applyFill="1" applyBorder="1" applyAlignment="1">
      <alignment horizontal="center" vertical="center" wrapText="1"/>
    </xf>
    <xf numFmtId="167" fontId="22" fillId="2" borderId="1" xfId="0" applyNumberFormat="1" applyFont="1" applyFill="1" applyBorder="1" applyAlignment="1">
      <alignment horizontal="center" vertical="top" wrapText="1"/>
    </xf>
    <xf numFmtId="167" fontId="8" fillId="0" borderId="0" xfId="1" applyNumberFormat="1" applyFill="1"/>
    <xf numFmtId="167" fontId="16" fillId="0" borderId="0" xfId="1" applyNumberFormat="1" applyFont="1" applyFill="1"/>
    <xf numFmtId="2" fontId="16" fillId="0" borderId="0" xfId="1" applyNumberFormat="1" applyFont="1" applyFill="1"/>
    <xf numFmtId="0" fontId="10" fillId="2" borderId="1" xfId="0" applyFont="1" applyFill="1" applyBorder="1" applyAlignment="1">
      <alignment vertical="top" wrapText="1"/>
    </xf>
    <xf numFmtId="0" fontId="17" fillId="2" borderId="1" xfId="1" applyFont="1" applyFill="1" applyBorder="1" applyAlignment="1">
      <alignment horizontal="left" vertical="top" wrapText="1"/>
    </xf>
    <xf numFmtId="0" fontId="36" fillId="0" borderId="1" xfId="0" applyFont="1" applyFill="1" applyBorder="1" applyAlignment="1">
      <alignment horizontal="left" vertical="center" wrapText="1"/>
    </xf>
    <xf numFmtId="167" fontId="17" fillId="2" borderId="1" xfId="0" applyNumberFormat="1" applyFont="1" applyFill="1" applyBorder="1" applyAlignment="1">
      <alignment horizontal="right" vertical="center" wrapText="1"/>
    </xf>
    <xf numFmtId="0" fontId="10" fillId="2" borderId="1" xfId="1" applyFont="1" applyFill="1" applyBorder="1" applyAlignment="1">
      <alignment vertical="top" wrapText="1"/>
    </xf>
    <xf numFmtId="0" fontId="10" fillId="2" borderId="1" xfId="1" applyFont="1" applyFill="1" applyBorder="1" applyAlignment="1">
      <alignment horizontal="left" vertical="top" wrapText="1"/>
    </xf>
    <xf numFmtId="0" fontId="17" fillId="2" borderId="1" xfId="1" applyFont="1" applyFill="1" applyBorder="1" applyAlignment="1">
      <alignment vertical="top" wrapText="1"/>
    </xf>
    <xf numFmtId="0" fontId="38" fillId="2" borderId="1" xfId="1" applyFont="1" applyFill="1" applyBorder="1" applyAlignment="1">
      <alignment vertical="top" wrapText="1"/>
    </xf>
    <xf numFmtId="0" fontId="17" fillId="2" borderId="2" xfId="0" applyFont="1" applyFill="1" applyBorder="1" applyAlignment="1">
      <alignment vertical="top" wrapText="1"/>
    </xf>
    <xf numFmtId="0" fontId="17" fillId="2" borderId="2" xfId="0" applyFont="1" applyFill="1" applyBorder="1" applyAlignment="1">
      <alignment horizontal="center" vertical="top" wrapText="1"/>
    </xf>
    <xf numFmtId="0" fontId="17" fillId="2" borderId="2" xfId="0" applyFont="1" applyFill="1" applyBorder="1" applyAlignment="1">
      <alignment horizontal="left" vertical="top" wrapText="1"/>
    </xf>
    <xf numFmtId="165" fontId="22" fillId="2" borderId="2" xfId="1" applyNumberFormat="1" applyFont="1" applyFill="1" applyBorder="1" applyAlignment="1">
      <alignment horizontal="center" vertical="top" wrapText="1"/>
    </xf>
    <xf numFmtId="0" fontId="17" fillId="2" borderId="4" xfId="0" applyFont="1" applyFill="1" applyBorder="1" applyAlignment="1">
      <alignment horizontal="left" vertical="top" wrapText="1"/>
    </xf>
    <xf numFmtId="165" fontId="22" fillId="2" borderId="2" xfId="1" applyNumberFormat="1" applyFont="1" applyFill="1" applyBorder="1" applyAlignment="1">
      <alignment horizontal="center" vertical="center" wrapText="1"/>
    </xf>
    <xf numFmtId="0" fontId="17" fillId="2" borderId="4" xfId="0" applyNumberFormat="1" applyFont="1" applyFill="1" applyBorder="1" applyAlignment="1">
      <alignment horizontal="center" vertical="top" wrapText="1"/>
    </xf>
    <xf numFmtId="165" fontId="22" fillId="2" borderId="3" xfId="1" applyNumberFormat="1" applyFont="1" applyFill="1" applyBorder="1" applyAlignment="1">
      <alignment vertical="center" wrapText="1"/>
    </xf>
    <xf numFmtId="0" fontId="17" fillId="2" borderId="1" xfId="1" applyFont="1" applyFill="1" applyBorder="1" applyAlignment="1">
      <alignment horizontal="left" vertical="top" wrapText="1"/>
    </xf>
    <xf numFmtId="165" fontId="22" fillId="0" borderId="2" xfId="1" applyNumberFormat="1" applyFont="1" applyFill="1" applyBorder="1" applyAlignment="1">
      <alignment horizontal="center" vertical="center" wrapText="1"/>
    </xf>
    <xf numFmtId="0" fontId="10" fillId="2" borderId="1" xfId="0" applyFont="1" applyFill="1" applyBorder="1" applyAlignment="1">
      <alignment vertical="top" wrapText="1"/>
    </xf>
    <xf numFmtId="0" fontId="16" fillId="0" borderId="0" xfId="10" applyFont="1"/>
    <xf numFmtId="0" fontId="11" fillId="0" borderId="0" xfId="10" applyFont="1" applyAlignment="1">
      <alignment horizontal="right" vertical="top" wrapText="1"/>
    </xf>
    <xf numFmtId="0" fontId="25" fillId="0" borderId="0" xfId="10" applyFont="1" applyAlignment="1">
      <alignment horizontal="right" vertical="top"/>
    </xf>
    <xf numFmtId="0" fontId="12" fillId="0" borderId="1" xfId="10" applyFont="1" applyBorder="1" applyAlignment="1">
      <alignment horizontal="center" vertical="top" wrapText="1"/>
    </xf>
    <xf numFmtId="0" fontId="12" fillId="0" borderId="1" xfId="10" applyFont="1" applyFill="1" applyBorder="1" applyAlignment="1">
      <alignment horizontal="center" vertical="top" wrapText="1"/>
    </xf>
    <xf numFmtId="0" fontId="12" fillId="0" borderId="14" xfId="10" applyFont="1" applyBorder="1" applyAlignment="1">
      <alignment horizontal="center" vertical="top" wrapText="1"/>
    </xf>
    <xf numFmtId="0" fontId="11" fillId="0" borderId="1" xfId="10" applyFont="1" applyBorder="1" applyAlignment="1">
      <alignment horizontal="center" vertical="center" wrapText="1"/>
    </xf>
    <xf numFmtId="0" fontId="18" fillId="2" borderId="1" xfId="10" applyFont="1" applyFill="1" applyBorder="1" applyAlignment="1">
      <alignment vertical="center" wrapText="1"/>
    </xf>
    <xf numFmtId="3" fontId="18" fillId="2" borderId="1" xfId="10" applyNumberFormat="1" applyFont="1" applyFill="1" applyBorder="1" applyAlignment="1">
      <alignment horizontal="center" vertical="center" wrapText="1"/>
    </xf>
    <xf numFmtId="0" fontId="18" fillId="2" borderId="1" xfId="10" applyFont="1" applyFill="1" applyBorder="1" applyAlignment="1">
      <alignment horizontal="left" vertical="top" wrapText="1"/>
    </xf>
    <xf numFmtId="0" fontId="18" fillId="2" borderId="1" xfId="10" applyFont="1" applyFill="1" applyBorder="1" applyAlignment="1">
      <alignment vertical="top" wrapText="1"/>
    </xf>
    <xf numFmtId="0" fontId="18" fillId="2" borderId="1" xfId="10" applyNumberFormat="1" applyFont="1" applyFill="1" applyBorder="1" applyAlignment="1">
      <alignment horizontal="center" vertical="top" wrapText="1"/>
    </xf>
    <xf numFmtId="3" fontId="18" fillId="2" borderId="1" xfId="10" applyNumberFormat="1" applyFont="1" applyFill="1" applyBorder="1" applyAlignment="1">
      <alignment horizontal="center" vertical="top" wrapText="1"/>
    </xf>
    <xf numFmtId="49" fontId="18" fillId="2" borderId="1" xfId="10" applyNumberFormat="1" applyFont="1" applyFill="1" applyBorder="1" applyAlignment="1">
      <alignment horizontal="center" vertical="top" wrapText="1"/>
    </xf>
    <xf numFmtId="49" fontId="28" fillId="2" borderId="1" xfId="0" applyNumberFormat="1" applyFont="1" applyFill="1" applyBorder="1" applyAlignment="1">
      <alignment horizontal="center" vertical="top" wrapText="1"/>
    </xf>
    <xf numFmtId="0" fontId="28" fillId="2" borderId="1" xfId="10" applyFont="1" applyFill="1" applyBorder="1" applyAlignment="1">
      <alignment horizontal="center" vertical="top" wrapText="1"/>
    </xf>
    <xf numFmtId="0" fontId="18" fillId="2" borderId="1" xfId="11" applyFont="1" applyFill="1" applyBorder="1" applyAlignment="1">
      <alignment horizontal="left" vertical="top" wrapText="1"/>
    </xf>
    <xf numFmtId="0" fontId="28" fillId="2" borderId="1" xfId="11" applyFont="1" applyFill="1" applyBorder="1" applyAlignment="1">
      <alignment vertical="top" wrapText="1"/>
    </xf>
    <xf numFmtId="0" fontId="28" fillId="2" borderId="1" xfId="11" applyFont="1" applyFill="1" applyBorder="1" applyAlignment="1">
      <alignment horizontal="center" vertical="top" wrapText="1"/>
    </xf>
    <xf numFmtId="49" fontId="28" fillId="2" borderId="1" xfId="11" applyNumberFormat="1" applyFont="1" applyFill="1" applyBorder="1" applyAlignment="1">
      <alignment horizontal="center" vertical="top" wrapText="1"/>
    </xf>
    <xf numFmtId="0" fontId="28" fillId="2" borderId="1" xfId="11" applyNumberFormat="1" applyFont="1" applyFill="1" applyBorder="1" applyAlignment="1">
      <alignment horizontal="center" vertical="top" wrapText="1"/>
    </xf>
    <xf numFmtId="0" fontId="18" fillId="2" borderId="1" xfId="10" applyNumberFormat="1" applyFont="1" applyFill="1" applyBorder="1" applyAlignment="1">
      <alignment horizontal="center" vertical="top"/>
    </xf>
    <xf numFmtId="1" fontId="18" fillId="2" borderId="14" xfId="0" applyNumberFormat="1" applyFont="1" applyFill="1" applyBorder="1" applyAlignment="1">
      <alignment horizontal="center" vertical="top" wrapText="1"/>
    </xf>
    <xf numFmtId="0" fontId="28" fillId="2" borderId="1" xfId="10" applyFont="1" applyFill="1" applyBorder="1" applyAlignment="1">
      <alignment vertical="top" wrapText="1"/>
    </xf>
    <xf numFmtId="0" fontId="32" fillId="2" borderId="1" xfId="11" applyFont="1" applyFill="1" applyBorder="1" applyAlignment="1">
      <alignment horizontal="center" vertical="top" wrapText="1"/>
    </xf>
    <xf numFmtId="2" fontId="18" fillId="2" borderId="1" xfId="10" applyNumberFormat="1" applyFont="1" applyFill="1" applyBorder="1" applyAlignment="1">
      <alignment horizontal="center" vertical="top" wrapText="1"/>
    </xf>
    <xf numFmtId="0" fontId="18" fillId="2" borderId="1" xfId="10" applyFont="1" applyFill="1" applyBorder="1" applyAlignment="1">
      <alignment horizontal="center" vertical="top" wrapText="1"/>
    </xf>
    <xf numFmtId="0" fontId="16" fillId="0" borderId="0" xfId="10" applyFont="1" applyAlignment="1">
      <alignment vertical="top"/>
    </xf>
    <xf numFmtId="3" fontId="28" fillId="2" borderId="1" xfId="10" applyNumberFormat="1" applyFont="1" applyFill="1" applyBorder="1" applyAlignment="1">
      <alignment horizontal="center" vertical="top" wrapText="1"/>
    </xf>
    <xf numFmtId="0" fontId="18" fillId="2" borderId="1" xfId="11" applyFont="1" applyFill="1" applyBorder="1" applyAlignment="1">
      <alignment vertical="top" wrapText="1"/>
    </xf>
    <xf numFmtId="0" fontId="33" fillId="2" borderId="1" xfId="11" applyFont="1" applyFill="1" applyBorder="1" applyAlignment="1">
      <alignment horizontal="center" vertical="top" wrapText="1"/>
    </xf>
    <xf numFmtId="3" fontId="18" fillId="2" borderId="1" xfId="11" applyNumberFormat="1" applyFont="1" applyFill="1" applyBorder="1" applyAlignment="1">
      <alignment horizontal="center" vertical="top" wrapText="1"/>
    </xf>
    <xf numFmtId="0" fontId="18" fillId="0" borderId="0" xfId="10" applyFont="1" applyAlignment="1">
      <alignment vertical="top" wrapText="1"/>
    </xf>
    <xf numFmtId="166" fontId="13" fillId="2" borderId="2" xfId="10" applyNumberFormat="1" applyFont="1" applyFill="1" applyBorder="1" applyAlignment="1">
      <alignment horizontal="center" vertical="top" wrapText="1"/>
    </xf>
    <xf numFmtId="0" fontId="18" fillId="2" borderId="1" xfId="10" applyFont="1" applyFill="1" applyBorder="1" applyAlignment="1">
      <alignment horizontal="center" vertical="center" wrapText="1"/>
    </xf>
    <xf numFmtId="0" fontId="28" fillId="2" borderId="1" xfId="10" applyFont="1" applyFill="1" applyBorder="1" applyAlignment="1">
      <alignment horizontal="left" vertical="top" wrapText="1"/>
    </xf>
    <xf numFmtId="1" fontId="18" fillId="2" borderId="1" xfId="10" applyNumberFormat="1" applyFont="1" applyFill="1" applyBorder="1" applyAlignment="1">
      <alignment horizontal="center" vertical="top" wrapText="1"/>
    </xf>
    <xf numFmtId="1" fontId="28" fillId="2" borderId="1" xfId="10" applyNumberFormat="1" applyFont="1" applyFill="1" applyBorder="1" applyAlignment="1">
      <alignment horizontal="center" vertical="top" wrapText="1"/>
    </xf>
    <xf numFmtId="166" fontId="16" fillId="0" borderId="0" xfId="10" applyNumberFormat="1" applyFont="1"/>
    <xf numFmtId="0" fontId="18" fillId="2" borderId="15" xfId="10" applyFont="1" applyFill="1" applyBorder="1" applyAlignment="1">
      <alignment vertical="top" wrapText="1"/>
    </xf>
    <xf numFmtId="0" fontId="30" fillId="0" borderId="16" xfId="10" applyFont="1" applyBorder="1" applyAlignment="1">
      <alignment vertical="center"/>
    </xf>
    <xf numFmtId="167" fontId="10" fillId="0" borderId="1" xfId="0" applyNumberFormat="1" applyFont="1" applyFill="1" applyBorder="1" applyAlignment="1">
      <alignment horizontal="center" vertical="center" wrapText="1"/>
    </xf>
    <xf numFmtId="167" fontId="10" fillId="0" borderId="1" xfId="0" applyNumberFormat="1" applyFont="1" applyFill="1" applyBorder="1" applyAlignment="1">
      <alignment horizontal="right" vertical="top" wrapText="1"/>
    </xf>
    <xf numFmtId="0" fontId="18" fillId="2" borderId="1" xfId="10" applyFont="1" applyFill="1" applyBorder="1" applyAlignment="1">
      <alignment horizontal="center" vertical="top" wrapText="1"/>
    </xf>
    <xf numFmtId="167" fontId="17" fillId="0" borderId="1" xfId="1" applyNumberFormat="1" applyFont="1" applyFill="1" applyBorder="1" applyAlignment="1">
      <alignment horizontal="center" vertical="center" wrapText="1"/>
    </xf>
    <xf numFmtId="167" fontId="10" fillId="0" borderId="1" xfId="0" applyNumberFormat="1" applyFont="1" applyFill="1" applyBorder="1" applyAlignment="1">
      <alignment vertical="center" wrapText="1"/>
    </xf>
    <xf numFmtId="0" fontId="28" fillId="3" borderId="0" xfId="10" applyFont="1" applyFill="1" applyBorder="1" applyAlignment="1">
      <alignment horizontal="left" vertical="top" wrapText="1"/>
    </xf>
    <xf numFmtId="0" fontId="28" fillId="2" borderId="1" xfId="8" applyFont="1" applyFill="1" applyBorder="1" applyAlignment="1">
      <alignment horizontal="left" vertical="top" wrapText="1"/>
    </xf>
    <xf numFmtId="0" fontId="28" fillId="2" borderId="1" xfId="8" applyFont="1" applyFill="1" applyBorder="1" applyAlignment="1">
      <alignment vertical="top" wrapText="1"/>
    </xf>
    <xf numFmtId="0" fontId="18" fillId="2" borderId="1" xfId="8" applyFont="1" applyFill="1" applyBorder="1" applyAlignment="1">
      <alignment horizontal="center" vertical="top" wrapText="1"/>
    </xf>
    <xf numFmtId="0" fontId="28" fillId="2" borderId="1" xfId="8" applyFont="1" applyFill="1" applyBorder="1" applyAlignment="1">
      <alignment horizontal="center" vertical="top" wrapText="1"/>
    </xf>
    <xf numFmtId="49" fontId="28" fillId="2" borderId="1" xfId="10" applyNumberFormat="1" applyFont="1" applyFill="1" applyBorder="1" applyAlignment="1">
      <alignment horizontal="center" vertical="top" wrapText="1"/>
    </xf>
    <xf numFmtId="0" fontId="17" fillId="2" borderId="2"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20" fillId="0" borderId="19" xfId="0" applyNumberFormat="1" applyFont="1" applyFill="1" applyBorder="1" applyAlignment="1">
      <alignment horizontal="center" vertical="top" wrapText="1"/>
    </xf>
    <xf numFmtId="0" fontId="20" fillId="0" borderId="17"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36" fillId="2" borderId="1" xfId="0" applyFont="1" applyFill="1" applyBorder="1" applyAlignment="1">
      <alignment horizontal="center" vertical="top" wrapText="1"/>
    </xf>
    <xf numFmtId="165" fontId="17" fillId="0" borderId="2" xfId="1" applyNumberFormat="1" applyFont="1" applyFill="1" applyBorder="1" applyAlignment="1">
      <alignment horizontal="center" vertical="center" wrapText="1"/>
    </xf>
    <xf numFmtId="0" fontId="36" fillId="0" borderId="2" xfId="1" applyFont="1" applyFill="1" applyBorder="1" applyAlignment="1">
      <alignment horizontal="left" vertical="top" wrapText="1"/>
    </xf>
    <xf numFmtId="0" fontId="17" fillId="2" borderId="1" xfId="1" applyFont="1" applyFill="1" applyBorder="1" applyAlignment="1">
      <alignment horizontal="left" vertical="top" wrapText="1"/>
    </xf>
    <xf numFmtId="167" fontId="34" fillId="2" borderId="1" xfId="0" applyNumberFormat="1" applyFont="1" applyFill="1" applyBorder="1" applyAlignment="1">
      <alignment horizontal="right" vertical="center" wrapText="1"/>
    </xf>
    <xf numFmtId="167" fontId="22" fillId="2" borderId="1" xfId="0" applyNumberFormat="1" applyFont="1" applyFill="1" applyBorder="1" applyAlignment="1">
      <alignment horizontal="right" vertical="top" wrapText="1"/>
    </xf>
    <xf numFmtId="0" fontId="20" fillId="0" borderId="20" xfId="0" applyNumberFormat="1" applyFont="1" applyFill="1" applyBorder="1" applyAlignment="1">
      <alignment horizontal="center" vertical="top" wrapText="1"/>
    </xf>
    <xf numFmtId="0" fontId="18" fillId="0" borderId="23" xfId="1" applyFont="1" applyFill="1" applyBorder="1" applyAlignment="1">
      <alignment horizontal="center"/>
    </xf>
    <xf numFmtId="167" fontId="13" fillId="2" borderId="1" xfId="10" applyNumberFormat="1" applyFont="1" applyFill="1" applyBorder="1" applyAlignment="1">
      <alignment horizontal="center" vertical="top" wrapText="1"/>
    </xf>
    <xf numFmtId="168" fontId="13" fillId="2" borderId="2" xfId="10" applyNumberFormat="1" applyFont="1" applyFill="1" applyBorder="1" applyAlignment="1">
      <alignment horizontal="center" vertical="top" wrapText="1"/>
    </xf>
    <xf numFmtId="168" fontId="27" fillId="2" borderId="2" xfId="10" applyNumberFormat="1" applyFont="1" applyFill="1" applyBorder="1" applyAlignment="1">
      <alignment horizontal="center" vertical="top" wrapText="1"/>
    </xf>
    <xf numFmtId="167" fontId="13" fillId="2" borderId="15" xfId="10" applyNumberFormat="1" applyFont="1" applyFill="1" applyBorder="1" applyAlignment="1">
      <alignment horizontal="center" vertical="top" wrapText="1"/>
    </xf>
    <xf numFmtId="165" fontId="10" fillId="0" borderId="2" xfId="0" applyNumberFormat="1" applyFont="1" applyFill="1" applyBorder="1" applyAlignment="1">
      <alignment horizontal="center" vertical="top" wrapText="1"/>
    </xf>
    <xf numFmtId="165" fontId="10" fillId="0" borderId="3" xfId="0" applyNumberFormat="1" applyFont="1" applyFill="1" applyBorder="1" applyAlignment="1">
      <alignment horizontal="center" vertical="top" wrapText="1"/>
    </xf>
    <xf numFmtId="0" fontId="40" fillId="2" borderId="2" xfId="1" applyFont="1" applyFill="1" applyBorder="1" applyAlignment="1">
      <alignment horizontal="left" vertical="center" wrapText="1"/>
    </xf>
    <xf numFmtId="0" fontId="40" fillId="2" borderId="4" xfId="1" applyFont="1" applyFill="1" applyBorder="1" applyAlignment="1">
      <alignment horizontal="left" vertical="center" wrapText="1"/>
    </xf>
    <xf numFmtId="0" fontId="40" fillId="2" borderId="3" xfId="1" applyFont="1" applyFill="1" applyBorder="1" applyAlignment="1">
      <alignment horizontal="left" vertical="center" wrapText="1"/>
    </xf>
    <xf numFmtId="0" fontId="17" fillId="2" borderId="2" xfId="1" applyFont="1" applyFill="1" applyBorder="1" applyAlignment="1">
      <alignment horizontal="left" vertical="top" wrapText="1"/>
    </xf>
    <xf numFmtId="0" fontId="17" fillId="2" borderId="4" xfId="1" applyFont="1" applyFill="1" applyBorder="1" applyAlignment="1">
      <alignment horizontal="left" vertical="top" wrapText="1"/>
    </xf>
    <xf numFmtId="0" fontId="17" fillId="2" borderId="2" xfId="1" applyFont="1" applyFill="1" applyBorder="1" applyAlignment="1">
      <alignment horizontal="center" vertical="top" wrapText="1"/>
    </xf>
    <xf numFmtId="0" fontId="17" fillId="2" borderId="4" xfId="1" applyFont="1" applyFill="1" applyBorder="1" applyAlignment="1">
      <alignment horizontal="center" vertical="top" wrapText="1"/>
    </xf>
    <xf numFmtId="0" fontId="17" fillId="2" borderId="3" xfId="1" applyFont="1" applyFill="1" applyBorder="1" applyAlignment="1">
      <alignment horizontal="center" vertical="top" wrapText="1"/>
    </xf>
    <xf numFmtId="0" fontId="17" fillId="2" borderId="1" xfId="1" applyFont="1" applyFill="1" applyBorder="1" applyAlignment="1">
      <alignment horizontal="left" vertical="top" wrapText="1"/>
    </xf>
    <xf numFmtId="0" fontId="17" fillId="2" borderId="3" xfId="1" applyFont="1" applyFill="1" applyBorder="1" applyAlignment="1">
      <alignment horizontal="left" vertical="top"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left" vertical="top" wrapText="1"/>
    </xf>
    <xf numFmtId="167" fontId="10" fillId="2" borderId="5" xfId="0" applyNumberFormat="1" applyFont="1" applyFill="1" applyBorder="1" applyAlignment="1">
      <alignment horizontal="left" vertical="top" wrapText="1"/>
    </xf>
    <xf numFmtId="167" fontId="10" fillId="2" borderId="6" xfId="0" applyNumberFormat="1" applyFont="1" applyFill="1" applyBorder="1" applyAlignment="1">
      <alignment horizontal="left" vertical="top" wrapText="1"/>
    </xf>
    <xf numFmtId="167" fontId="10" fillId="2" borderId="7" xfId="0" applyNumberFormat="1" applyFont="1" applyFill="1" applyBorder="1" applyAlignment="1">
      <alignment horizontal="left" vertical="top"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40" fillId="2" borderId="2" xfId="0" applyFont="1" applyFill="1" applyBorder="1" applyAlignment="1">
      <alignment horizontal="center" vertical="top" wrapText="1"/>
    </xf>
    <xf numFmtId="0" fontId="40" fillId="2" borderId="4" xfId="0" applyFont="1" applyFill="1" applyBorder="1" applyAlignment="1">
      <alignment horizontal="center" vertical="top" wrapText="1"/>
    </xf>
    <xf numFmtId="0" fontId="40" fillId="2" borderId="3" xfId="0" applyFont="1" applyFill="1" applyBorder="1" applyAlignment="1">
      <alignment horizontal="center" vertical="top" wrapText="1"/>
    </xf>
    <xf numFmtId="0" fontId="36" fillId="2" borderId="2"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36" fillId="0" borderId="2"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center" vertical="top" wrapText="1"/>
    </xf>
    <xf numFmtId="0" fontId="36" fillId="0" borderId="4" xfId="0" applyFont="1" applyFill="1" applyBorder="1" applyAlignment="1">
      <alignment horizontal="center" vertical="top" wrapText="1"/>
    </xf>
    <xf numFmtId="0" fontId="36" fillId="0" borderId="3" xfId="0" applyFont="1" applyFill="1" applyBorder="1" applyAlignment="1">
      <alignment horizontal="center" vertical="top" wrapText="1"/>
    </xf>
    <xf numFmtId="0" fontId="40" fillId="2" borderId="2" xfId="1" applyFont="1" applyFill="1" applyBorder="1" applyAlignment="1">
      <alignment horizontal="left" vertical="top" wrapText="1"/>
    </xf>
    <xf numFmtId="0" fontId="40" fillId="2" borderId="4" xfId="1" applyFont="1" applyFill="1" applyBorder="1" applyAlignment="1">
      <alignment horizontal="left" vertical="top" wrapText="1"/>
    </xf>
    <xf numFmtId="0" fontId="40" fillId="2" borderId="3" xfId="1" applyFont="1" applyFill="1" applyBorder="1" applyAlignment="1">
      <alignment horizontal="left" vertical="top" wrapText="1"/>
    </xf>
    <xf numFmtId="0" fontId="22" fillId="0" borderId="2" xfId="1" applyFont="1" applyFill="1" applyBorder="1" applyAlignment="1">
      <alignment horizontal="center" vertical="top" wrapText="1"/>
    </xf>
    <xf numFmtId="0" fontId="22" fillId="0" borderId="4" xfId="1" applyFont="1" applyFill="1" applyBorder="1" applyAlignment="1">
      <alignment horizontal="center" vertical="top" wrapText="1"/>
    </xf>
    <xf numFmtId="0" fontId="22" fillId="0" borderId="3" xfId="1" applyFont="1" applyFill="1" applyBorder="1" applyAlignment="1">
      <alignment horizontal="center" vertical="top" wrapText="1"/>
    </xf>
    <xf numFmtId="0" fontId="13" fillId="0" borderId="0" xfId="1" applyFont="1" applyFill="1" applyBorder="1" applyAlignment="1">
      <alignment horizontal="center" vertical="top" wrapText="1"/>
    </xf>
    <xf numFmtId="0" fontId="19" fillId="0" borderId="0" xfId="1" applyFont="1" applyFill="1" applyBorder="1" applyAlignment="1">
      <alignment horizontal="center" vertical="top" wrapText="1"/>
    </xf>
    <xf numFmtId="0" fontId="12" fillId="0" borderId="1" xfId="1" applyFont="1" applyFill="1" applyBorder="1" applyAlignment="1">
      <alignment horizontal="center" vertical="top" wrapText="1"/>
    </xf>
    <xf numFmtId="167" fontId="22" fillId="2" borderId="1" xfId="0" applyNumberFormat="1" applyFont="1" applyFill="1" applyBorder="1" applyAlignment="1">
      <alignment horizontal="center" vertical="center" wrapText="1"/>
    </xf>
    <xf numFmtId="16" fontId="22" fillId="0" borderId="2" xfId="1" applyNumberFormat="1" applyFont="1" applyFill="1" applyBorder="1" applyAlignment="1">
      <alignment horizontal="center" vertical="top" wrapText="1"/>
    </xf>
    <xf numFmtId="16" fontId="22" fillId="0" borderId="4" xfId="1" applyNumberFormat="1" applyFont="1" applyFill="1" applyBorder="1" applyAlignment="1">
      <alignment horizontal="center" vertical="top" wrapText="1"/>
    </xf>
    <xf numFmtId="16" fontId="22" fillId="0" borderId="3" xfId="1" applyNumberFormat="1" applyFont="1" applyFill="1" applyBorder="1" applyAlignment="1">
      <alignment horizontal="center" vertical="top" wrapText="1"/>
    </xf>
    <xf numFmtId="0" fontId="36" fillId="0" borderId="2" xfId="1" applyFont="1" applyFill="1" applyBorder="1" applyAlignment="1">
      <alignment horizontal="left" vertical="top" wrapText="1"/>
    </xf>
    <xf numFmtId="0" fontId="36" fillId="0" borderId="3" xfId="1" applyFont="1" applyFill="1" applyBorder="1" applyAlignment="1">
      <alignment horizontal="left" vertical="top" wrapText="1"/>
    </xf>
    <xf numFmtId="0" fontId="10" fillId="2" borderId="2" xfId="1" applyFont="1" applyFill="1" applyBorder="1" applyAlignment="1">
      <alignment horizontal="center" vertical="top" wrapText="1"/>
    </xf>
    <xf numFmtId="0" fontId="10" fillId="2" borderId="4" xfId="1" applyFont="1" applyFill="1" applyBorder="1" applyAlignment="1">
      <alignment horizontal="center" vertical="top" wrapText="1"/>
    </xf>
    <xf numFmtId="0" fontId="10" fillId="2" borderId="2" xfId="1"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2"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2" borderId="3" xfId="0" applyFont="1" applyFill="1" applyBorder="1" applyAlignment="1">
      <alignment horizontal="center" vertical="top" wrapText="1"/>
    </xf>
    <xf numFmtId="16" fontId="17" fillId="2" borderId="1" xfId="1" applyNumberFormat="1" applyFont="1" applyFill="1" applyBorder="1" applyAlignment="1">
      <alignment horizontal="center" vertical="top" wrapText="1"/>
    </xf>
    <xf numFmtId="16" fontId="17" fillId="2" borderId="2" xfId="1" applyNumberFormat="1" applyFont="1" applyFill="1" applyBorder="1" applyAlignment="1">
      <alignment horizontal="center" vertical="top" wrapText="1"/>
    </xf>
    <xf numFmtId="16" fontId="17" fillId="2" borderId="4" xfId="1" applyNumberFormat="1" applyFont="1" applyFill="1" applyBorder="1" applyAlignment="1">
      <alignment horizontal="center" vertical="top" wrapText="1"/>
    </xf>
    <xf numFmtId="16" fontId="17" fillId="2" borderId="3" xfId="1" applyNumberFormat="1" applyFont="1" applyFill="1" applyBorder="1" applyAlignment="1">
      <alignment horizontal="center" vertical="top" wrapText="1"/>
    </xf>
    <xf numFmtId="0" fontId="17" fillId="0" borderId="1" xfId="1" applyFont="1" applyFill="1" applyBorder="1" applyAlignment="1">
      <alignment horizontal="center" vertical="top" wrapText="1"/>
    </xf>
    <xf numFmtId="0" fontId="11" fillId="0" borderId="0" xfId="6" applyFont="1" applyFill="1" applyAlignment="1">
      <alignment horizontal="center" vertical="center" wrapText="1"/>
    </xf>
    <xf numFmtId="0" fontId="17" fillId="0" borderId="2" xfId="1" applyFont="1" applyFill="1" applyBorder="1" applyAlignment="1">
      <alignment horizontal="left" vertical="top" wrapText="1"/>
    </xf>
    <xf numFmtId="0" fontId="17" fillId="0" borderId="3" xfId="1"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36" fillId="2" borderId="1" xfId="1" applyFont="1" applyFill="1" applyBorder="1" applyAlignment="1">
      <alignment horizontal="left" vertical="top" wrapText="1"/>
    </xf>
    <xf numFmtId="165" fontId="17" fillId="0" borderId="2" xfId="1" applyNumberFormat="1" applyFont="1" applyFill="1" applyBorder="1" applyAlignment="1">
      <alignment horizontal="center" vertical="center" wrapText="1"/>
    </xf>
    <xf numFmtId="165" fontId="17" fillId="0" borderId="4" xfId="1" applyNumberFormat="1" applyFont="1" applyFill="1" applyBorder="1" applyAlignment="1">
      <alignment horizontal="center" vertical="center" wrapText="1"/>
    </xf>
    <xf numFmtId="165" fontId="17" fillId="0" borderId="3" xfId="1" applyNumberFormat="1" applyFont="1" applyFill="1" applyBorder="1" applyAlignment="1">
      <alignment horizontal="center" vertical="center" wrapText="1"/>
    </xf>
    <xf numFmtId="0" fontId="10" fillId="2" borderId="3" xfId="0" applyFont="1" applyFill="1" applyBorder="1" applyAlignment="1">
      <alignment horizontal="left" vertical="top" wrapText="1"/>
    </xf>
    <xf numFmtId="0" fontId="10" fillId="2" borderId="3" xfId="1" applyFont="1" applyFill="1" applyBorder="1" applyAlignment="1">
      <alignment horizontal="left" vertical="top" wrapText="1"/>
    </xf>
    <xf numFmtId="0" fontId="10" fillId="0" borderId="2" xfId="1" applyFont="1" applyFill="1" applyBorder="1" applyAlignment="1">
      <alignment horizontal="left" vertical="top" wrapText="1"/>
    </xf>
    <xf numFmtId="0" fontId="10" fillId="0" borderId="4" xfId="1" applyFont="1" applyFill="1" applyBorder="1" applyAlignment="1">
      <alignment horizontal="left" vertical="top" wrapText="1"/>
    </xf>
    <xf numFmtId="0" fontId="10" fillId="0" borderId="3" xfId="1" applyFont="1" applyFill="1" applyBorder="1" applyAlignment="1">
      <alignment horizontal="left" vertical="top" wrapText="1"/>
    </xf>
    <xf numFmtId="165" fontId="10" fillId="0" borderId="2" xfId="1" applyNumberFormat="1" applyFont="1" applyFill="1" applyBorder="1" applyAlignment="1">
      <alignment horizontal="center" vertical="top" wrapText="1"/>
    </xf>
    <xf numFmtId="165" fontId="10" fillId="0" borderId="4" xfId="1" applyNumberFormat="1" applyFont="1" applyFill="1" applyBorder="1" applyAlignment="1">
      <alignment horizontal="center" vertical="top" wrapText="1"/>
    </xf>
    <xf numFmtId="165" fontId="10" fillId="0" borderId="3" xfId="1" applyNumberFormat="1" applyFont="1" applyFill="1" applyBorder="1" applyAlignment="1">
      <alignment horizontal="center" vertical="top" wrapText="1"/>
    </xf>
    <xf numFmtId="0" fontId="17" fillId="0" borderId="4" xfId="1" applyFont="1" applyFill="1" applyBorder="1" applyAlignment="1">
      <alignment horizontal="left" vertical="top" wrapText="1"/>
    </xf>
    <xf numFmtId="0" fontId="11" fillId="0" borderId="0" xfId="1" applyFont="1" applyFill="1" applyBorder="1" applyAlignment="1">
      <alignment horizontal="right" vertical="center" wrapText="1"/>
    </xf>
    <xf numFmtId="49" fontId="17" fillId="0" borderId="2" xfId="1" applyNumberFormat="1" applyFont="1" applyFill="1" applyBorder="1" applyAlignment="1">
      <alignment horizontal="center" vertical="top" wrapText="1"/>
    </xf>
    <xf numFmtId="49" fontId="17" fillId="0" borderId="3" xfId="1" applyNumberFormat="1" applyFont="1" applyFill="1" applyBorder="1" applyAlignment="1">
      <alignment horizontal="center" vertical="top" wrapText="1"/>
    </xf>
    <xf numFmtId="165" fontId="22" fillId="2" borderId="2" xfId="1" applyNumberFormat="1" applyFont="1" applyFill="1" applyBorder="1" applyAlignment="1">
      <alignment horizontal="center" vertical="center" wrapText="1"/>
    </xf>
    <xf numFmtId="165" fontId="22" fillId="2" borderId="4" xfId="1" applyNumberFormat="1" applyFont="1" applyFill="1" applyBorder="1" applyAlignment="1">
      <alignment horizontal="center" vertical="center" wrapText="1"/>
    </xf>
    <xf numFmtId="165" fontId="22" fillId="2" borderId="3" xfId="1" applyNumberFormat="1"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3"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3" xfId="0" applyFont="1" applyFill="1" applyBorder="1" applyAlignment="1">
      <alignment horizontal="center" vertical="top" wrapText="1"/>
    </xf>
    <xf numFmtId="0" fontId="22" fillId="2" borderId="2"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3" xfId="0" applyFont="1" applyFill="1" applyBorder="1" applyAlignment="1">
      <alignment horizontal="center" vertical="top" wrapText="1"/>
    </xf>
    <xf numFmtId="0" fontId="17" fillId="0" borderId="2" xfId="0" applyFont="1" applyFill="1" applyBorder="1" applyAlignment="1">
      <alignment horizontal="left" vertical="top" wrapText="1"/>
    </xf>
    <xf numFmtId="0" fontId="17"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165" fontId="17" fillId="0" borderId="2" xfId="0" applyNumberFormat="1" applyFont="1" applyFill="1" applyBorder="1" applyAlignment="1">
      <alignment horizontal="center" vertical="top" wrapText="1"/>
    </xf>
    <xf numFmtId="165" fontId="17" fillId="0" borderId="4" xfId="0" applyNumberFormat="1" applyFont="1" applyFill="1" applyBorder="1" applyAlignment="1">
      <alignment horizontal="center" vertical="top" wrapText="1"/>
    </xf>
    <xf numFmtId="165" fontId="17" fillId="0" borderId="3" xfId="0" applyNumberFormat="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left" vertical="top" wrapText="1"/>
    </xf>
    <xf numFmtId="167" fontId="10" fillId="0" borderId="5" xfId="0" applyNumberFormat="1" applyFont="1" applyFill="1" applyBorder="1" applyAlignment="1">
      <alignment horizontal="center" vertical="center" wrapText="1"/>
    </xf>
    <xf numFmtId="167" fontId="10" fillId="0" borderId="6" xfId="0" applyNumberFormat="1" applyFont="1" applyFill="1" applyBorder="1" applyAlignment="1">
      <alignment horizontal="center" vertical="center" wrapText="1"/>
    </xf>
    <xf numFmtId="167" fontId="10" fillId="0" borderId="7" xfId="0" applyNumberFormat="1" applyFont="1" applyFill="1" applyBorder="1" applyAlignment="1">
      <alignment horizontal="center" vertical="center" wrapText="1"/>
    </xf>
    <xf numFmtId="0" fontId="10" fillId="0" borderId="2" xfId="1" applyFont="1" applyFill="1" applyBorder="1" applyAlignment="1">
      <alignment horizontal="center" vertical="top" wrapText="1"/>
    </xf>
    <xf numFmtId="0" fontId="10" fillId="0" borderId="4" xfId="1" applyFont="1" applyFill="1" applyBorder="1" applyAlignment="1">
      <alignment horizontal="center" vertical="top" wrapText="1"/>
    </xf>
    <xf numFmtId="0" fontId="10" fillId="0" borderId="3" xfId="1" applyFont="1" applyFill="1" applyBorder="1" applyAlignment="1">
      <alignment horizontal="center" vertical="top" wrapText="1"/>
    </xf>
    <xf numFmtId="0" fontId="36" fillId="0" borderId="1" xfId="1" applyFont="1" applyFill="1" applyBorder="1" applyAlignment="1">
      <alignment horizontal="center" vertical="top" wrapText="1"/>
    </xf>
    <xf numFmtId="0" fontId="10" fillId="0" borderId="1" xfId="1" applyFont="1" applyFill="1" applyBorder="1" applyAlignment="1">
      <alignment horizontal="center" vertical="top" wrapText="1"/>
    </xf>
    <xf numFmtId="49" fontId="10" fillId="0" borderId="1" xfId="1" applyNumberFormat="1" applyFont="1" applyFill="1" applyBorder="1" applyAlignment="1">
      <alignment horizontal="center" vertical="top" wrapText="1"/>
    </xf>
    <xf numFmtId="0" fontId="10" fillId="0" borderId="1" xfId="1" applyFont="1" applyFill="1" applyBorder="1" applyAlignment="1">
      <alignment vertical="top" wrapText="1"/>
    </xf>
    <xf numFmtId="0" fontId="36" fillId="0" borderId="4" xfId="1" applyFont="1" applyFill="1" applyBorder="1" applyAlignment="1">
      <alignment horizontal="left" vertical="top" wrapText="1"/>
    </xf>
    <xf numFmtId="0" fontId="17" fillId="2" borderId="2" xfId="0" applyFont="1" applyFill="1" applyBorder="1" applyAlignment="1">
      <alignment horizontal="center" vertical="top" wrapText="1"/>
    </xf>
    <xf numFmtId="0" fontId="17" fillId="2" borderId="4" xfId="0" applyFont="1" applyFill="1" applyBorder="1" applyAlignment="1">
      <alignment horizontal="center" vertical="top" wrapText="1"/>
    </xf>
    <xf numFmtId="0" fontId="31" fillId="0" borderId="21" xfId="2" applyFont="1" applyFill="1" applyBorder="1" applyAlignment="1"/>
    <xf numFmtId="0" fontId="15" fillId="0" borderId="21" xfId="2" applyFont="1" applyFill="1" applyBorder="1" applyAlignment="1"/>
    <xf numFmtId="0" fontId="15" fillId="0" borderId="22" xfId="2" applyFont="1" applyFill="1" applyBorder="1" applyAlignment="1"/>
    <xf numFmtId="0" fontId="14" fillId="0" borderId="0" xfId="1" applyFont="1" applyFill="1" applyAlignment="1">
      <alignment horizontal="left" vertical="center"/>
    </xf>
    <xf numFmtId="49" fontId="17" fillId="0" borderId="1" xfId="1" applyNumberFormat="1" applyFont="1" applyFill="1" applyBorder="1" applyAlignment="1">
      <alignment horizontal="center" vertical="top" wrapText="1"/>
    </xf>
    <xf numFmtId="0" fontId="3" fillId="0" borderId="1" xfId="1" applyFont="1" applyFill="1" applyBorder="1" applyAlignment="1">
      <alignment horizontal="center" vertical="top" wrapText="1"/>
    </xf>
    <xf numFmtId="0" fontId="17" fillId="0" borderId="1" xfId="1" applyFont="1" applyFill="1" applyBorder="1" applyAlignment="1">
      <alignment horizontal="left" vertical="top" wrapText="1"/>
    </xf>
    <xf numFmtId="0" fontId="36" fillId="0" borderId="1" xfId="1" applyFont="1" applyFill="1" applyBorder="1" applyAlignment="1">
      <alignment horizontal="left" vertical="top" wrapText="1"/>
    </xf>
    <xf numFmtId="0" fontId="36" fillId="2" borderId="2" xfId="0" applyFont="1" applyFill="1" applyBorder="1" applyAlignment="1">
      <alignment horizontal="center" vertical="top" wrapText="1"/>
    </xf>
    <xf numFmtId="0" fontId="36" fillId="2" borderId="4" xfId="0" applyFont="1" applyFill="1" applyBorder="1" applyAlignment="1">
      <alignment horizontal="center" vertical="top" wrapText="1"/>
    </xf>
    <xf numFmtId="0" fontId="36" fillId="2" borderId="1" xfId="0" applyFont="1" applyFill="1" applyBorder="1" applyAlignment="1">
      <alignment horizontal="center" vertical="top" wrapText="1"/>
    </xf>
    <xf numFmtId="0" fontId="10" fillId="0" borderId="1" xfId="0" applyFont="1" applyFill="1" applyBorder="1" applyAlignment="1">
      <alignment vertical="top" wrapText="1"/>
    </xf>
    <xf numFmtId="0" fontId="42" fillId="0" borderId="1" xfId="0" applyFont="1" applyFill="1" applyBorder="1" applyAlignment="1">
      <alignment vertical="top" wrapText="1"/>
    </xf>
    <xf numFmtId="0" fontId="10" fillId="0" borderId="1" xfId="0" applyFont="1" applyFill="1" applyBorder="1" applyAlignment="1">
      <alignment horizontal="center" vertical="top" wrapText="1"/>
    </xf>
    <xf numFmtId="0" fontId="36" fillId="0" borderId="1" xfId="0" applyFont="1" applyFill="1" applyBorder="1" applyAlignment="1">
      <alignment vertical="top" wrapText="1"/>
    </xf>
    <xf numFmtId="0" fontId="41" fillId="0" borderId="1" xfId="0" applyFont="1" applyFill="1" applyBorder="1" applyAlignment="1">
      <alignment vertical="top" wrapText="1"/>
    </xf>
    <xf numFmtId="0" fontId="10" fillId="2" borderId="1" xfId="0" applyFont="1" applyFill="1" applyBorder="1" applyAlignment="1">
      <alignment horizontal="left" vertical="top" wrapText="1"/>
    </xf>
    <xf numFmtId="0" fontId="20" fillId="0" borderId="2" xfId="0" applyNumberFormat="1" applyFont="1" applyFill="1" applyBorder="1" applyAlignment="1">
      <alignment horizontal="center" vertical="top" wrapText="1"/>
    </xf>
    <xf numFmtId="0" fontId="20" fillId="0" borderId="4" xfId="0" applyNumberFormat="1" applyFont="1" applyFill="1" applyBorder="1" applyAlignment="1">
      <alignment horizontal="center" vertical="top" wrapText="1"/>
    </xf>
    <xf numFmtId="0" fontId="20" fillId="0" borderId="3" xfId="0" applyNumberFormat="1" applyFont="1" applyFill="1" applyBorder="1" applyAlignment="1">
      <alignment horizontal="center" vertical="top" wrapText="1"/>
    </xf>
    <xf numFmtId="0" fontId="35" fillId="0" borderId="1"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1" xfId="0" applyNumberFormat="1" applyFont="1" applyFill="1" applyBorder="1" applyAlignment="1">
      <alignment horizontal="center" vertical="top" wrapText="1"/>
    </xf>
    <xf numFmtId="0" fontId="35" fillId="2" borderId="1" xfId="0" applyFont="1" applyFill="1" applyBorder="1" applyAlignment="1">
      <alignment horizontal="center" vertical="top" wrapText="1"/>
    </xf>
    <xf numFmtId="164" fontId="10" fillId="0" borderId="1" xfId="0" applyNumberFormat="1" applyFont="1" applyFill="1" applyBorder="1" applyAlignment="1">
      <alignment horizontal="center" vertical="center" wrapText="1"/>
    </xf>
    <xf numFmtId="0" fontId="18" fillId="2" borderId="15" xfId="10" applyFont="1" applyFill="1" applyBorder="1" applyAlignment="1">
      <alignment horizontal="center" vertical="top" wrapText="1"/>
    </xf>
    <xf numFmtId="168" fontId="18" fillId="2" borderId="0" xfId="10" applyNumberFormat="1" applyFont="1" applyFill="1" applyBorder="1" applyAlignment="1">
      <alignment horizontal="left" vertical="top" wrapText="1"/>
    </xf>
    <xf numFmtId="0" fontId="31" fillId="2" borderId="16" xfId="2" applyFont="1" applyFill="1" applyBorder="1" applyAlignment="1">
      <alignment horizontal="center"/>
    </xf>
    <xf numFmtId="0" fontId="12" fillId="0" borderId="9" xfId="10" applyFont="1" applyBorder="1" applyAlignment="1">
      <alignment horizontal="center" vertical="center" wrapText="1"/>
    </xf>
    <xf numFmtId="0" fontId="12" fillId="0" borderId="10" xfId="10" applyFont="1" applyBorder="1" applyAlignment="1">
      <alignment horizontal="center" vertical="center" wrapText="1"/>
    </xf>
    <xf numFmtId="0" fontId="13" fillId="2" borderId="1" xfId="10" applyFont="1" applyFill="1" applyBorder="1" applyAlignment="1">
      <alignment horizontal="center" vertical="top" wrapText="1"/>
    </xf>
    <xf numFmtId="0" fontId="29" fillId="2" borderId="2" xfId="10" applyFont="1" applyFill="1" applyBorder="1" applyAlignment="1">
      <alignment horizontal="center" vertical="top" wrapText="1"/>
    </xf>
    <xf numFmtId="0" fontId="29" fillId="2" borderId="3" xfId="10" applyFont="1" applyFill="1" applyBorder="1" applyAlignment="1">
      <alignment horizontal="center" vertical="top" wrapText="1"/>
    </xf>
    <xf numFmtId="167" fontId="13" fillId="2" borderId="2" xfId="10" applyNumberFormat="1" applyFont="1" applyFill="1" applyBorder="1" applyAlignment="1">
      <alignment horizontal="center" vertical="top" wrapText="1"/>
    </xf>
    <xf numFmtId="167" fontId="13" fillId="2" borderId="3" xfId="10" applyNumberFormat="1" applyFont="1" applyFill="1" applyBorder="1" applyAlignment="1">
      <alignment horizontal="center" vertical="top" wrapText="1"/>
    </xf>
    <xf numFmtId="167" fontId="13" fillId="2" borderId="1" xfId="10" applyNumberFormat="1" applyFont="1" applyFill="1" applyBorder="1" applyAlignment="1">
      <alignment horizontal="center" vertical="top" wrapText="1"/>
    </xf>
    <xf numFmtId="0" fontId="13" fillId="2" borderId="5" xfId="10" applyFont="1" applyFill="1" applyBorder="1" applyAlignment="1">
      <alignment horizontal="center" vertical="top" wrapText="1"/>
    </xf>
    <xf numFmtId="0" fontId="13" fillId="2" borderId="6" xfId="10" applyFont="1" applyFill="1" applyBorder="1" applyAlignment="1">
      <alignment horizontal="center" vertical="top" wrapText="1"/>
    </xf>
    <xf numFmtId="0" fontId="13" fillId="2" borderId="7" xfId="10" applyFont="1" applyFill="1" applyBorder="1" applyAlignment="1">
      <alignment horizontal="center" vertical="top" wrapText="1"/>
    </xf>
    <xf numFmtId="0" fontId="13" fillId="2" borderId="1" xfId="10" applyFont="1" applyFill="1" applyBorder="1" applyAlignment="1">
      <alignment horizontal="center" vertical="center" wrapText="1"/>
    </xf>
    <xf numFmtId="166" fontId="27" fillId="2" borderId="1" xfId="10" applyNumberFormat="1" applyFont="1" applyFill="1" applyBorder="1" applyAlignment="1">
      <alignment horizontal="center" vertical="top" wrapText="1"/>
    </xf>
    <xf numFmtId="0" fontId="26" fillId="2" borderId="2" xfId="10" applyFont="1" applyFill="1" applyBorder="1" applyAlignment="1">
      <alignment horizontal="center" vertical="center" wrapText="1"/>
    </xf>
    <xf numFmtId="0" fontId="26" fillId="2" borderId="4" xfId="10" applyFont="1" applyFill="1" applyBorder="1" applyAlignment="1">
      <alignment horizontal="center" vertical="center" wrapText="1"/>
    </xf>
    <xf numFmtId="167" fontId="13" fillId="2" borderId="4" xfId="10" applyNumberFormat="1" applyFont="1" applyFill="1" applyBorder="1" applyAlignment="1">
      <alignment horizontal="center" vertical="top" wrapText="1"/>
    </xf>
    <xf numFmtId="168" fontId="13" fillId="2" borderId="2" xfId="10" applyNumberFormat="1" applyFont="1" applyFill="1" applyBorder="1" applyAlignment="1">
      <alignment horizontal="center" vertical="top" wrapText="1"/>
    </xf>
    <xf numFmtId="168" fontId="13" fillId="2" borderId="4" xfId="10" applyNumberFormat="1" applyFont="1" applyFill="1" applyBorder="1" applyAlignment="1">
      <alignment horizontal="center" vertical="top" wrapText="1"/>
    </xf>
    <xf numFmtId="168" fontId="27" fillId="2" borderId="2" xfId="10" applyNumberFormat="1" applyFont="1" applyFill="1" applyBorder="1" applyAlignment="1">
      <alignment horizontal="center" vertical="top" wrapText="1"/>
    </xf>
    <xf numFmtId="168" fontId="27" fillId="2" borderId="4" xfId="10" applyNumberFormat="1" applyFont="1" applyFill="1" applyBorder="1" applyAlignment="1">
      <alignment horizontal="center" vertical="top" wrapText="1"/>
    </xf>
    <xf numFmtId="0" fontId="18" fillId="2" borderId="1" xfId="10" applyFont="1" applyFill="1" applyBorder="1" applyAlignment="1">
      <alignment horizontal="center" vertical="top" wrapText="1"/>
    </xf>
    <xf numFmtId="168" fontId="13" fillId="2" borderId="3" xfId="10" applyNumberFormat="1" applyFont="1" applyFill="1" applyBorder="1" applyAlignment="1">
      <alignment horizontal="center" vertical="top" wrapText="1"/>
    </xf>
    <xf numFmtId="168" fontId="13" fillId="2" borderId="1" xfId="10" applyNumberFormat="1" applyFont="1" applyFill="1" applyBorder="1" applyAlignment="1">
      <alignment horizontal="center" vertical="top" wrapText="1"/>
    </xf>
    <xf numFmtId="0" fontId="18" fillId="2" borderId="2" xfId="10" applyFont="1" applyFill="1" applyBorder="1" applyAlignment="1">
      <alignment horizontal="center" vertical="top" wrapText="1"/>
    </xf>
    <xf numFmtId="0" fontId="18" fillId="2" borderId="4" xfId="10" applyFont="1" applyFill="1" applyBorder="1" applyAlignment="1">
      <alignment horizontal="center" vertical="top" wrapText="1"/>
    </xf>
    <xf numFmtId="0" fontId="11" fillId="2" borderId="2" xfId="10" applyFont="1" applyFill="1" applyBorder="1" applyAlignment="1">
      <alignment horizontal="center" vertical="top"/>
    </xf>
    <xf numFmtId="0" fontId="11" fillId="2" borderId="4" xfId="10" applyFont="1" applyFill="1" applyBorder="1" applyAlignment="1">
      <alignment horizontal="center" vertical="top"/>
    </xf>
    <xf numFmtId="0" fontId="11" fillId="2" borderId="3" xfId="10" applyFont="1" applyFill="1" applyBorder="1" applyAlignment="1">
      <alignment horizontal="center" vertical="top"/>
    </xf>
    <xf numFmtId="168" fontId="27" fillId="2" borderId="3" xfId="10" applyNumberFormat="1" applyFont="1" applyFill="1" applyBorder="1" applyAlignment="1">
      <alignment horizontal="center" vertical="top" wrapText="1"/>
    </xf>
    <xf numFmtId="0" fontId="11" fillId="0" borderId="0" xfId="10" applyFont="1" applyAlignment="1">
      <alignment horizontal="center" wrapText="1"/>
    </xf>
    <xf numFmtId="0" fontId="11" fillId="0" borderId="0" xfId="10" applyFont="1" applyBorder="1" applyAlignment="1">
      <alignment horizontal="center" vertical="center" wrapText="1"/>
    </xf>
    <xf numFmtId="0" fontId="1" fillId="0" borderId="0" xfId="10" applyAlignment="1">
      <alignment horizontal="center"/>
    </xf>
    <xf numFmtId="0" fontId="13" fillId="0" borderId="0" xfId="10" applyFont="1" applyBorder="1" applyAlignment="1">
      <alignment horizontal="center" vertical="center" wrapText="1"/>
    </xf>
    <xf numFmtId="0" fontId="18" fillId="0" borderId="0" xfId="10" applyFont="1" applyBorder="1" applyAlignment="1">
      <alignment horizontal="center" vertical="center" wrapText="1"/>
    </xf>
    <xf numFmtId="0" fontId="12" fillId="0" borderId="8" xfId="10" applyFont="1" applyBorder="1" applyAlignment="1">
      <alignment horizontal="center" vertical="top" wrapText="1"/>
    </xf>
    <xf numFmtId="0" fontId="12" fillId="0" borderId="13" xfId="10" applyFont="1" applyBorder="1" applyAlignment="1">
      <alignment horizontal="center" vertical="top" wrapText="1"/>
    </xf>
    <xf numFmtId="0" fontId="12" fillId="0" borderId="11" xfId="10" applyFont="1" applyBorder="1" applyAlignment="1">
      <alignment horizontal="center" vertical="top" wrapText="1"/>
    </xf>
    <xf numFmtId="0" fontId="12" fillId="0" borderId="1" xfId="10" applyFont="1" applyBorder="1" applyAlignment="1">
      <alignment horizontal="center" vertical="top" wrapText="1"/>
    </xf>
    <xf numFmtId="0" fontId="12" fillId="0" borderId="12" xfId="10" applyFont="1" applyBorder="1" applyAlignment="1">
      <alignment horizontal="center" vertical="top" wrapText="1"/>
    </xf>
  </cellXfs>
  <cellStyles count="13">
    <cellStyle name="Обычный" xfId="0" builtinId="0"/>
    <cellStyle name="Обычный 2" xfId="1"/>
    <cellStyle name="Обычный 3" xfId="2"/>
    <cellStyle name="Обычный 4" xfId="3"/>
    <cellStyle name="Обычный 5" xfId="4"/>
    <cellStyle name="Обычный 5 2" xfId="6"/>
    <cellStyle name="Обычный 5 2 2" xfId="7"/>
    <cellStyle name="Обычный 5 2 2 2" xfId="9"/>
    <cellStyle name="Обычный 5 2 2 2 2" xfId="11"/>
    <cellStyle name="Обычный 5 2 3" xfId="8"/>
    <cellStyle name="Обычный 5 2 3 2" xfId="10"/>
    <cellStyle name="Обычный 6" xfId="5"/>
    <cellStyle name="Обычный 7" xfId="12"/>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KOVL~1.KDM/AppData/Local/Temp/Rar$DI00.431/&#1088;&#1072;&#1073;&#1086;&#1095;&#1080;&#1077;%20&#1074;&#1072;&#1088;&#1080;&#1072;&#1085;&#1090;&#1099;/&#1052;&#1055;%202019%20&#1075;.&#1087;&#1086;&#1082;&#1072;&#1079;&#1072;&#1090;&#1077;&#1083;&#1080;%20&#1055;&#1088;&#1080;&#1083;&#1086;&#1078;&#1077;&#1085;&#1080;&#1077;%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льтура прил. 1 на 17-21"/>
      <sheetName val="культура прил. №2 17-21 "/>
    </sheetNames>
    <sheetDataSet>
      <sheetData sheetId="0" refreshError="1">
        <row r="8">
          <cell r="F8">
            <v>7684</v>
          </cell>
        </row>
        <row r="9">
          <cell r="F9">
            <v>2345252.0219999994</v>
          </cell>
        </row>
        <row r="11">
          <cell r="F11">
            <v>345093.61106999998</v>
          </cell>
        </row>
        <row r="39">
          <cell r="F39">
            <v>1027</v>
          </cell>
        </row>
        <row r="40">
          <cell r="F40">
            <v>9691.5</v>
          </cell>
        </row>
        <row r="41">
          <cell r="F41">
            <v>12012</v>
          </cell>
        </row>
        <row r="42">
          <cell r="F42">
            <v>11530.839999999998</v>
          </cell>
        </row>
        <row r="52">
          <cell r="F52">
            <v>36319.82</v>
          </cell>
        </row>
        <row r="53">
          <cell r="F53">
            <v>1328000.18</v>
          </cell>
        </row>
        <row r="57">
          <cell r="F57">
            <v>48200</v>
          </cell>
        </row>
        <row r="74">
          <cell r="F74">
            <v>7100</v>
          </cell>
        </row>
        <row r="98">
          <cell r="F98">
            <v>310.49</v>
          </cell>
        </row>
        <row r="99">
          <cell r="F99">
            <v>604.41</v>
          </cell>
        </row>
        <row r="100">
          <cell r="F100">
            <v>13004.6</v>
          </cell>
        </row>
        <row r="102">
          <cell r="F102">
            <v>150</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
  <sheetViews>
    <sheetView view="pageBreakPreview" zoomScale="82" zoomScaleNormal="69" zoomScaleSheetLayoutView="82" workbookViewId="0">
      <pane xSplit="1" ySplit="5" topLeftCell="B171" activePane="bottomRight" state="frozen"/>
      <selection pane="topRight" activeCell="B1" sqref="B1"/>
      <selection pane="bottomLeft" activeCell="A6" sqref="A6"/>
      <selection pane="bottomRight" activeCell="F141" sqref="F141:K154"/>
    </sheetView>
  </sheetViews>
  <sheetFormatPr defaultColWidth="9.140625" defaultRowHeight="15" x14ac:dyDescent="0.25"/>
  <cols>
    <col min="1" max="1" width="7.28515625" style="6" customWidth="1"/>
    <col min="2" max="2" width="32.140625" style="6" customWidth="1"/>
    <col min="3" max="3" width="15" style="6" customWidth="1"/>
    <col min="4" max="4" width="30.85546875" style="6" customWidth="1"/>
    <col min="5" max="5" width="18.42578125" style="6" customWidth="1"/>
    <col min="6" max="6" width="15.7109375" style="6" customWidth="1"/>
    <col min="7" max="7" width="14.5703125" style="6" customWidth="1"/>
    <col min="8" max="8" width="16.42578125" style="6" customWidth="1"/>
    <col min="9" max="9" width="15.42578125" style="6" customWidth="1"/>
    <col min="10" max="10" width="14.7109375" style="6" customWidth="1"/>
    <col min="11" max="11" width="15.5703125" style="6" customWidth="1"/>
    <col min="12" max="12" width="20" style="6" customWidth="1"/>
    <col min="13" max="13" width="26.85546875" style="6" customWidth="1"/>
    <col min="14" max="16384" width="9.140625" style="6"/>
  </cols>
  <sheetData>
    <row r="1" spans="1:13" s="10" customFormat="1" ht="99" customHeight="1" x14ac:dyDescent="0.3">
      <c r="A1" s="7"/>
      <c r="B1" s="8"/>
      <c r="C1" s="7"/>
      <c r="D1" s="7"/>
      <c r="E1" s="7"/>
      <c r="F1" s="9"/>
      <c r="G1" s="9"/>
      <c r="H1" s="9"/>
      <c r="I1" s="9"/>
      <c r="J1" s="9"/>
      <c r="K1" s="9"/>
      <c r="L1" s="242" t="s">
        <v>239</v>
      </c>
      <c r="M1" s="242"/>
    </row>
    <row r="2" spans="1:13" s="10" customFormat="1" ht="25.15" customHeight="1" x14ac:dyDescent="0.25">
      <c r="A2" s="7"/>
      <c r="B2" s="7"/>
      <c r="C2" s="7"/>
      <c r="D2" s="7"/>
      <c r="E2" s="7"/>
      <c r="F2" s="11"/>
      <c r="G2" s="11"/>
      <c r="H2" s="11"/>
      <c r="I2" s="11"/>
      <c r="J2" s="260" t="s">
        <v>39</v>
      </c>
      <c r="K2" s="260"/>
      <c r="L2" s="260"/>
      <c r="M2" s="260"/>
    </row>
    <row r="3" spans="1:13" s="10" customFormat="1" ht="59.45" customHeight="1" x14ac:dyDescent="0.25">
      <c r="A3" s="7"/>
      <c r="B3" s="221" t="s">
        <v>81</v>
      </c>
      <c r="C3" s="222"/>
      <c r="D3" s="222"/>
      <c r="E3" s="222"/>
      <c r="F3" s="222"/>
      <c r="G3" s="222"/>
      <c r="H3" s="222"/>
      <c r="I3" s="222"/>
      <c r="J3" s="222"/>
      <c r="K3" s="222"/>
      <c r="L3" s="12"/>
      <c r="M3" s="13"/>
    </row>
    <row r="4" spans="1:13" ht="38.450000000000003" customHeight="1" x14ac:dyDescent="0.25">
      <c r="A4" s="223" t="s">
        <v>40</v>
      </c>
      <c r="B4" s="223" t="s">
        <v>41</v>
      </c>
      <c r="C4" s="223" t="s">
        <v>42</v>
      </c>
      <c r="D4" s="223" t="s">
        <v>43</v>
      </c>
      <c r="E4" s="223" t="s">
        <v>44</v>
      </c>
      <c r="F4" s="223" t="s">
        <v>45</v>
      </c>
      <c r="G4" s="223" t="s">
        <v>46</v>
      </c>
      <c r="H4" s="223"/>
      <c r="I4" s="223"/>
      <c r="J4" s="223"/>
      <c r="K4" s="223"/>
      <c r="L4" s="223" t="s">
        <v>47</v>
      </c>
      <c r="M4" s="223" t="s">
        <v>48</v>
      </c>
    </row>
    <row r="5" spans="1:13" ht="121.5" customHeight="1" x14ac:dyDescent="0.25">
      <c r="A5" s="223"/>
      <c r="B5" s="223"/>
      <c r="C5" s="223"/>
      <c r="D5" s="223"/>
      <c r="E5" s="223"/>
      <c r="F5" s="223"/>
      <c r="G5" s="14" t="s">
        <v>49</v>
      </c>
      <c r="H5" s="14" t="s">
        <v>50</v>
      </c>
      <c r="I5" s="14" t="s">
        <v>51</v>
      </c>
      <c r="J5" s="14" t="s">
        <v>52</v>
      </c>
      <c r="K5" s="14" t="s">
        <v>53</v>
      </c>
      <c r="L5" s="223"/>
      <c r="M5" s="223"/>
    </row>
    <row r="6" spans="1:13" ht="18.600000000000001" customHeight="1" x14ac:dyDescent="0.25">
      <c r="A6" s="29">
        <v>1</v>
      </c>
      <c r="B6" s="29">
        <v>2</v>
      </c>
      <c r="C6" s="29">
        <v>3</v>
      </c>
      <c r="D6" s="29">
        <v>4</v>
      </c>
      <c r="E6" s="29">
        <v>5</v>
      </c>
      <c r="F6" s="29">
        <v>6</v>
      </c>
      <c r="G6" s="29">
        <v>7</v>
      </c>
      <c r="H6" s="29">
        <v>8</v>
      </c>
      <c r="I6" s="29">
        <v>9</v>
      </c>
      <c r="J6" s="29">
        <v>10</v>
      </c>
      <c r="K6" s="29">
        <v>11</v>
      </c>
      <c r="L6" s="29">
        <v>12</v>
      </c>
      <c r="M6" s="29">
        <v>13</v>
      </c>
    </row>
    <row r="7" spans="1:13" ht="27" customHeight="1" x14ac:dyDescent="0.25">
      <c r="A7" s="292" t="s">
        <v>0</v>
      </c>
      <c r="B7" s="232" t="s">
        <v>181</v>
      </c>
      <c r="C7" s="253" t="s">
        <v>79</v>
      </c>
      <c r="D7" s="30" t="s">
        <v>1</v>
      </c>
      <c r="E7" s="31">
        <f>SUM(E8:E12)-E10</f>
        <v>381353.83999999997</v>
      </c>
      <c r="F7" s="31">
        <f>SUM(G7:K7)</f>
        <v>2911330.9950699992</v>
      </c>
      <c r="G7" s="31">
        <f>SUM(G8:G12)-G10</f>
        <v>384199.03200000001</v>
      </c>
      <c r="H7" s="31">
        <f t="shared" ref="H7:K7" si="0">SUM(H8:H12)-H10</f>
        <v>405213.68399999995</v>
      </c>
      <c r="I7" s="31">
        <f t="shared" si="0"/>
        <v>714911.40768999991</v>
      </c>
      <c r="J7" s="31">
        <f t="shared" si="0"/>
        <v>703503.43568999995</v>
      </c>
      <c r="K7" s="31">
        <f t="shared" si="0"/>
        <v>703503.43568999995</v>
      </c>
      <c r="L7" s="32"/>
      <c r="M7" s="256"/>
    </row>
    <row r="8" spans="1:13" ht="34.5" customHeight="1" x14ac:dyDescent="0.25">
      <c r="A8" s="293"/>
      <c r="B8" s="233"/>
      <c r="C8" s="254"/>
      <c r="D8" s="99" t="s">
        <v>76</v>
      </c>
      <c r="E8" s="31">
        <f>E16+E33</f>
        <v>8790</v>
      </c>
      <c r="F8" s="31">
        <f t="shared" ref="F8:F11" si="1">SUM(G8:K8)</f>
        <v>7684</v>
      </c>
      <c r="G8" s="31">
        <f>G16+G33</f>
        <v>4989</v>
      </c>
      <c r="H8" s="31">
        <f>H16+H33</f>
        <v>2695</v>
      </c>
      <c r="I8" s="31">
        <f>I16+I33</f>
        <v>0</v>
      </c>
      <c r="J8" s="31">
        <f>J16+J33</f>
        <v>0</v>
      </c>
      <c r="K8" s="31">
        <f>K16+K33</f>
        <v>0</v>
      </c>
      <c r="L8" s="32"/>
      <c r="M8" s="257"/>
    </row>
    <row r="9" spans="1:13" ht="36.75" customHeight="1" x14ac:dyDescent="0.25">
      <c r="A9" s="293"/>
      <c r="B9" s="233"/>
      <c r="C9" s="254"/>
      <c r="D9" s="99" t="s">
        <v>2</v>
      </c>
      <c r="E9" s="31">
        <f>E13+E17+E30+E31+E36+E37</f>
        <v>335680.83999999997</v>
      </c>
      <c r="F9" s="31">
        <f t="shared" si="1"/>
        <v>2345252.0219999994</v>
      </c>
      <c r="G9" s="31">
        <f>G13+G17+G30+G31+G36+G37</f>
        <v>340496.03200000001</v>
      </c>
      <c r="H9" s="31">
        <f>H13+H17+H30+H31+H36+H37</f>
        <v>357731.29399999994</v>
      </c>
      <c r="I9" s="31">
        <f>I13+I17+I30+I31+I36+I37</f>
        <v>549008.23199999996</v>
      </c>
      <c r="J9" s="31">
        <f>J13+J17+J30+J31+J36+J37</f>
        <v>549008.23199999996</v>
      </c>
      <c r="K9" s="31">
        <f>K13+K17+K30+K31+K36+K37</f>
        <v>549008.23199999996</v>
      </c>
      <c r="L9" s="33"/>
      <c r="M9" s="257"/>
    </row>
    <row r="10" spans="1:13" ht="36.75" customHeight="1" x14ac:dyDescent="0.25">
      <c r="A10" s="293"/>
      <c r="B10" s="233"/>
      <c r="C10" s="254"/>
      <c r="D10" s="69" t="s">
        <v>159</v>
      </c>
      <c r="E10" s="31">
        <f>E19</f>
        <v>0</v>
      </c>
      <c r="F10" s="31">
        <f t="shared" si="1"/>
        <v>94750</v>
      </c>
      <c r="G10" s="31">
        <f>G19</f>
        <v>0</v>
      </c>
      <c r="H10" s="31">
        <f t="shared" ref="H10:K10" si="2">H19</f>
        <v>0</v>
      </c>
      <c r="I10" s="31">
        <f t="shared" si="2"/>
        <v>94750</v>
      </c>
      <c r="J10" s="31">
        <f t="shared" si="2"/>
        <v>0</v>
      </c>
      <c r="K10" s="31">
        <f t="shared" si="2"/>
        <v>0</v>
      </c>
      <c r="L10" s="33"/>
      <c r="M10" s="257"/>
    </row>
    <row r="11" spans="1:13" ht="58.5" customHeight="1" x14ac:dyDescent="0.25">
      <c r="A11" s="293"/>
      <c r="B11" s="233"/>
      <c r="C11" s="254"/>
      <c r="D11" s="100" t="s">
        <v>3</v>
      </c>
      <c r="E11" s="31">
        <f>E14+E20</f>
        <v>0</v>
      </c>
      <c r="F11" s="31">
        <f t="shared" si="1"/>
        <v>345093.61106999998</v>
      </c>
      <c r="G11" s="31">
        <f>G14+G20</f>
        <v>75</v>
      </c>
      <c r="H11" s="31">
        <f t="shared" ref="H11:K11" si="3">H14+H20</f>
        <v>0</v>
      </c>
      <c r="I11" s="31">
        <f t="shared" si="3"/>
        <v>115006.20368999999</v>
      </c>
      <c r="J11" s="31">
        <f t="shared" si="3"/>
        <v>115006.20368999999</v>
      </c>
      <c r="K11" s="31">
        <f t="shared" si="3"/>
        <v>115006.20368999999</v>
      </c>
      <c r="L11" s="33"/>
      <c r="M11" s="257"/>
    </row>
    <row r="12" spans="1:13" ht="29.25" customHeight="1" x14ac:dyDescent="0.25">
      <c r="A12" s="294"/>
      <c r="B12" s="252"/>
      <c r="C12" s="255"/>
      <c r="D12" s="100" t="s">
        <v>18</v>
      </c>
      <c r="E12" s="31">
        <f>E21+E35</f>
        <v>36883</v>
      </c>
      <c r="F12" s="31">
        <f t="shared" ref="F12" si="4">SUM(G12:K12)</f>
        <v>213301.36199999999</v>
      </c>
      <c r="G12" s="31">
        <f>G21+G35</f>
        <v>38639</v>
      </c>
      <c r="H12" s="31">
        <f t="shared" ref="H12:K12" si="5">H21+H35</f>
        <v>44787.39</v>
      </c>
      <c r="I12" s="31">
        <f t="shared" si="5"/>
        <v>50896.972000000002</v>
      </c>
      <c r="J12" s="31">
        <f t="shared" si="5"/>
        <v>39489</v>
      </c>
      <c r="K12" s="31">
        <f t="shared" si="5"/>
        <v>39489</v>
      </c>
      <c r="L12" s="33"/>
      <c r="M12" s="258"/>
    </row>
    <row r="13" spans="1:13" ht="35.25" customHeight="1" x14ac:dyDescent="0.25">
      <c r="A13" s="261" t="s">
        <v>4</v>
      </c>
      <c r="B13" s="243" t="s">
        <v>5</v>
      </c>
      <c r="C13" s="20" t="s">
        <v>54</v>
      </c>
      <c r="D13" s="101" t="s">
        <v>6</v>
      </c>
      <c r="E13" s="34">
        <v>44724</v>
      </c>
      <c r="F13" s="31">
        <f t="shared" ref="F13:F16" si="6">SUM(G13:K13)</f>
        <v>254195.35</v>
      </c>
      <c r="G13" s="34">
        <f>44724-1000-1850-1000-470</f>
        <v>40404</v>
      </c>
      <c r="H13" s="58">
        <f>20840+15650.5-900-402-48.6+59.45-590+22</f>
        <v>34631.35</v>
      </c>
      <c r="I13" s="34">
        <v>59720</v>
      </c>
      <c r="J13" s="34">
        <v>59720</v>
      </c>
      <c r="K13" s="34">
        <v>59720</v>
      </c>
      <c r="L13" s="35" t="s">
        <v>127</v>
      </c>
      <c r="M13" s="82" t="s">
        <v>56</v>
      </c>
    </row>
    <row r="14" spans="1:13" ht="63" customHeight="1" x14ac:dyDescent="0.25">
      <c r="A14" s="262"/>
      <c r="B14" s="244"/>
      <c r="C14" s="20" t="s">
        <v>54</v>
      </c>
      <c r="D14" s="101" t="s">
        <v>3</v>
      </c>
      <c r="E14" s="36">
        <v>0</v>
      </c>
      <c r="F14" s="31">
        <f t="shared" si="6"/>
        <v>75</v>
      </c>
      <c r="G14" s="36">
        <v>75</v>
      </c>
      <c r="H14" s="36">
        <v>0</v>
      </c>
      <c r="I14" s="36">
        <v>0</v>
      </c>
      <c r="J14" s="36">
        <v>0</v>
      </c>
      <c r="K14" s="36">
        <v>0</v>
      </c>
      <c r="L14" s="38" t="s">
        <v>139</v>
      </c>
      <c r="M14" s="82" t="s">
        <v>116</v>
      </c>
    </row>
    <row r="15" spans="1:13" ht="33.75" customHeight="1" x14ac:dyDescent="0.25">
      <c r="A15" s="218" t="s">
        <v>7</v>
      </c>
      <c r="B15" s="188" t="s">
        <v>186</v>
      </c>
      <c r="C15" s="243" t="s">
        <v>54</v>
      </c>
      <c r="D15" s="99" t="s">
        <v>1</v>
      </c>
      <c r="E15" s="36">
        <f>E16+E17+E20</f>
        <v>18219.14</v>
      </c>
      <c r="F15" s="31">
        <f t="shared" si="6"/>
        <v>824872.05106999993</v>
      </c>
      <c r="G15" s="36">
        <f>G16+G17+G20</f>
        <v>18878.64</v>
      </c>
      <c r="H15" s="36">
        <f t="shared" ref="H15:K15" si="7">H16+H17+H20</f>
        <v>24365</v>
      </c>
      <c r="I15" s="36">
        <f t="shared" si="7"/>
        <v>260542.80369</v>
      </c>
      <c r="J15" s="36">
        <f t="shared" si="7"/>
        <v>260542.80369</v>
      </c>
      <c r="K15" s="36">
        <f t="shared" si="7"/>
        <v>260542.80369</v>
      </c>
      <c r="L15" s="112"/>
      <c r="M15" s="82"/>
    </row>
    <row r="16" spans="1:13" ht="35.25" customHeight="1" x14ac:dyDescent="0.25">
      <c r="A16" s="219"/>
      <c r="B16" s="189"/>
      <c r="C16" s="259"/>
      <c r="D16" s="96" t="s">
        <v>74</v>
      </c>
      <c r="E16" s="34">
        <f>E22+E26</f>
        <v>589</v>
      </c>
      <c r="F16" s="31">
        <f t="shared" si="6"/>
        <v>2932</v>
      </c>
      <c r="G16" s="34">
        <f>G22+G26</f>
        <v>237</v>
      </c>
      <c r="H16" s="34">
        <f>H22+H26</f>
        <v>2695</v>
      </c>
      <c r="I16" s="34">
        <f>I22+I26</f>
        <v>0</v>
      </c>
      <c r="J16" s="34">
        <f>J22+J26</f>
        <v>0</v>
      </c>
      <c r="K16" s="34">
        <f>K22+K26</f>
        <v>0</v>
      </c>
      <c r="L16" s="248" t="s">
        <v>211</v>
      </c>
      <c r="M16" s="82" t="s">
        <v>75</v>
      </c>
    </row>
    <row r="17" spans="1:13" ht="30.75" customHeight="1" x14ac:dyDescent="0.25">
      <c r="A17" s="219"/>
      <c r="B17" s="189"/>
      <c r="C17" s="259"/>
      <c r="D17" s="96" t="s">
        <v>6</v>
      </c>
      <c r="E17" s="34">
        <f>E23+E27</f>
        <v>17630.14</v>
      </c>
      <c r="F17" s="31">
        <f>SUM(G17:K17)</f>
        <v>476921.43999999994</v>
      </c>
      <c r="G17" s="34">
        <f>G23+G27</f>
        <v>18641.64</v>
      </c>
      <c r="H17" s="34">
        <f t="shared" ref="H17:K17" si="8">H23+H27</f>
        <v>21670</v>
      </c>
      <c r="I17" s="34">
        <f t="shared" si="8"/>
        <v>145536.6</v>
      </c>
      <c r="J17" s="34">
        <f t="shared" si="8"/>
        <v>145536.6</v>
      </c>
      <c r="K17" s="34">
        <f t="shared" si="8"/>
        <v>145536.6</v>
      </c>
      <c r="L17" s="249"/>
      <c r="M17" s="215" t="s">
        <v>212</v>
      </c>
    </row>
    <row r="18" spans="1:13" ht="36.75" customHeight="1" x14ac:dyDescent="0.25">
      <c r="A18" s="219"/>
      <c r="B18" s="189"/>
      <c r="C18" s="259"/>
      <c r="D18" s="102" t="s">
        <v>73</v>
      </c>
      <c r="E18" s="34">
        <f>E24</f>
        <v>155</v>
      </c>
      <c r="F18" s="31">
        <f>SUM(G18:K18)</f>
        <v>588</v>
      </c>
      <c r="G18" s="34">
        <f>G24</f>
        <v>111</v>
      </c>
      <c r="H18" s="34">
        <f t="shared" ref="H18:K18" si="9">H24</f>
        <v>477</v>
      </c>
      <c r="I18" s="34">
        <f t="shared" si="9"/>
        <v>0</v>
      </c>
      <c r="J18" s="34">
        <f t="shared" si="9"/>
        <v>0</v>
      </c>
      <c r="K18" s="34">
        <f t="shared" si="9"/>
        <v>0</v>
      </c>
      <c r="L18" s="249"/>
      <c r="M18" s="216"/>
    </row>
    <row r="19" spans="1:13" ht="36.75" customHeight="1" x14ac:dyDescent="0.25">
      <c r="A19" s="219"/>
      <c r="B19" s="189"/>
      <c r="C19" s="259"/>
      <c r="D19" s="69" t="s">
        <v>159</v>
      </c>
      <c r="E19" s="34">
        <f>E25</f>
        <v>0</v>
      </c>
      <c r="F19" s="31">
        <f>SUM(G19:K19)</f>
        <v>94750</v>
      </c>
      <c r="G19" s="34">
        <f>G25</f>
        <v>0</v>
      </c>
      <c r="H19" s="34">
        <f t="shared" ref="H19:K19" si="10">H25</f>
        <v>0</v>
      </c>
      <c r="I19" s="34">
        <f t="shared" si="10"/>
        <v>94750</v>
      </c>
      <c r="J19" s="34">
        <f t="shared" si="10"/>
        <v>0</v>
      </c>
      <c r="K19" s="34">
        <f t="shared" si="10"/>
        <v>0</v>
      </c>
      <c r="L19" s="249"/>
      <c r="M19" s="216"/>
    </row>
    <row r="20" spans="1:13" ht="63" customHeight="1" x14ac:dyDescent="0.25">
      <c r="A20" s="219"/>
      <c r="B20" s="189"/>
      <c r="C20" s="259"/>
      <c r="D20" s="66" t="s">
        <v>3</v>
      </c>
      <c r="E20" s="34">
        <f>E28</f>
        <v>0</v>
      </c>
      <c r="F20" s="31">
        <f>SUM(G20:K20)</f>
        <v>345018.61106999998</v>
      </c>
      <c r="G20" s="34">
        <f>G28</f>
        <v>0</v>
      </c>
      <c r="H20" s="34">
        <f t="shared" ref="H20:K20" si="11">H28</f>
        <v>0</v>
      </c>
      <c r="I20" s="34">
        <f t="shared" si="11"/>
        <v>115006.20368999999</v>
      </c>
      <c r="J20" s="34">
        <f t="shared" si="11"/>
        <v>115006.20368999999</v>
      </c>
      <c r="K20" s="34">
        <f t="shared" si="11"/>
        <v>115006.20368999999</v>
      </c>
      <c r="L20" s="249"/>
      <c r="M20" s="216"/>
    </row>
    <row r="21" spans="1:13" ht="25.5" customHeight="1" x14ac:dyDescent="0.25">
      <c r="A21" s="220"/>
      <c r="B21" s="194"/>
      <c r="C21" s="244"/>
      <c r="D21" s="111" t="s">
        <v>18</v>
      </c>
      <c r="E21" s="34">
        <f>E29</f>
        <v>0</v>
      </c>
      <c r="F21" s="31">
        <f>SUM(G21:K21)</f>
        <v>0</v>
      </c>
      <c r="G21" s="34">
        <f>G29</f>
        <v>0</v>
      </c>
      <c r="H21" s="34">
        <f t="shared" ref="H21:K21" si="12">H29</f>
        <v>0</v>
      </c>
      <c r="I21" s="34">
        <f t="shared" si="12"/>
        <v>0</v>
      </c>
      <c r="J21" s="34">
        <f t="shared" si="12"/>
        <v>0</v>
      </c>
      <c r="K21" s="34">
        <f t="shared" si="12"/>
        <v>0</v>
      </c>
      <c r="L21" s="250"/>
      <c r="M21" s="217"/>
    </row>
    <row r="22" spans="1:13" ht="36.75" customHeight="1" x14ac:dyDescent="0.25">
      <c r="A22" s="218" t="s">
        <v>175</v>
      </c>
      <c r="B22" s="188" t="s">
        <v>176</v>
      </c>
      <c r="C22" s="243" t="s">
        <v>54</v>
      </c>
      <c r="D22" s="111" t="s">
        <v>74</v>
      </c>
      <c r="E22" s="34">
        <v>589</v>
      </c>
      <c r="F22" s="31">
        <f t="shared" ref="F22" si="13">SUM(G22:K22)</f>
        <v>2932</v>
      </c>
      <c r="G22" s="34">
        <v>237</v>
      </c>
      <c r="H22" s="34">
        <f>1557-455-321+1914</f>
        <v>2695</v>
      </c>
      <c r="I22" s="34">
        <v>0</v>
      </c>
      <c r="J22" s="34">
        <v>0</v>
      </c>
      <c r="K22" s="34">
        <v>0</v>
      </c>
      <c r="L22" s="248" t="s">
        <v>129</v>
      </c>
      <c r="M22" s="82" t="s">
        <v>75</v>
      </c>
    </row>
    <row r="23" spans="1:13" ht="36.75" customHeight="1" x14ac:dyDescent="0.25">
      <c r="A23" s="219"/>
      <c r="B23" s="189"/>
      <c r="C23" s="259"/>
      <c r="D23" s="111" t="s">
        <v>6</v>
      </c>
      <c r="E23" s="34">
        <f>18008.14-378</f>
        <v>17630.14</v>
      </c>
      <c r="F23" s="31">
        <f>SUM(G23:K23)</f>
        <v>476921.43999999994</v>
      </c>
      <c r="G23" s="34">
        <f>18008.14+633.5</f>
        <v>18641.64</v>
      </c>
      <c r="H23" s="34">
        <f>22144-279-195</f>
        <v>21670</v>
      </c>
      <c r="I23" s="34">
        <f>50786.6+94750</f>
        <v>145536.6</v>
      </c>
      <c r="J23" s="34">
        <f t="shared" ref="J23:K23" si="14">50786.6+94750</f>
        <v>145536.6</v>
      </c>
      <c r="K23" s="34">
        <f t="shared" si="14"/>
        <v>145536.6</v>
      </c>
      <c r="L23" s="249"/>
      <c r="M23" s="215" t="s">
        <v>213</v>
      </c>
    </row>
    <row r="24" spans="1:13" ht="36.75" customHeight="1" x14ac:dyDescent="0.25">
      <c r="A24" s="219"/>
      <c r="B24" s="189"/>
      <c r="C24" s="259"/>
      <c r="D24" s="102" t="s">
        <v>73</v>
      </c>
      <c r="E24" s="34">
        <v>155</v>
      </c>
      <c r="F24" s="31">
        <f>SUM(G24:K24)</f>
        <v>588</v>
      </c>
      <c r="G24" s="34">
        <v>111</v>
      </c>
      <c r="H24" s="34">
        <f>951-279-195</f>
        <v>477</v>
      </c>
      <c r="I24" s="34">
        <v>0</v>
      </c>
      <c r="J24" s="34">
        <v>0</v>
      </c>
      <c r="K24" s="34">
        <v>0</v>
      </c>
      <c r="L24" s="249"/>
      <c r="M24" s="216"/>
    </row>
    <row r="25" spans="1:13" ht="36.75" customHeight="1" x14ac:dyDescent="0.25">
      <c r="A25" s="220"/>
      <c r="B25" s="194"/>
      <c r="C25" s="244"/>
      <c r="D25" s="69" t="s">
        <v>159</v>
      </c>
      <c r="E25" s="34">
        <v>0</v>
      </c>
      <c r="F25" s="31">
        <f>SUM(G25:K25)</f>
        <v>94750</v>
      </c>
      <c r="G25" s="34">
        <v>0</v>
      </c>
      <c r="H25" s="34">
        <v>0</v>
      </c>
      <c r="I25" s="34">
        <v>94750</v>
      </c>
      <c r="J25" s="34">
        <v>0</v>
      </c>
      <c r="K25" s="34">
        <v>0</v>
      </c>
      <c r="L25" s="250"/>
      <c r="M25" s="217"/>
    </row>
    <row r="26" spans="1:13" ht="36.75" customHeight="1" x14ac:dyDescent="0.25">
      <c r="A26" s="218" t="s">
        <v>177</v>
      </c>
      <c r="B26" s="188" t="s">
        <v>179</v>
      </c>
      <c r="C26" s="243" t="s">
        <v>54</v>
      </c>
      <c r="D26" s="111" t="s">
        <v>74</v>
      </c>
      <c r="E26" s="34">
        <v>0</v>
      </c>
      <c r="F26" s="31">
        <f t="shared" ref="F26" si="15">SUM(G26:K26)</f>
        <v>0</v>
      </c>
      <c r="G26" s="34">
        <v>0</v>
      </c>
      <c r="H26" s="34">
        <v>0</v>
      </c>
      <c r="I26" s="34">
        <v>0</v>
      </c>
      <c r="J26" s="34">
        <v>0</v>
      </c>
      <c r="K26" s="34">
        <v>0</v>
      </c>
      <c r="L26" s="248" t="s">
        <v>180</v>
      </c>
      <c r="M26" s="82" t="s">
        <v>75</v>
      </c>
    </row>
    <row r="27" spans="1:13" ht="36.75" customHeight="1" x14ac:dyDescent="0.25">
      <c r="A27" s="219"/>
      <c r="B27" s="189"/>
      <c r="C27" s="259"/>
      <c r="D27" s="111" t="s">
        <v>6</v>
      </c>
      <c r="E27" s="34">
        <v>0</v>
      </c>
      <c r="F27" s="31">
        <f>SUM(G27:K27)</f>
        <v>0</v>
      </c>
      <c r="G27" s="34">
        <v>0</v>
      </c>
      <c r="H27" s="34">
        <v>0</v>
      </c>
      <c r="I27" s="34">
        <v>0</v>
      </c>
      <c r="J27" s="34">
        <v>0</v>
      </c>
      <c r="K27" s="34">
        <v>0</v>
      </c>
      <c r="L27" s="249"/>
      <c r="M27" s="215" t="s">
        <v>214</v>
      </c>
    </row>
    <row r="28" spans="1:13" ht="60.75" customHeight="1" x14ac:dyDescent="0.25">
      <c r="A28" s="219"/>
      <c r="B28" s="189"/>
      <c r="C28" s="259"/>
      <c r="D28" s="66" t="s">
        <v>3</v>
      </c>
      <c r="E28" s="34">
        <v>0</v>
      </c>
      <c r="F28" s="31">
        <f>SUM(G28:K28)</f>
        <v>345018.61106999998</v>
      </c>
      <c r="G28" s="34">
        <v>0</v>
      </c>
      <c r="H28" s="34">
        <v>0</v>
      </c>
      <c r="I28" s="67">
        <v>115006.20368999999</v>
      </c>
      <c r="J28" s="67">
        <v>115006.20368999999</v>
      </c>
      <c r="K28" s="67">
        <v>115006.20368999999</v>
      </c>
      <c r="L28" s="249"/>
      <c r="M28" s="216"/>
    </row>
    <row r="29" spans="1:13" ht="24" customHeight="1" x14ac:dyDescent="0.25">
      <c r="A29" s="220"/>
      <c r="B29" s="194"/>
      <c r="C29" s="244"/>
      <c r="D29" s="111" t="s">
        <v>18</v>
      </c>
      <c r="E29" s="34">
        <v>0</v>
      </c>
      <c r="F29" s="31">
        <f>SUM(G29:K29)</f>
        <v>0</v>
      </c>
      <c r="G29" s="34">
        <v>0</v>
      </c>
      <c r="H29" s="34">
        <v>0</v>
      </c>
      <c r="I29" s="67">
        <v>0</v>
      </c>
      <c r="J29" s="67">
        <v>0</v>
      </c>
      <c r="K29" s="67">
        <v>0</v>
      </c>
      <c r="L29" s="250"/>
      <c r="M29" s="217"/>
    </row>
    <row r="30" spans="1:13" ht="36" customHeight="1" x14ac:dyDescent="0.25">
      <c r="A30" s="39" t="s">
        <v>8</v>
      </c>
      <c r="B30" s="22" t="s">
        <v>11</v>
      </c>
      <c r="C30" s="20" t="s">
        <v>54</v>
      </c>
      <c r="D30" s="101" t="s">
        <v>6</v>
      </c>
      <c r="E30" s="34">
        <v>71.099999999999994</v>
      </c>
      <c r="F30" s="31">
        <f t="shared" ref="F30:F37" si="16">SUM(G30:K30)</f>
        <v>71.100000000000023</v>
      </c>
      <c r="G30" s="34">
        <f>265.1-194</f>
        <v>71.100000000000023</v>
      </c>
      <c r="H30" s="34">
        <v>0</v>
      </c>
      <c r="I30" s="34">
        <v>0</v>
      </c>
      <c r="J30" s="34">
        <v>0</v>
      </c>
      <c r="K30" s="34">
        <v>0</v>
      </c>
      <c r="L30" s="35" t="s">
        <v>140</v>
      </c>
      <c r="M30" s="82" t="s">
        <v>57</v>
      </c>
    </row>
    <row r="31" spans="1:13" ht="34.5" customHeight="1" x14ac:dyDescent="0.25">
      <c r="A31" s="241" t="s">
        <v>10</v>
      </c>
      <c r="B31" s="193" t="s">
        <v>178</v>
      </c>
      <c r="C31" s="243" t="s">
        <v>54</v>
      </c>
      <c r="D31" s="96" t="s">
        <v>6</v>
      </c>
      <c r="E31" s="34">
        <v>270270.59999999998</v>
      </c>
      <c r="F31" s="31">
        <f t="shared" si="16"/>
        <v>1606723.632</v>
      </c>
      <c r="G31" s="34">
        <f>271578.092+2301.2+4550</f>
        <v>278429.29200000002</v>
      </c>
      <c r="H31" s="34">
        <f>293599.1+6002+888.344</f>
        <v>300489.44399999996</v>
      </c>
      <c r="I31" s="34">
        <v>342601.63199999998</v>
      </c>
      <c r="J31" s="34">
        <v>342601.63199999998</v>
      </c>
      <c r="K31" s="34">
        <v>342601.63199999998</v>
      </c>
      <c r="L31" s="248" t="s">
        <v>147</v>
      </c>
      <c r="M31" s="247" t="s">
        <v>215</v>
      </c>
    </row>
    <row r="32" spans="1:13" ht="30" customHeight="1" x14ac:dyDescent="0.25">
      <c r="A32" s="241"/>
      <c r="B32" s="193"/>
      <c r="C32" s="259"/>
      <c r="D32" s="102" t="s">
        <v>73</v>
      </c>
      <c r="E32" s="34">
        <v>4101</v>
      </c>
      <c r="F32" s="31">
        <f t="shared" si="16"/>
        <v>2376</v>
      </c>
      <c r="G32" s="34">
        <v>2376</v>
      </c>
      <c r="H32" s="34">
        <v>0</v>
      </c>
      <c r="I32" s="34">
        <v>0</v>
      </c>
      <c r="J32" s="34">
        <v>0</v>
      </c>
      <c r="K32" s="34">
        <v>0</v>
      </c>
      <c r="L32" s="249"/>
      <c r="M32" s="247"/>
    </row>
    <row r="33" spans="1:13" ht="33" customHeight="1" x14ac:dyDescent="0.25">
      <c r="A33" s="241"/>
      <c r="B33" s="193"/>
      <c r="C33" s="259"/>
      <c r="D33" s="96" t="s">
        <v>74</v>
      </c>
      <c r="E33" s="34">
        <v>8201</v>
      </c>
      <c r="F33" s="31">
        <f t="shared" si="16"/>
        <v>4752</v>
      </c>
      <c r="G33" s="34">
        <v>4752</v>
      </c>
      <c r="H33" s="34">
        <v>0</v>
      </c>
      <c r="I33" s="34">
        <v>0</v>
      </c>
      <c r="J33" s="34">
        <v>0</v>
      </c>
      <c r="K33" s="34">
        <v>0</v>
      </c>
      <c r="L33" s="249"/>
      <c r="M33" s="247"/>
    </row>
    <row r="34" spans="1:13" ht="29.25" customHeight="1" x14ac:dyDescent="0.25">
      <c r="A34" s="241"/>
      <c r="B34" s="193"/>
      <c r="C34" s="259"/>
      <c r="D34" s="102" t="s">
        <v>73</v>
      </c>
      <c r="E34" s="34">
        <v>8201</v>
      </c>
      <c r="F34" s="31">
        <f t="shared" ref="F34" si="17">SUM(G34:K34)</f>
        <v>4752</v>
      </c>
      <c r="G34" s="34">
        <v>4752</v>
      </c>
      <c r="H34" s="34">
        <v>0</v>
      </c>
      <c r="I34" s="34">
        <v>0</v>
      </c>
      <c r="J34" s="34">
        <v>0</v>
      </c>
      <c r="K34" s="34">
        <v>0</v>
      </c>
      <c r="L34" s="249"/>
      <c r="M34" s="247"/>
    </row>
    <row r="35" spans="1:13" ht="30.75" customHeight="1" x14ac:dyDescent="0.25">
      <c r="A35" s="241"/>
      <c r="B35" s="193"/>
      <c r="C35" s="244"/>
      <c r="D35" s="96" t="s">
        <v>18</v>
      </c>
      <c r="E35" s="34">
        <v>36883</v>
      </c>
      <c r="F35" s="31">
        <f t="shared" si="16"/>
        <v>213301.36199999999</v>
      </c>
      <c r="G35" s="34">
        <v>38639</v>
      </c>
      <c r="H35" s="34">
        <v>44787.39</v>
      </c>
      <c r="I35" s="58">
        <f>39489+11407.972</f>
        <v>50896.972000000002</v>
      </c>
      <c r="J35" s="34">
        <v>39489</v>
      </c>
      <c r="K35" s="34">
        <v>39489</v>
      </c>
      <c r="L35" s="250"/>
      <c r="M35" s="247"/>
    </row>
    <row r="36" spans="1:13" ht="66" customHeight="1" x14ac:dyDescent="0.25">
      <c r="A36" s="28" t="s">
        <v>12</v>
      </c>
      <c r="B36" s="20" t="s">
        <v>21</v>
      </c>
      <c r="C36" s="20" t="s">
        <v>54</v>
      </c>
      <c r="D36" s="101" t="s">
        <v>6</v>
      </c>
      <c r="E36" s="34">
        <v>1985</v>
      </c>
      <c r="F36" s="31">
        <f t="shared" si="16"/>
        <v>1950</v>
      </c>
      <c r="G36" s="34">
        <v>1950</v>
      </c>
      <c r="H36" s="34">
        <v>0</v>
      </c>
      <c r="I36" s="34">
        <v>0</v>
      </c>
      <c r="J36" s="34">
        <v>0</v>
      </c>
      <c r="K36" s="34">
        <v>0</v>
      </c>
      <c r="L36" s="35" t="s">
        <v>128</v>
      </c>
      <c r="M36" s="82" t="s">
        <v>57</v>
      </c>
    </row>
    <row r="37" spans="1:13" ht="93.6" customHeight="1" x14ac:dyDescent="0.25">
      <c r="A37" s="39" t="s">
        <v>15</v>
      </c>
      <c r="B37" s="21" t="s">
        <v>23</v>
      </c>
      <c r="C37" s="21" t="s">
        <v>54</v>
      </c>
      <c r="D37" s="68" t="s">
        <v>6</v>
      </c>
      <c r="E37" s="36">
        <v>1000</v>
      </c>
      <c r="F37" s="37">
        <f t="shared" si="16"/>
        <v>5390.5</v>
      </c>
      <c r="G37" s="36">
        <v>1000</v>
      </c>
      <c r="H37" s="60">
        <f>1000-59.5</f>
        <v>940.5</v>
      </c>
      <c r="I37" s="36">
        <v>1150</v>
      </c>
      <c r="J37" s="36">
        <v>1150</v>
      </c>
      <c r="K37" s="36">
        <v>1150</v>
      </c>
      <c r="L37" s="38" t="s">
        <v>127</v>
      </c>
      <c r="M37" s="83" t="s">
        <v>216</v>
      </c>
    </row>
    <row r="38" spans="1:13" ht="31.9" customHeight="1" x14ac:dyDescent="0.25">
      <c r="A38" s="297" t="s">
        <v>17</v>
      </c>
      <c r="B38" s="298" t="s">
        <v>64</v>
      </c>
      <c r="C38" s="296" t="s">
        <v>79</v>
      </c>
      <c r="D38" s="99" t="s">
        <v>1</v>
      </c>
      <c r="E38" s="31">
        <f>SUM(E39:E42)</f>
        <v>8211.7000000000007</v>
      </c>
      <c r="F38" s="31">
        <f>SUM(G38:K38)</f>
        <v>34261.339999999997</v>
      </c>
      <c r="G38" s="31">
        <f>SUM(G39:G42)</f>
        <v>7400.7</v>
      </c>
      <c r="H38" s="31">
        <f>SUM(H39:H42)</f>
        <v>10071.200000000001</v>
      </c>
      <c r="I38" s="31">
        <f t="shared" ref="I38:K38" si="18">SUM(I39:I42)</f>
        <v>5596.48</v>
      </c>
      <c r="J38" s="31">
        <f t="shared" si="18"/>
        <v>5596.48</v>
      </c>
      <c r="K38" s="31">
        <f t="shared" si="18"/>
        <v>5596.48</v>
      </c>
      <c r="L38" s="32"/>
      <c r="M38" s="295"/>
    </row>
    <row r="39" spans="1:13" ht="31.9" customHeight="1" x14ac:dyDescent="0.25">
      <c r="A39" s="297"/>
      <c r="B39" s="298"/>
      <c r="C39" s="296"/>
      <c r="D39" s="99" t="s">
        <v>76</v>
      </c>
      <c r="E39" s="31">
        <f>E43+E48</f>
        <v>816</v>
      </c>
      <c r="F39" s="31">
        <f>SUM(G39:K39)</f>
        <v>1027</v>
      </c>
      <c r="G39" s="31">
        <f>G43+G48</f>
        <v>251</v>
      </c>
      <c r="H39" s="31">
        <f t="shared" ref="H39:K39" si="19">H43+H48</f>
        <v>776</v>
      </c>
      <c r="I39" s="31">
        <f t="shared" si="19"/>
        <v>0</v>
      </c>
      <c r="J39" s="31">
        <f t="shared" si="19"/>
        <v>0</v>
      </c>
      <c r="K39" s="31">
        <f t="shared" si="19"/>
        <v>0</v>
      </c>
      <c r="L39" s="32"/>
      <c r="M39" s="295"/>
    </row>
    <row r="40" spans="1:13" ht="31.9" customHeight="1" x14ac:dyDescent="0.25">
      <c r="A40" s="297"/>
      <c r="B40" s="298"/>
      <c r="C40" s="296"/>
      <c r="D40" s="99" t="s">
        <v>2</v>
      </c>
      <c r="E40" s="31">
        <f>E44+E46</f>
        <v>2346.5</v>
      </c>
      <c r="F40" s="31">
        <f>SUM(G40:K40)</f>
        <v>9691.5</v>
      </c>
      <c r="G40" s="31">
        <f>G44+G46</f>
        <v>2361.5</v>
      </c>
      <c r="H40" s="31">
        <f t="shared" ref="H40:K40" si="20">H44+H46</f>
        <v>4150</v>
      </c>
      <c r="I40" s="31">
        <f t="shared" si="20"/>
        <v>1060</v>
      </c>
      <c r="J40" s="31">
        <f t="shared" si="20"/>
        <v>1060</v>
      </c>
      <c r="K40" s="31">
        <f t="shared" si="20"/>
        <v>1060</v>
      </c>
      <c r="L40" s="32"/>
      <c r="M40" s="295"/>
    </row>
    <row r="41" spans="1:13" ht="57.75" customHeight="1" x14ac:dyDescent="0.25">
      <c r="A41" s="297"/>
      <c r="B41" s="298"/>
      <c r="C41" s="296"/>
      <c r="D41" s="89" t="s">
        <v>144</v>
      </c>
      <c r="E41" s="31">
        <f>E49</f>
        <v>2748</v>
      </c>
      <c r="F41" s="31">
        <f>SUM(G41:K41)</f>
        <v>12012</v>
      </c>
      <c r="G41" s="31">
        <f>G49</f>
        <v>2487</v>
      </c>
      <c r="H41" s="31">
        <f t="shared" ref="H41:K41" si="21">H49</f>
        <v>2844</v>
      </c>
      <c r="I41" s="31">
        <f t="shared" si="21"/>
        <v>2227</v>
      </c>
      <c r="J41" s="31">
        <f t="shared" si="21"/>
        <v>2227</v>
      </c>
      <c r="K41" s="31">
        <f t="shared" si="21"/>
        <v>2227</v>
      </c>
      <c r="L41" s="32"/>
      <c r="M41" s="295"/>
    </row>
    <row r="42" spans="1:13" ht="71.25" customHeight="1" x14ac:dyDescent="0.25">
      <c r="A42" s="297"/>
      <c r="B42" s="298"/>
      <c r="C42" s="296"/>
      <c r="D42" s="100" t="s">
        <v>3</v>
      </c>
      <c r="E42" s="31">
        <f>E47</f>
        <v>2301.1999999999998</v>
      </c>
      <c r="F42" s="31">
        <f>SUM(G42:K42)</f>
        <v>11530.839999999998</v>
      </c>
      <c r="G42" s="31">
        <f>G47</f>
        <v>2301.1999999999998</v>
      </c>
      <c r="H42" s="31">
        <f t="shared" ref="H42:K42" si="22">H47</f>
        <v>2301.1999999999998</v>
      </c>
      <c r="I42" s="31">
        <f t="shared" si="22"/>
        <v>2309.48</v>
      </c>
      <c r="J42" s="31">
        <f t="shared" si="22"/>
        <v>2309.48</v>
      </c>
      <c r="K42" s="31">
        <f t="shared" si="22"/>
        <v>2309.48</v>
      </c>
      <c r="L42" s="32"/>
      <c r="M42" s="295"/>
    </row>
    <row r="43" spans="1:13" ht="31.5" customHeight="1" x14ac:dyDescent="0.25">
      <c r="A43" s="218" t="s">
        <v>19</v>
      </c>
      <c r="B43" s="243" t="s">
        <v>9</v>
      </c>
      <c r="C43" s="243" t="s">
        <v>54</v>
      </c>
      <c r="D43" s="96" t="s">
        <v>74</v>
      </c>
      <c r="E43" s="34">
        <v>60</v>
      </c>
      <c r="F43" s="31">
        <f t="shared" ref="F43" si="23">SUM(G43:K43)</f>
        <v>17</v>
      </c>
      <c r="G43" s="34">
        <v>17</v>
      </c>
      <c r="H43" s="34">
        <v>0</v>
      </c>
      <c r="I43" s="34">
        <v>0</v>
      </c>
      <c r="J43" s="34">
        <v>0</v>
      </c>
      <c r="K43" s="34">
        <v>0</v>
      </c>
      <c r="L43" s="56"/>
      <c r="M43" s="84" t="s">
        <v>75</v>
      </c>
    </row>
    <row r="44" spans="1:13" ht="56.25" customHeight="1" x14ac:dyDescent="0.25">
      <c r="A44" s="219"/>
      <c r="B44" s="259"/>
      <c r="C44" s="259"/>
      <c r="D44" s="101" t="s">
        <v>6</v>
      </c>
      <c r="E44" s="34">
        <v>1286.5</v>
      </c>
      <c r="F44" s="31">
        <f t="shared" ref="F44:F50" si="24">SUM(G44:K44)</f>
        <v>1301.5</v>
      </c>
      <c r="G44" s="34">
        <f>1286.5+15</f>
        <v>1301.5</v>
      </c>
      <c r="H44" s="34">
        <v>0</v>
      </c>
      <c r="I44" s="34">
        <v>0</v>
      </c>
      <c r="J44" s="34">
        <v>0</v>
      </c>
      <c r="K44" s="34">
        <v>0</v>
      </c>
      <c r="L44" s="248" t="s">
        <v>129</v>
      </c>
      <c r="M44" s="228" t="s">
        <v>77</v>
      </c>
    </row>
    <row r="45" spans="1:13" ht="54.75" customHeight="1" x14ac:dyDescent="0.25">
      <c r="A45" s="220"/>
      <c r="B45" s="244"/>
      <c r="C45" s="244"/>
      <c r="D45" s="102" t="s">
        <v>73</v>
      </c>
      <c r="E45" s="34">
        <v>9</v>
      </c>
      <c r="F45" s="31">
        <f t="shared" si="24"/>
        <v>15</v>
      </c>
      <c r="G45" s="34">
        <v>15</v>
      </c>
      <c r="H45" s="34">
        <v>0</v>
      </c>
      <c r="I45" s="34">
        <v>0</v>
      </c>
      <c r="J45" s="34">
        <v>0</v>
      </c>
      <c r="K45" s="34">
        <v>0</v>
      </c>
      <c r="L45" s="249"/>
      <c r="M45" s="299"/>
    </row>
    <row r="46" spans="1:13" ht="38.25" customHeight="1" x14ac:dyDescent="0.25">
      <c r="A46" s="306" t="s">
        <v>20</v>
      </c>
      <c r="B46" s="308" t="s">
        <v>13</v>
      </c>
      <c r="C46" s="20" t="s">
        <v>54</v>
      </c>
      <c r="D46" s="101" t="s">
        <v>6</v>
      </c>
      <c r="E46" s="34">
        <v>1060</v>
      </c>
      <c r="F46" s="31">
        <f t="shared" si="24"/>
        <v>8390</v>
      </c>
      <c r="G46" s="34">
        <v>1060</v>
      </c>
      <c r="H46" s="34">
        <f>1060+3090</f>
        <v>4150</v>
      </c>
      <c r="I46" s="34">
        <v>1060</v>
      </c>
      <c r="J46" s="34">
        <v>1060</v>
      </c>
      <c r="K46" s="34">
        <v>1060</v>
      </c>
      <c r="L46" s="248" t="s">
        <v>129</v>
      </c>
      <c r="M46" s="309" t="s">
        <v>80</v>
      </c>
    </row>
    <row r="47" spans="1:13" ht="66.75" customHeight="1" x14ac:dyDescent="0.25">
      <c r="A47" s="307"/>
      <c r="B47" s="308"/>
      <c r="C47" s="20" t="s">
        <v>54</v>
      </c>
      <c r="D47" s="101" t="s">
        <v>14</v>
      </c>
      <c r="E47" s="34">
        <v>2301.1999999999998</v>
      </c>
      <c r="F47" s="31">
        <f t="shared" si="24"/>
        <v>11530.839999999998</v>
      </c>
      <c r="G47" s="34">
        <v>2301.1999999999998</v>
      </c>
      <c r="H47" s="34">
        <v>2301.1999999999998</v>
      </c>
      <c r="I47" s="58">
        <v>2309.48</v>
      </c>
      <c r="J47" s="58">
        <v>2309.48</v>
      </c>
      <c r="K47" s="58">
        <v>2309.48</v>
      </c>
      <c r="L47" s="250"/>
      <c r="M47" s="309"/>
    </row>
    <row r="48" spans="1:13" ht="33" customHeight="1" x14ac:dyDescent="0.25">
      <c r="A48" s="225" t="s">
        <v>22</v>
      </c>
      <c r="B48" s="243" t="s">
        <v>16</v>
      </c>
      <c r="C48" s="243" t="s">
        <v>54</v>
      </c>
      <c r="D48" s="174" t="s">
        <v>74</v>
      </c>
      <c r="E48" s="34">
        <v>756</v>
      </c>
      <c r="F48" s="31">
        <f t="shared" si="24"/>
        <v>1010</v>
      </c>
      <c r="G48" s="34">
        <v>234</v>
      </c>
      <c r="H48" s="34">
        <f>455+321</f>
        <v>776</v>
      </c>
      <c r="I48" s="34">
        <v>0</v>
      </c>
      <c r="J48" s="34">
        <v>0</v>
      </c>
      <c r="K48" s="34">
        <v>0</v>
      </c>
      <c r="L48" s="172"/>
      <c r="M48" s="173" t="s">
        <v>165</v>
      </c>
    </row>
    <row r="49" spans="1:13" ht="48.75" customHeight="1" x14ac:dyDescent="0.25">
      <c r="A49" s="226"/>
      <c r="B49" s="259"/>
      <c r="C49" s="259"/>
      <c r="D49" s="66" t="s">
        <v>144</v>
      </c>
      <c r="E49" s="34">
        <f>2370+378</f>
        <v>2748</v>
      </c>
      <c r="F49" s="31">
        <f t="shared" si="24"/>
        <v>12012</v>
      </c>
      <c r="G49" s="34">
        <f>2370+117</f>
        <v>2487</v>
      </c>
      <c r="H49" s="34">
        <f>2370+279+195</f>
        <v>2844</v>
      </c>
      <c r="I49" s="34">
        <v>2227</v>
      </c>
      <c r="J49" s="34">
        <v>2227</v>
      </c>
      <c r="K49" s="34">
        <v>2227</v>
      </c>
      <c r="L49" s="248" t="s">
        <v>127</v>
      </c>
      <c r="M49" s="228" t="s">
        <v>57</v>
      </c>
    </row>
    <row r="50" spans="1:13" ht="39" customHeight="1" x14ac:dyDescent="0.25">
      <c r="A50" s="227"/>
      <c r="B50" s="244"/>
      <c r="C50" s="244"/>
      <c r="D50" s="102" t="s">
        <v>73</v>
      </c>
      <c r="E50" s="34">
        <v>378</v>
      </c>
      <c r="F50" s="31">
        <f t="shared" si="24"/>
        <v>591</v>
      </c>
      <c r="G50" s="34">
        <v>117</v>
      </c>
      <c r="H50" s="34">
        <f>279+195</f>
        <v>474</v>
      </c>
      <c r="I50" s="34">
        <v>0</v>
      </c>
      <c r="J50" s="34">
        <v>0</v>
      </c>
      <c r="K50" s="34">
        <v>0</v>
      </c>
      <c r="L50" s="250"/>
      <c r="M50" s="229"/>
    </row>
    <row r="51" spans="1:13" ht="29.25" customHeight="1" x14ac:dyDescent="0.25">
      <c r="A51" s="230" t="s">
        <v>24</v>
      </c>
      <c r="B51" s="232" t="s">
        <v>65</v>
      </c>
      <c r="C51" s="230" t="s">
        <v>79</v>
      </c>
      <c r="D51" s="62" t="s">
        <v>1</v>
      </c>
      <c r="E51" s="63">
        <f>SUM(E52:E57)-E55</f>
        <v>4958.3599999999997</v>
      </c>
      <c r="F51" s="63">
        <f>SUM(G51:K51)</f>
        <v>1593875.5991899997</v>
      </c>
      <c r="G51" s="63">
        <f>SUM(G52:G57)-G55</f>
        <v>155349</v>
      </c>
      <c r="H51" s="63">
        <f>SUM(H52:H57)-H55</f>
        <v>1251585.4926399998</v>
      </c>
      <c r="I51" s="63">
        <f>SUM(I52:I57)-I55</f>
        <v>186941.10655</v>
      </c>
      <c r="J51" s="63">
        <f>SUM(J52:J57)-J55</f>
        <v>0</v>
      </c>
      <c r="K51" s="63">
        <f>SUM(K52:K57)-K55</f>
        <v>0</v>
      </c>
      <c r="L51" s="263" t="s">
        <v>133</v>
      </c>
      <c r="M51" s="185" t="s">
        <v>138</v>
      </c>
    </row>
    <row r="52" spans="1:13" ht="34.5" customHeight="1" x14ac:dyDescent="0.25">
      <c r="A52" s="231"/>
      <c r="B52" s="233"/>
      <c r="C52" s="231"/>
      <c r="D52" s="62" t="s">
        <v>121</v>
      </c>
      <c r="E52" s="63">
        <f t="shared" ref="E52:E57" si="25">E58</f>
        <v>0</v>
      </c>
      <c r="F52" s="63">
        <f t="shared" ref="F52:F57" si="26">SUM(G52:K52)</f>
        <v>36319.82</v>
      </c>
      <c r="G52" s="63">
        <f t="shared" ref="G52:G57" si="27">G58</f>
        <v>36319.82</v>
      </c>
      <c r="H52" s="63">
        <f t="shared" ref="H52:K52" si="28">H58</f>
        <v>0</v>
      </c>
      <c r="I52" s="63">
        <f t="shared" si="28"/>
        <v>0</v>
      </c>
      <c r="J52" s="63">
        <f t="shared" si="28"/>
        <v>0</v>
      </c>
      <c r="K52" s="63">
        <f t="shared" si="28"/>
        <v>0</v>
      </c>
      <c r="L52" s="264"/>
      <c r="M52" s="186"/>
    </row>
    <row r="53" spans="1:13" ht="24.75" customHeight="1" x14ac:dyDescent="0.25">
      <c r="A53" s="231"/>
      <c r="B53" s="233"/>
      <c r="C53" s="231"/>
      <c r="D53" s="62" t="s">
        <v>76</v>
      </c>
      <c r="E53" s="63">
        <f t="shared" si="25"/>
        <v>0</v>
      </c>
      <c r="F53" s="63">
        <f t="shared" si="26"/>
        <v>1328000.18</v>
      </c>
      <c r="G53" s="63">
        <f t="shared" si="27"/>
        <v>101904.18</v>
      </c>
      <c r="H53" s="63">
        <f t="shared" ref="H53:K53" si="29">H59</f>
        <v>1118096</v>
      </c>
      <c r="I53" s="63">
        <f t="shared" si="29"/>
        <v>108000</v>
      </c>
      <c r="J53" s="63">
        <f t="shared" si="29"/>
        <v>0</v>
      </c>
      <c r="K53" s="63">
        <f t="shared" si="29"/>
        <v>0</v>
      </c>
      <c r="L53" s="264"/>
      <c r="M53" s="186"/>
    </row>
    <row r="54" spans="1:13" ht="30" customHeight="1" x14ac:dyDescent="0.25">
      <c r="A54" s="231"/>
      <c r="B54" s="233"/>
      <c r="C54" s="231"/>
      <c r="D54" s="62" t="s">
        <v>2</v>
      </c>
      <c r="E54" s="63">
        <f t="shared" si="25"/>
        <v>4958.3599999999997</v>
      </c>
      <c r="F54" s="63">
        <f t="shared" si="26"/>
        <v>141652.64993000001</v>
      </c>
      <c r="G54" s="63">
        <f t="shared" si="27"/>
        <v>0</v>
      </c>
      <c r="H54" s="63">
        <f t="shared" ref="H54:K54" si="30">H60</f>
        <v>71438.543380000003</v>
      </c>
      <c r="I54" s="63">
        <f>I60</f>
        <v>70214.106549999997</v>
      </c>
      <c r="J54" s="63">
        <f t="shared" si="30"/>
        <v>0</v>
      </c>
      <c r="K54" s="63">
        <f t="shared" si="30"/>
        <v>0</v>
      </c>
      <c r="L54" s="264"/>
      <c r="M54" s="186"/>
    </row>
    <row r="55" spans="1:13" ht="30" customHeight="1" x14ac:dyDescent="0.25">
      <c r="A55" s="231"/>
      <c r="B55" s="233"/>
      <c r="C55" s="231"/>
      <c r="D55" s="69" t="s">
        <v>159</v>
      </c>
      <c r="E55" s="63">
        <f t="shared" si="25"/>
        <v>0</v>
      </c>
      <c r="F55" s="63">
        <f t="shared" si="26"/>
        <v>61280.214999999997</v>
      </c>
      <c r="G55" s="63">
        <f t="shared" si="27"/>
        <v>0</v>
      </c>
      <c r="H55" s="63">
        <f t="shared" ref="H55:K55" si="31">H61</f>
        <v>18915</v>
      </c>
      <c r="I55" s="63">
        <f t="shared" si="31"/>
        <v>42365.214999999997</v>
      </c>
      <c r="J55" s="63">
        <f t="shared" si="31"/>
        <v>0</v>
      </c>
      <c r="K55" s="63">
        <f t="shared" si="31"/>
        <v>0</v>
      </c>
      <c r="L55" s="264"/>
      <c r="M55" s="186"/>
    </row>
    <row r="56" spans="1:13" ht="60.75" customHeight="1" x14ac:dyDescent="0.25">
      <c r="A56" s="231"/>
      <c r="B56" s="233"/>
      <c r="C56" s="231"/>
      <c r="D56" s="62" t="s">
        <v>3</v>
      </c>
      <c r="E56" s="63">
        <f t="shared" si="25"/>
        <v>0</v>
      </c>
      <c r="F56" s="63">
        <f t="shared" si="26"/>
        <v>39702.949260000001</v>
      </c>
      <c r="G56" s="63">
        <f t="shared" si="27"/>
        <v>17125</v>
      </c>
      <c r="H56" s="63">
        <f t="shared" ref="H56:K56" si="32">H62</f>
        <v>13850.949260000001</v>
      </c>
      <c r="I56" s="63">
        <f t="shared" si="32"/>
        <v>8727</v>
      </c>
      <c r="J56" s="63">
        <f t="shared" si="32"/>
        <v>0</v>
      </c>
      <c r="K56" s="63">
        <f t="shared" si="32"/>
        <v>0</v>
      </c>
      <c r="L56" s="264"/>
      <c r="M56" s="186"/>
    </row>
    <row r="57" spans="1:13" ht="60" customHeight="1" x14ac:dyDescent="0.25">
      <c r="A57" s="231"/>
      <c r="B57" s="233"/>
      <c r="C57" s="231"/>
      <c r="D57" s="65" t="s">
        <v>144</v>
      </c>
      <c r="E57" s="64">
        <f t="shared" si="25"/>
        <v>0</v>
      </c>
      <c r="F57" s="63">
        <f t="shared" si="26"/>
        <v>48200</v>
      </c>
      <c r="G57" s="64">
        <f t="shared" si="27"/>
        <v>0</v>
      </c>
      <c r="H57" s="64">
        <f t="shared" ref="H57:K57" si="33">H63</f>
        <v>48200</v>
      </c>
      <c r="I57" s="64">
        <f t="shared" si="33"/>
        <v>0</v>
      </c>
      <c r="J57" s="64">
        <f t="shared" si="33"/>
        <v>0</v>
      </c>
      <c r="K57" s="64">
        <f t="shared" si="33"/>
        <v>0</v>
      </c>
      <c r="L57" s="264"/>
      <c r="M57" s="186"/>
    </row>
    <row r="58" spans="1:13" ht="36" customHeight="1" x14ac:dyDescent="0.25">
      <c r="A58" s="238" t="s">
        <v>25</v>
      </c>
      <c r="B58" s="188" t="s">
        <v>126</v>
      </c>
      <c r="C58" s="190" t="s">
        <v>54</v>
      </c>
      <c r="D58" s="66" t="s">
        <v>121</v>
      </c>
      <c r="E58" s="60">
        <f>E67</f>
        <v>0</v>
      </c>
      <c r="F58" s="63">
        <f t="shared" ref="F58:F67" si="34">SUM(G58:K58)</f>
        <v>36319.82</v>
      </c>
      <c r="G58" s="60">
        <f>G67</f>
        <v>36319.82</v>
      </c>
      <c r="H58" s="60">
        <f t="shared" ref="H58:K58" si="35">H67</f>
        <v>0</v>
      </c>
      <c r="I58" s="60">
        <f t="shared" si="35"/>
        <v>0</v>
      </c>
      <c r="J58" s="60">
        <f t="shared" si="35"/>
        <v>0</v>
      </c>
      <c r="K58" s="60">
        <f t="shared" si="35"/>
        <v>0</v>
      </c>
      <c r="L58" s="264"/>
      <c r="M58" s="186"/>
    </row>
    <row r="59" spans="1:13" ht="36" customHeight="1" x14ac:dyDescent="0.25">
      <c r="A59" s="239"/>
      <c r="B59" s="189"/>
      <c r="C59" s="191"/>
      <c r="D59" s="66" t="s">
        <v>74</v>
      </c>
      <c r="E59" s="60">
        <f>E68+E72</f>
        <v>0</v>
      </c>
      <c r="F59" s="63">
        <f t="shared" ref="F59:F66" si="36">SUM(G59:K59)</f>
        <v>1328000.18</v>
      </c>
      <c r="G59" s="60">
        <f>G68+G72</f>
        <v>101904.18</v>
      </c>
      <c r="H59" s="60">
        <f t="shared" ref="H59:K59" si="37">H68+H72</f>
        <v>1118096</v>
      </c>
      <c r="I59" s="60">
        <f t="shared" si="37"/>
        <v>108000</v>
      </c>
      <c r="J59" s="60">
        <f t="shared" si="37"/>
        <v>0</v>
      </c>
      <c r="K59" s="60">
        <f t="shared" si="37"/>
        <v>0</v>
      </c>
      <c r="L59" s="264"/>
      <c r="M59" s="186"/>
    </row>
    <row r="60" spans="1:13" ht="36" customHeight="1" x14ac:dyDescent="0.25">
      <c r="A60" s="239"/>
      <c r="B60" s="189"/>
      <c r="C60" s="191"/>
      <c r="D60" s="66" t="s">
        <v>6</v>
      </c>
      <c r="E60" s="60">
        <f>E64+E69</f>
        <v>4958.3599999999997</v>
      </c>
      <c r="F60" s="63">
        <f>SUM(G60:K60)</f>
        <v>141652.64993000001</v>
      </c>
      <c r="G60" s="60">
        <f>G64+G69</f>
        <v>0</v>
      </c>
      <c r="H60" s="60">
        <f t="shared" ref="H60:K60" si="38">H64+H69</f>
        <v>71438.543380000003</v>
      </c>
      <c r="I60" s="60">
        <f t="shared" si="38"/>
        <v>70214.106549999997</v>
      </c>
      <c r="J60" s="60">
        <f t="shared" si="38"/>
        <v>0</v>
      </c>
      <c r="K60" s="60">
        <f t="shared" si="38"/>
        <v>0</v>
      </c>
      <c r="L60" s="264"/>
      <c r="M60" s="186"/>
    </row>
    <row r="61" spans="1:13" ht="36" customHeight="1" x14ac:dyDescent="0.25">
      <c r="A61" s="239"/>
      <c r="B61" s="189"/>
      <c r="C61" s="191"/>
      <c r="D61" s="69" t="s">
        <v>159</v>
      </c>
      <c r="E61" s="60">
        <f>E70</f>
        <v>0</v>
      </c>
      <c r="F61" s="63">
        <f>SUM(G61:K61)</f>
        <v>61280.214999999997</v>
      </c>
      <c r="G61" s="60">
        <f>G70</f>
        <v>0</v>
      </c>
      <c r="H61" s="60">
        <f t="shared" ref="H61:K61" si="39">H70</f>
        <v>18915</v>
      </c>
      <c r="I61" s="60">
        <f t="shared" si="39"/>
        <v>42365.214999999997</v>
      </c>
      <c r="J61" s="60">
        <f t="shared" si="39"/>
        <v>0</v>
      </c>
      <c r="K61" s="60">
        <f t="shared" si="39"/>
        <v>0</v>
      </c>
      <c r="L61" s="264"/>
      <c r="M61" s="186"/>
    </row>
    <row r="62" spans="1:13" ht="64.5" customHeight="1" x14ac:dyDescent="0.25">
      <c r="A62" s="239"/>
      <c r="B62" s="189"/>
      <c r="C62" s="191"/>
      <c r="D62" s="66" t="s">
        <v>3</v>
      </c>
      <c r="E62" s="60">
        <f>E65+E71</f>
        <v>0</v>
      </c>
      <c r="F62" s="63">
        <f t="shared" si="36"/>
        <v>39702.949260000001</v>
      </c>
      <c r="G62" s="60">
        <f>G65+G71</f>
        <v>17125</v>
      </c>
      <c r="H62" s="60">
        <f t="shared" ref="H62:K62" si="40">H65+H71</f>
        <v>13850.949260000001</v>
      </c>
      <c r="I62" s="60">
        <f t="shared" si="40"/>
        <v>8727</v>
      </c>
      <c r="J62" s="60">
        <f t="shared" si="40"/>
        <v>0</v>
      </c>
      <c r="K62" s="60">
        <f t="shared" si="40"/>
        <v>0</v>
      </c>
      <c r="L62" s="264"/>
      <c r="M62" s="186"/>
    </row>
    <row r="63" spans="1:13" ht="48.75" customHeight="1" x14ac:dyDescent="0.25">
      <c r="A63" s="239"/>
      <c r="B63" s="189"/>
      <c r="C63" s="192"/>
      <c r="D63" s="66" t="s">
        <v>144</v>
      </c>
      <c r="E63" s="60">
        <f>E66</f>
        <v>0</v>
      </c>
      <c r="F63" s="63">
        <f t="shared" si="36"/>
        <v>48200</v>
      </c>
      <c r="G63" s="60">
        <f>G66</f>
        <v>0</v>
      </c>
      <c r="H63" s="60">
        <f t="shared" ref="H63:K63" si="41">H66</f>
        <v>48200</v>
      </c>
      <c r="I63" s="60">
        <f t="shared" si="41"/>
        <v>0</v>
      </c>
      <c r="J63" s="60">
        <f t="shared" si="41"/>
        <v>0</v>
      </c>
      <c r="K63" s="60">
        <f t="shared" si="41"/>
        <v>0</v>
      </c>
      <c r="L63" s="264"/>
      <c r="M63" s="187"/>
    </row>
    <row r="64" spans="1:13" ht="36" customHeight="1" x14ac:dyDescent="0.25">
      <c r="A64" s="237" t="s">
        <v>156</v>
      </c>
      <c r="B64" s="193" t="s">
        <v>162</v>
      </c>
      <c r="C64" s="190" t="s">
        <v>54</v>
      </c>
      <c r="D64" s="66" t="s">
        <v>6</v>
      </c>
      <c r="E64" s="60">
        <v>4958.3599999999997</v>
      </c>
      <c r="F64" s="63">
        <f t="shared" si="36"/>
        <v>48635.058550000002</v>
      </c>
      <c r="G64" s="60">
        <v>0</v>
      </c>
      <c r="H64" s="67">
        <f>22198-1411.833</f>
        <v>20786.167000000001</v>
      </c>
      <c r="I64" s="67">
        <f>13623.167+14225.72455</f>
        <v>27848.89155</v>
      </c>
      <c r="J64" s="67">
        <v>0</v>
      </c>
      <c r="K64" s="67">
        <v>0</v>
      </c>
      <c r="L64" s="264"/>
      <c r="M64" s="185" t="s">
        <v>164</v>
      </c>
    </row>
    <row r="65" spans="1:13" ht="60.75" customHeight="1" x14ac:dyDescent="0.25">
      <c r="A65" s="237"/>
      <c r="B65" s="193"/>
      <c r="C65" s="191"/>
      <c r="D65" s="68" t="s">
        <v>3</v>
      </c>
      <c r="E65" s="60">
        <v>0</v>
      </c>
      <c r="F65" s="63">
        <f t="shared" si="36"/>
        <v>28876.055639999999</v>
      </c>
      <c r="G65" s="60">
        <v>10911.74</v>
      </c>
      <c r="H65" s="67">
        <v>9237.3156400000007</v>
      </c>
      <c r="I65" s="67">
        <f>1838.525+6888.475</f>
        <v>8727</v>
      </c>
      <c r="J65" s="67">
        <v>0</v>
      </c>
      <c r="K65" s="67">
        <v>0</v>
      </c>
      <c r="L65" s="264"/>
      <c r="M65" s="186"/>
    </row>
    <row r="66" spans="1:13" ht="51" customHeight="1" x14ac:dyDescent="0.25">
      <c r="A66" s="237"/>
      <c r="B66" s="193"/>
      <c r="C66" s="192"/>
      <c r="D66" s="66" t="s">
        <v>144</v>
      </c>
      <c r="E66" s="60">
        <v>0</v>
      </c>
      <c r="F66" s="63">
        <f t="shared" si="36"/>
        <v>48200</v>
      </c>
      <c r="G66" s="60">
        <v>0</v>
      </c>
      <c r="H66" s="67">
        <f>50000-1800</f>
        <v>48200</v>
      </c>
      <c r="I66" s="67">
        <v>0</v>
      </c>
      <c r="J66" s="67">
        <v>0</v>
      </c>
      <c r="K66" s="67">
        <v>0</v>
      </c>
      <c r="L66" s="264"/>
      <c r="M66" s="187"/>
    </row>
    <row r="67" spans="1:13" ht="36" customHeight="1" x14ac:dyDescent="0.25">
      <c r="A67" s="238" t="s">
        <v>157</v>
      </c>
      <c r="B67" s="188" t="s">
        <v>160</v>
      </c>
      <c r="C67" s="190" t="s">
        <v>54</v>
      </c>
      <c r="D67" s="66" t="s">
        <v>121</v>
      </c>
      <c r="E67" s="60">
        <v>0</v>
      </c>
      <c r="F67" s="63">
        <f t="shared" si="34"/>
        <v>36319.82</v>
      </c>
      <c r="G67" s="60">
        <v>36319.82</v>
      </c>
      <c r="H67" s="67">
        <v>0</v>
      </c>
      <c r="I67" s="67">
        <v>0</v>
      </c>
      <c r="J67" s="67">
        <v>0</v>
      </c>
      <c r="K67" s="67">
        <v>0</v>
      </c>
      <c r="L67" s="264"/>
      <c r="M67" s="185" t="s">
        <v>163</v>
      </c>
    </row>
    <row r="68" spans="1:13" ht="25.5" customHeight="1" x14ac:dyDescent="0.25">
      <c r="A68" s="239"/>
      <c r="B68" s="189"/>
      <c r="C68" s="191"/>
      <c r="D68" s="66" t="s">
        <v>74</v>
      </c>
      <c r="E68" s="60">
        <v>0</v>
      </c>
      <c r="F68" s="63">
        <f t="shared" ref="F68:F70" si="42">SUM(G68:K68)</f>
        <v>1239798.18</v>
      </c>
      <c r="G68" s="60">
        <v>81742.179999999993</v>
      </c>
      <c r="H68" s="67">
        <v>1050056</v>
      </c>
      <c r="I68" s="67">
        <v>108000</v>
      </c>
      <c r="J68" s="67">
        <v>0</v>
      </c>
      <c r="K68" s="67">
        <v>0</v>
      </c>
      <c r="L68" s="264"/>
      <c r="M68" s="186"/>
    </row>
    <row r="69" spans="1:13" ht="26.25" customHeight="1" x14ac:dyDescent="0.25">
      <c r="A69" s="239"/>
      <c r="B69" s="189"/>
      <c r="C69" s="191"/>
      <c r="D69" s="66" t="s">
        <v>6</v>
      </c>
      <c r="E69" s="60">
        <v>0</v>
      </c>
      <c r="F69" s="63">
        <f t="shared" si="42"/>
        <v>93017.591379999998</v>
      </c>
      <c r="G69" s="67">
        <v>0</v>
      </c>
      <c r="H69" s="67">
        <v>50652.376380000002</v>
      </c>
      <c r="I69" s="67">
        <f>5684.21+56000-56000+1083.005+35598</f>
        <v>42365.214999999997</v>
      </c>
      <c r="J69" s="67">
        <v>0</v>
      </c>
      <c r="K69" s="67">
        <v>0</v>
      </c>
      <c r="L69" s="264"/>
      <c r="M69" s="186"/>
    </row>
    <row r="70" spans="1:13" ht="26.25" customHeight="1" x14ac:dyDescent="0.25">
      <c r="A70" s="239"/>
      <c r="B70" s="189"/>
      <c r="C70" s="191"/>
      <c r="D70" s="69" t="s">
        <v>159</v>
      </c>
      <c r="E70" s="60">
        <v>0</v>
      </c>
      <c r="F70" s="63">
        <f t="shared" si="42"/>
        <v>61280.214999999997</v>
      </c>
      <c r="G70" s="67">
        <v>0</v>
      </c>
      <c r="H70" s="67">
        <v>18915</v>
      </c>
      <c r="I70" s="67">
        <f>5684.21+35598+1083.005</f>
        <v>42365.214999999997</v>
      </c>
      <c r="J70" s="67">
        <v>0</v>
      </c>
      <c r="K70" s="67">
        <v>0</v>
      </c>
      <c r="L70" s="264"/>
      <c r="M70" s="186"/>
    </row>
    <row r="71" spans="1:13" ht="65.25" customHeight="1" x14ac:dyDescent="0.25">
      <c r="A71" s="240"/>
      <c r="B71" s="194"/>
      <c r="C71" s="192"/>
      <c r="D71" s="68" t="s">
        <v>3</v>
      </c>
      <c r="E71" s="60">
        <v>0</v>
      </c>
      <c r="F71" s="63">
        <f t="shared" ref="F71" si="43">SUM(G71:K71)</f>
        <v>10826.893619999999</v>
      </c>
      <c r="G71" s="60">
        <f>5622.26+591</f>
        <v>6213.26</v>
      </c>
      <c r="H71" s="67">
        <v>4613.6336199999996</v>
      </c>
      <c r="I71" s="67">
        <v>0</v>
      </c>
      <c r="J71" s="67">
        <v>0</v>
      </c>
      <c r="K71" s="67">
        <v>0</v>
      </c>
      <c r="L71" s="264"/>
      <c r="M71" s="186"/>
    </row>
    <row r="72" spans="1:13" ht="64.5" customHeight="1" x14ac:dyDescent="0.25">
      <c r="A72" s="70" t="s">
        <v>158</v>
      </c>
      <c r="B72" s="71" t="s">
        <v>161</v>
      </c>
      <c r="C72" s="71" t="s">
        <v>54</v>
      </c>
      <c r="D72" s="66" t="s">
        <v>74</v>
      </c>
      <c r="E72" s="60">
        <v>0</v>
      </c>
      <c r="F72" s="63">
        <f t="shared" ref="F72" si="44">SUM(G72:K72)</f>
        <v>88202</v>
      </c>
      <c r="G72" s="60">
        <v>20162</v>
      </c>
      <c r="H72" s="67">
        <f>425+20056+36648+10911</f>
        <v>68040</v>
      </c>
      <c r="I72" s="67">
        <v>0</v>
      </c>
      <c r="J72" s="67">
        <v>0</v>
      </c>
      <c r="K72" s="67">
        <v>0</v>
      </c>
      <c r="L72" s="264"/>
      <c r="M72" s="187"/>
    </row>
    <row r="73" spans="1:13" ht="30" customHeight="1" x14ac:dyDescent="0.25">
      <c r="A73" s="234" t="s">
        <v>27</v>
      </c>
      <c r="B73" s="202" t="s">
        <v>66</v>
      </c>
      <c r="C73" s="202" t="s">
        <v>79</v>
      </c>
      <c r="D73" s="72" t="s">
        <v>1</v>
      </c>
      <c r="E73" s="175">
        <f>E74</f>
        <v>0</v>
      </c>
      <c r="F73" s="63">
        <f>SUM(G73:K73)</f>
        <v>7100</v>
      </c>
      <c r="G73" s="90">
        <f>G74</f>
        <v>0</v>
      </c>
      <c r="H73" s="90">
        <f t="shared" ref="H73:K73" si="45">H74</f>
        <v>0</v>
      </c>
      <c r="I73" s="90">
        <f t="shared" si="45"/>
        <v>7100</v>
      </c>
      <c r="J73" s="90">
        <f t="shared" si="45"/>
        <v>0</v>
      </c>
      <c r="K73" s="90">
        <f t="shared" si="45"/>
        <v>0</v>
      </c>
      <c r="L73" s="263"/>
      <c r="M73" s="204"/>
    </row>
    <row r="74" spans="1:13" ht="42.75" customHeight="1" x14ac:dyDescent="0.25">
      <c r="A74" s="235"/>
      <c r="B74" s="203"/>
      <c r="C74" s="203"/>
      <c r="D74" s="72" t="s">
        <v>2</v>
      </c>
      <c r="E74" s="175">
        <f>E76</f>
        <v>0</v>
      </c>
      <c r="F74" s="63">
        <f t="shared" ref="F74:F75" si="46">SUM(G74:K74)</f>
        <v>7100</v>
      </c>
      <c r="G74" s="90">
        <f>G76</f>
        <v>0</v>
      </c>
      <c r="H74" s="90">
        <f t="shared" ref="H74:K74" si="47">H76</f>
        <v>0</v>
      </c>
      <c r="I74" s="90">
        <f t="shared" si="47"/>
        <v>7100</v>
      </c>
      <c r="J74" s="90">
        <f t="shared" si="47"/>
        <v>0</v>
      </c>
      <c r="K74" s="90">
        <f t="shared" si="47"/>
        <v>0</v>
      </c>
      <c r="L74" s="264"/>
      <c r="M74" s="205"/>
    </row>
    <row r="75" spans="1:13" ht="42.75" customHeight="1" x14ac:dyDescent="0.25">
      <c r="A75" s="236"/>
      <c r="B75" s="251"/>
      <c r="C75" s="251"/>
      <c r="D75" s="69" t="s">
        <v>159</v>
      </c>
      <c r="E75" s="175">
        <f>E77</f>
        <v>0</v>
      </c>
      <c r="F75" s="63">
        <f t="shared" si="46"/>
        <v>7100</v>
      </c>
      <c r="G75" s="90">
        <f>G77</f>
        <v>0</v>
      </c>
      <c r="H75" s="90">
        <f t="shared" ref="H75:K75" si="48">H77</f>
        <v>0</v>
      </c>
      <c r="I75" s="90">
        <f t="shared" si="48"/>
        <v>7100</v>
      </c>
      <c r="J75" s="90">
        <f t="shared" si="48"/>
        <v>0</v>
      </c>
      <c r="K75" s="90">
        <f t="shared" si="48"/>
        <v>0</v>
      </c>
      <c r="L75" s="265"/>
      <c r="M75" s="206"/>
    </row>
    <row r="76" spans="1:13" ht="31.5" customHeight="1" x14ac:dyDescent="0.25">
      <c r="A76" s="109" t="s">
        <v>28</v>
      </c>
      <c r="B76" s="245" t="s">
        <v>173</v>
      </c>
      <c r="C76" s="107" t="s">
        <v>54</v>
      </c>
      <c r="D76" s="74" t="s">
        <v>2</v>
      </c>
      <c r="E76" s="176">
        <v>0</v>
      </c>
      <c r="F76" s="63">
        <f t="shared" ref="F76:F77" si="49">SUM(G76:K76)</f>
        <v>7100</v>
      </c>
      <c r="G76" s="91">
        <v>0</v>
      </c>
      <c r="H76" s="91">
        <v>0</v>
      </c>
      <c r="I76" s="91">
        <v>7100</v>
      </c>
      <c r="J76" s="91">
        <v>0</v>
      </c>
      <c r="K76" s="91">
        <v>0</v>
      </c>
      <c r="L76" s="108" t="s">
        <v>171</v>
      </c>
      <c r="M76" s="204" t="s">
        <v>67</v>
      </c>
    </row>
    <row r="77" spans="1:13" ht="28.5" customHeight="1" x14ac:dyDescent="0.25">
      <c r="A77" s="109"/>
      <c r="B77" s="246"/>
      <c r="C77" s="107"/>
      <c r="D77" s="69" t="s">
        <v>159</v>
      </c>
      <c r="E77" s="176">
        <v>0</v>
      </c>
      <c r="F77" s="63">
        <f t="shared" si="49"/>
        <v>7100</v>
      </c>
      <c r="G77" s="91">
        <v>0</v>
      </c>
      <c r="H77" s="91">
        <v>0</v>
      </c>
      <c r="I77" s="91">
        <v>7100</v>
      </c>
      <c r="J77" s="91">
        <v>0</v>
      </c>
      <c r="K77" s="91">
        <v>0</v>
      </c>
      <c r="L77" s="110"/>
      <c r="M77" s="205"/>
    </row>
    <row r="78" spans="1:13" ht="49.5" customHeight="1" x14ac:dyDescent="0.25">
      <c r="A78" s="104" t="s">
        <v>172</v>
      </c>
      <c r="B78" s="105" t="s">
        <v>29</v>
      </c>
      <c r="C78" s="105" t="s">
        <v>54</v>
      </c>
      <c r="D78" s="74" t="s">
        <v>2</v>
      </c>
      <c r="E78" s="224" t="s">
        <v>174</v>
      </c>
      <c r="F78" s="224"/>
      <c r="G78" s="224"/>
      <c r="H78" s="224"/>
      <c r="I78" s="224"/>
      <c r="J78" s="224"/>
      <c r="K78" s="224"/>
      <c r="L78" s="106" t="s">
        <v>125</v>
      </c>
      <c r="M78" s="206"/>
    </row>
    <row r="79" spans="1:13" ht="26.45" customHeight="1" x14ac:dyDescent="0.25">
      <c r="A79" s="234" t="s">
        <v>30</v>
      </c>
      <c r="B79" s="202" t="s">
        <v>204</v>
      </c>
      <c r="C79" s="202" t="s">
        <v>79</v>
      </c>
      <c r="D79" s="72" t="s">
        <v>1</v>
      </c>
      <c r="E79" s="75">
        <f>E80+E82+E84+E86</f>
        <v>18769</v>
      </c>
      <c r="F79" s="63">
        <f>SUM(G79:K79)</f>
        <v>61366.976999999999</v>
      </c>
      <c r="G79" s="75">
        <f>G80+G82+G84+G85+G86</f>
        <v>5608</v>
      </c>
      <c r="H79" s="75">
        <f>H80+H82+H84+H85+H86</f>
        <v>18997.489999999998</v>
      </c>
      <c r="I79" s="75">
        <f>I80+I82+I84+I85+I86</f>
        <v>23917.487000000001</v>
      </c>
      <c r="J79" s="75">
        <f>J80+J82+J84+J85+J86</f>
        <v>6422</v>
      </c>
      <c r="K79" s="75">
        <f>K80+K82+K84+K85+K86</f>
        <v>6422</v>
      </c>
      <c r="L79" s="272"/>
      <c r="M79" s="204"/>
    </row>
    <row r="80" spans="1:13" ht="26.45" customHeight="1" x14ac:dyDescent="0.25">
      <c r="A80" s="235"/>
      <c r="B80" s="203"/>
      <c r="C80" s="203"/>
      <c r="D80" s="202" t="s">
        <v>74</v>
      </c>
      <c r="E80" s="75">
        <f>E96</f>
        <v>0</v>
      </c>
      <c r="F80" s="63">
        <f>SUM(G80:K80)</f>
        <v>568</v>
      </c>
      <c r="G80" s="75">
        <f>G96</f>
        <v>0</v>
      </c>
      <c r="H80" s="75">
        <f t="shared" ref="H80:K80" si="50">H96</f>
        <v>568</v>
      </c>
      <c r="I80" s="75">
        <f t="shared" si="50"/>
        <v>0</v>
      </c>
      <c r="J80" s="75">
        <f t="shared" si="50"/>
        <v>0</v>
      </c>
      <c r="K80" s="75">
        <f t="shared" si="50"/>
        <v>0</v>
      </c>
      <c r="L80" s="273"/>
      <c r="M80" s="205"/>
    </row>
    <row r="81" spans="1:13" ht="36" customHeight="1" x14ac:dyDescent="0.25">
      <c r="A81" s="235"/>
      <c r="B81" s="203"/>
      <c r="C81" s="203"/>
      <c r="D81" s="251"/>
      <c r="E81" s="199" t="s">
        <v>229</v>
      </c>
      <c r="F81" s="200"/>
      <c r="G81" s="200"/>
      <c r="H81" s="200"/>
      <c r="I81" s="200"/>
      <c r="J81" s="200"/>
      <c r="K81" s="201"/>
      <c r="L81" s="273"/>
      <c r="M81" s="205"/>
    </row>
    <row r="82" spans="1:13" ht="37.5" customHeight="1" x14ac:dyDescent="0.25">
      <c r="A82" s="235"/>
      <c r="B82" s="203"/>
      <c r="C82" s="203"/>
      <c r="D82" s="72" t="s">
        <v>2</v>
      </c>
      <c r="E82" s="75">
        <f>E93+E97</f>
        <v>5028.625</v>
      </c>
      <c r="F82" s="63">
        <f t="shared" ref="F82:F86" si="51">SUM(G82:K82)</f>
        <v>21795.024999999998</v>
      </c>
      <c r="G82" s="75">
        <f>G93+G97</f>
        <v>0</v>
      </c>
      <c r="H82" s="75">
        <f t="shared" ref="H82:K82" si="52">H93+H97</f>
        <v>7566.03</v>
      </c>
      <c r="I82" s="75">
        <f t="shared" si="52"/>
        <v>14228.994999999999</v>
      </c>
      <c r="J82" s="75">
        <f t="shared" si="52"/>
        <v>0</v>
      </c>
      <c r="K82" s="75">
        <f t="shared" si="52"/>
        <v>0</v>
      </c>
      <c r="L82" s="273"/>
      <c r="M82" s="205"/>
    </row>
    <row r="83" spans="1:13" ht="37.5" customHeight="1" x14ac:dyDescent="0.25">
      <c r="A83" s="235"/>
      <c r="B83" s="203"/>
      <c r="C83" s="203"/>
      <c r="D83" s="69" t="s">
        <v>159</v>
      </c>
      <c r="E83" s="75">
        <f>E98</f>
        <v>0</v>
      </c>
      <c r="F83" s="63">
        <f t="shared" si="51"/>
        <v>6286.9949999999999</v>
      </c>
      <c r="G83" s="75">
        <f>G98</f>
        <v>0</v>
      </c>
      <c r="H83" s="75">
        <f t="shared" ref="H83:K83" si="53">H98</f>
        <v>0</v>
      </c>
      <c r="I83" s="75">
        <f t="shared" si="53"/>
        <v>6286.9949999999999</v>
      </c>
      <c r="J83" s="75">
        <f t="shared" si="53"/>
        <v>0</v>
      </c>
      <c r="K83" s="75">
        <f t="shared" si="53"/>
        <v>0</v>
      </c>
      <c r="L83" s="273"/>
      <c r="M83" s="205"/>
    </row>
    <row r="84" spans="1:13" ht="59.25" customHeight="1" x14ac:dyDescent="0.25">
      <c r="A84" s="235"/>
      <c r="B84" s="203"/>
      <c r="C84" s="203"/>
      <c r="D84" s="72" t="s">
        <v>3</v>
      </c>
      <c r="E84" s="75">
        <f>E94+E99</f>
        <v>7740.375</v>
      </c>
      <c r="F84" s="63">
        <f t="shared" si="51"/>
        <v>675.84500000000003</v>
      </c>
      <c r="G84" s="75">
        <f>G94+G99</f>
        <v>0</v>
      </c>
      <c r="H84" s="75">
        <f>H94+H99</f>
        <v>250</v>
      </c>
      <c r="I84" s="75">
        <f>I94+I99</f>
        <v>425.84500000000003</v>
      </c>
      <c r="J84" s="75">
        <f>J94+J99</f>
        <v>0</v>
      </c>
      <c r="K84" s="75">
        <f>K94+K99</f>
        <v>0</v>
      </c>
      <c r="L84" s="273"/>
      <c r="M84" s="205"/>
    </row>
    <row r="85" spans="1:13" ht="45" customHeight="1" x14ac:dyDescent="0.25">
      <c r="A85" s="235"/>
      <c r="B85" s="203"/>
      <c r="C85" s="203"/>
      <c r="D85" s="113" t="s">
        <v>55</v>
      </c>
      <c r="E85" s="199" t="s">
        <v>228</v>
      </c>
      <c r="F85" s="200"/>
      <c r="G85" s="200"/>
      <c r="H85" s="200"/>
      <c r="I85" s="200"/>
      <c r="J85" s="200"/>
      <c r="K85" s="201"/>
      <c r="L85" s="273"/>
      <c r="M85" s="205"/>
    </row>
    <row r="86" spans="1:13" ht="29.25" customHeight="1" x14ac:dyDescent="0.25">
      <c r="A86" s="235"/>
      <c r="B86" s="203"/>
      <c r="C86" s="203"/>
      <c r="D86" s="113" t="s">
        <v>18</v>
      </c>
      <c r="E86" s="76">
        <f>E95+E100</f>
        <v>6000</v>
      </c>
      <c r="F86" s="77">
        <f t="shared" si="51"/>
        <v>38328.107000000004</v>
      </c>
      <c r="G86" s="76">
        <f>G95+G100</f>
        <v>5608</v>
      </c>
      <c r="H86" s="76">
        <f>H95+H100</f>
        <v>10613.46</v>
      </c>
      <c r="I86" s="76">
        <f>I95+I100</f>
        <v>9262.6470000000008</v>
      </c>
      <c r="J86" s="76">
        <f>J95+J100</f>
        <v>6422</v>
      </c>
      <c r="K86" s="76">
        <f>K95+K100</f>
        <v>6422</v>
      </c>
      <c r="L86" s="274"/>
      <c r="M86" s="206"/>
    </row>
    <row r="87" spans="1:13" ht="33" customHeight="1" x14ac:dyDescent="0.25">
      <c r="A87" s="300" t="s">
        <v>32</v>
      </c>
      <c r="B87" s="245" t="s">
        <v>219</v>
      </c>
      <c r="C87" s="202" t="s">
        <v>54</v>
      </c>
      <c r="D87" s="73" t="s">
        <v>230</v>
      </c>
      <c r="E87" s="199" t="s">
        <v>229</v>
      </c>
      <c r="F87" s="200"/>
      <c r="G87" s="200"/>
      <c r="H87" s="200"/>
      <c r="I87" s="200"/>
      <c r="J87" s="200"/>
      <c r="K87" s="201"/>
      <c r="L87" s="287"/>
      <c r="M87" s="312"/>
    </row>
    <row r="88" spans="1:13" ht="45.75" customHeight="1" x14ac:dyDescent="0.25">
      <c r="A88" s="301"/>
      <c r="B88" s="288"/>
      <c r="C88" s="203"/>
      <c r="D88" s="73" t="s">
        <v>224</v>
      </c>
      <c r="E88" s="199" t="s">
        <v>232</v>
      </c>
      <c r="F88" s="200"/>
      <c r="G88" s="200"/>
      <c r="H88" s="200"/>
      <c r="I88" s="200"/>
      <c r="J88" s="200"/>
      <c r="K88" s="201"/>
      <c r="L88" s="287"/>
      <c r="M88" s="312"/>
    </row>
    <row r="89" spans="1:13" ht="33" customHeight="1" x14ac:dyDescent="0.25">
      <c r="A89" s="300" t="s">
        <v>205</v>
      </c>
      <c r="B89" s="245" t="s">
        <v>218</v>
      </c>
      <c r="C89" s="202" t="s">
        <v>54</v>
      </c>
      <c r="D89" s="73" t="s">
        <v>230</v>
      </c>
      <c r="E89" s="199" t="s">
        <v>233</v>
      </c>
      <c r="F89" s="200"/>
      <c r="G89" s="200"/>
      <c r="H89" s="200"/>
      <c r="I89" s="200"/>
      <c r="J89" s="200"/>
      <c r="K89" s="201"/>
      <c r="L89" s="195" t="s">
        <v>207</v>
      </c>
      <c r="M89" s="207" t="s">
        <v>225</v>
      </c>
    </row>
    <row r="90" spans="1:13" ht="54" customHeight="1" x14ac:dyDescent="0.25">
      <c r="A90" s="301"/>
      <c r="B90" s="288"/>
      <c r="C90" s="203"/>
      <c r="D90" s="73" t="s">
        <v>224</v>
      </c>
      <c r="E90" s="199" t="s">
        <v>231</v>
      </c>
      <c r="F90" s="200"/>
      <c r="G90" s="200"/>
      <c r="H90" s="200"/>
      <c r="I90" s="200"/>
      <c r="J90" s="200"/>
      <c r="K90" s="201"/>
      <c r="L90" s="196"/>
      <c r="M90" s="208"/>
    </row>
    <row r="91" spans="1:13" ht="33.75" customHeight="1" x14ac:dyDescent="0.25">
      <c r="A91" s="300" t="s">
        <v>206</v>
      </c>
      <c r="B91" s="245" t="s">
        <v>209</v>
      </c>
      <c r="C91" s="202" t="s">
        <v>54</v>
      </c>
      <c r="D91" s="73" t="s">
        <v>230</v>
      </c>
      <c r="E91" s="199" t="s">
        <v>234</v>
      </c>
      <c r="F91" s="200"/>
      <c r="G91" s="200"/>
      <c r="H91" s="200"/>
      <c r="I91" s="200"/>
      <c r="J91" s="200"/>
      <c r="K91" s="201"/>
      <c r="L91" s="195" t="s">
        <v>208</v>
      </c>
      <c r="M91" s="310" t="s">
        <v>226</v>
      </c>
    </row>
    <row r="92" spans="1:13" ht="84" customHeight="1" x14ac:dyDescent="0.25">
      <c r="A92" s="301"/>
      <c r="B92" s="288"/>
      <c r="C92" s="203"/>
      <c r="D92" s="73" t="s">
        <v>224</v>
      </c>
      <c r="E92" s="199" t="s">
        <v>235</v>
      </c>
      <c r="F92" s="200"/>
      <c r="G92" s="200"/>
      <c r="H92" s="200"/>
      <c r="I92" s="200"/>
      <c r="J92" s="200"/>
      <c r="K92" s="201"/>
      <c r="L92" s="196"/>
      <c r="M92" s="311"/>
    </row>
    <row r="93" spans="1:13" ht="38.25" customHeight="1" x14ac:dyDescent="0.25">
      <c r="A93" s="324" t="s">
        <v>33</v>
      </c>
      <c r="B93" s="198" t="s">
        <v>26</v>
      </c>
      <c r="C93" s="318" t="s">
        <v>54</v>
      </c>
      <c r="D93" s="73" t="s">
        <v>6</v>
      </c>
      <c r="E93" s="59">
        <f>2500+1078.625</f>
        <v>3578.625</v>
      </c>
      <c r="F93" s="76">
        <f t="shared" ref="F93" si="54">SUM(G93:K93)</f>
        <v>11135</v>
      </c>
      <c r="G93" s="59">
        <v>0</v>
      </c>
      <c r="H93" s="59">
        <v>3943</v>
      </c>
      <c r="I93" s="59">
        <f>1642+5550</f>
        <v>7192</v>
      </c>
      <c r="J93" s="59">
        <v>0</v>
      </c>
      <c r="K93" s="59">
        <v>0</v>
      </c>
      <c r="L93" s="287" t="s">
        <v>130</v>
      </c>
      <c r="M93" s="78" t="s">
        <v>153</v>
      </c>
    </row>
    <row r="94" spans="1:13" ht="63" customHeight="1" x14ac:dyDescent="0.25">
      <c r="A94" s="324"/>
      <c r="B94" s="198"/>
      <c r="C94" s="318"/>
      <c r="D94" s="73" t="s">
        <v>3</v>
      </c>
      <c r="E94" s="59">
        <v>2997.9749999999999</v>
      </c>
      <c r="F94" s="76">
        <f>SUM(G94:K94)</f>
        <v>0</v>
      </c>
      <c r="G94" s="59">
        <v>0</v>
      </c>
      <c r="H94" s="59">
        <v>0</v>
      </c>
      <c r="I94" s="59">
        <v>0</v>
      </c>
      <c r="J94" s="59">
        <v>0</v>
      </c>
      <c r="K94" s="59">
        <v>0</v>
      </c>
      <c r="L94" s="287"/>
      <c r="M94" s="171"/>
    </row>
    <row r="95" spans="1:13" ht="37.5" customHeight="1" x14ac:dyDescent="0.25">
      <c r="A95" s="325"/>
      <c r="B95" s="198"/>
      <c r="C95" s="318"/>
      <c r="D95" s="73" t="s">
        <v>18</v>
      </c>
      <c r="E95" s="59">
        <v>800</v>
      </c>
      <c r="F95" s="76">
        <f>SUM(G95:K95)</f>
        <v>1708</v>
      </c>
      <c r="G95" s="59">
        <v>408</v>
      </c>
      <c r="H95" s="59">
        <v>500</v>
      </c>
      <c r="I95" s="59">
        <v>800</v>
      </c>
      <c r="J95" s="59">
        <v>0</v>
      </c>
      <c r="K95" s="59">
        <v>0</v>
      </c>
      <c r="L95" s="287"/>
      <c r="M95" s="78" t="s">
        <v>78</v>
      </c>
    </row>
    <row r="96" spans="1:13" ht="66.75" customHeight="1" x14ac:dyDescent="0.25">
      <c r="A96" s="300" t="s">
        <v>34</v>
      </c>
      <c r="B96" s="245" t="s">
        <v>146</v>
      </c>
      <c r="C96" s="234" t="s">
        <v>54</v>
      </c>
      <c r="D96" s="79" t="s">
        <v>119</v>
      </c>
      <c r="E96" s="59">
        <v>0</v>
      </c>
      <c r="F96" s="76">
        <f t="shared" ref="F96:F99" si="55">SUM(G96:K96)</f>
        <v>568</v>
      </c>
      <c r="G96" s="59">
        <v>0</v>
      </c>
      <c r="H96" s="59">
        <f>568</f>
        <v>568</v>
      </c>
      <c r="I96" s="59">
        <v>0</v>
      </c>
      <c r="J96" s="59">
        <v>0</v>
      </c>
      <c r="K96" s="59">
        <v>0</v>
      </c>
      <c r="L96" s="166"/>
      <c r="M96" s="80" t="s">
        <v>149</v>
      </c>
    </row>
    <row r="97" spans="1:13" ht="28.5" customHeight="1" x14ac:dyDescent="0.25">
      <c r="A97" s="301"/>
      <c r="B97" s="288"/>
      <c r="C97" s="235"/>
      <c r="D97" s="73" t="s">
        <v>6</v>
      </c>
      <c r="E97" s="59">
        <f>11540-10090</f>
        <v>1450</v>
      </c>
      <c r="F97" s="76">
        <f t="shared" si="55"/>
        <v>10660.025</v>
      </c>
      <c r="G97" s="59">
        <v>0</v>
      </c>
      <c r="H97" s="59">
        <f>1900+1249+55+347+79-4.82-2.15</f>
        <v>3623.0299999999997</v>
      </c>
      <c r="I97" s="59">
        <f>2200+3420+1750+750-1083.005</f>
        <v>7036.9949999999999</v>
      </c>
      <c r="J97" s="59">
        <v>0</v>
      </c>
      <c r="K97" s="59">
        <v>0</v>
      </c>
      <c r="L97" s="195" t="s">
        <v>131</v>
      </c>
      <c r="M97" s="81" t="s">
        <v>154</v>
      </c>
    </row>
    <row r="98" spans="1:13" ht="27" customHeight="1" x14ac:dyDescent="0.25">
      <c r="A98" s="301"/>
      <c r="B98" s="288"/>
      <c r="C98" s="235"/>
      <c r="D98" s="69" t="s">
        <v>159</v>
      </c>
      <c r="E98" s="59">
        <v>0</v>
      </c>
      <c r="F98" s="76">
        <f t="shared" si="55"/>
        <v>6286.9949999999999</v>
      </c>
      <c r="G98" s="59">
        <v>0</v>
      </c>
      <c r="H98" s="59">
        <v>0</v>
      </c>
      <c r="I98" s="59">
        <f>2200+3420+1750-1083.005</f>
        <v>6286.9949999999999</v>
      </c>
      <c r="J98" s="59"/>
      <c r="K98" s="59"/>
      <c r="L98" s="196"/>
      <c r="M98" s="81"/>
    </row>
    <row r="99" spans="1:13" ht="62.25" customHeight="1" x14ac:dyDescent="0.25">
      <c r="A99" s="301"/>
      <c r="B99" s="288"/>
      <c r="C99" s="235"/>
      <c r="D99" s="73" t="s">
        <v>3</v>
      </c>
      <c r="E99" s="59">
        <v>4742.3999999999996</v>
      </c>
      <c r="F99" s="76">
        <f t="shared" si="55"/>
        <v>675.84500000000003</v>
      </c>
      <c r="G99" s="59">
        <v>0</v>
      </c>
      <c r="H99" s="59">
        <v>250</v>
      </c>
      <c r="I99" s="59">
        <v>425.84500000000003</v>
      </c>
      <c r="J99" s="59">
        <v>0</v>
      </c>
      <c r="K99" s="59">
        <v>0</v>
      </c>
      <c r="L99" s="196"/>
      <c r="M99" s="81" t="s">
        <v>217</v>
      </c>
    </row>
    <row r="100" spans="1:13" ht="66.75" customHeight="1" x14ac:dyDescent="0.25">
      <c r="A100" s="323"/>
      <c r="B100" s="246"/>
      <c r="C100" s="236"/>
      <c r="D100" s="73" t="s">
        <v>18</v>
      </c>
      <c r="E100" s="59">
        <v>5200</v>
      </c>
      <c r="F100" s="76">
        <f>SUM(G100:K100)</f>
        <v>36620.107000000004</v>
      </c>
      <c r="G100" s="59">
        <v>5200</v>
      </c>
      <c r="H100" s="59">
        <v>10113.459999999999</v>
      </c>
      <c r="I100" s="59">
        <f>5622+2840.647</f>
        <v>8462.6470000000008</v>
      </c>
      <c r="J100" s="59">
        <v>6422</v>
      </c>
      <c r="K100" s="59">
        <v>6422</v>
      </c>
      <c r="L100" s="197"/>
      <c r="M100" s="81" t="s">
        <v>155</v>
      </c>
    </row>
    <row r="101" spans="1:13" ht="24.75" customHeight="1" x14ac:dyDescent="0.25">
      <c r="A101" s="269" t="s">
        <v>35</v>
      </c>
      <c r="B101" s="284" t="s">
        <v>113</v>
      </c>
      <c r="C101" s="284" t="s">
        <v>79</v>
      </c>
      <c r="D101" s="95" t="s">
        <v>1</v>
      </c>
      <c r="E101" s="40">
        <f>SUM(E102:E106)-E105</f>
        <v>600</v>
      </c>
      <c r="F101" s="40">
        <f>SUM(G101:K101)</f>
        <v>14069.5</v>
      </c>
      <c r="G101" s="40">
        <f>SUM(G102:G106)-G105</f>
        <v>1307.9000000000001</v>
      </c>
      <c r="H101" s="40">
        <f t="shared" ref="H101:K101" si="56">SUM(H102:H106)-H105</f>
        <v>726</v>
      </c>
      <c r="I101" s="40">
        <f t="shared" si="56"/>
        <v>12035.6</v>
      </c>
      <c r="J101" s="40">
        <f t="shared" si="56"/>
        <v>0</v>
      </c>
      <c r="K101" s="40">
        <f t="shared" si="56"/>
        <v>0</v>
      </c>
      <c r="L101" s="281"/>
      <c r="M101" s="212"/>
    </row>
    <row r="102" spans="1:13" ht="33" customHeight="1" x14ac:dyDescent="0.25">
      <c r="A102" s="270"/>
      <c r="B102" s="285"/>
      <c r="C102" s="285"/>
      <c r="D102" s="95" t="s">
        <v>118</v>
      </c>
      <c r="E102" s="40">
        <f>E108</f>
        <v>0</v>
      </c>
      <c r="F102" s="31">
        <f>SUM(G102:K102)</f>
        <v>310.49</v>
      </c>
      <c r="G102" s="40">
        <f>G108</f>
        <v>310.49</v>
      </c>
      <c r="H102" s="40">
        <f t="shared" ref="H102:K102" si="57">H108</f>
        <v>0</v>
      </c>
      <c r="I102" s="40">
        <f t="shared" si="57"/>
        <v>0</v>
      </c>
      <c r="J102" s="40">
        <f t="shared" si="57"/>
        <v>0</v>
      </c>
      <c r="K102" s="40">
        <f t="shared" si="57"/>
        <v>0</v>
      </c>
      <c r="L102" s="282"/>
      <c r="M102" s="213"/>
    </row>
    <row r="103" spans="1:13" ht="25.5" customHeight="1" x14ac:dyDescent="0.25">
      <c r="A103" s="270"/>
      <c r="B103" s="285"/>
      <c r="C103" s="285"/>
      <c r="D103" s="95" t="s">
        <v>119</v>
      </c>
      <c r="E103" s="40">
        <f>E109</f>
        <v>0</v>
      </c>
      <c r="F103" s="31">
        <f>SUM(G103:K103)</f>
        <v>604.41</v>
      </c>
      <c r="G103" s="40">
        <f>G109</f>
        <v>604.41</v>
      </c>
      <c r="H103" s="40">
        <f t="shared" ref="H103:K103" si="58">H109</f>
        <v>0</v>
      </c>
      <c r="I103" s="40">
        <f t="shared" si="58"/>
        <v>0</v>
      </c>
      <c r="J103" s="40">
        <f t="shared" si="58"/>
        <v>0</v>
      </c>
      <c r="K103" s="40">
        <f t="shared" si="58"/>
        <v>0</v>
      </c>
      <c r="L103" s="282"/>
      <c r="M103" s="213"/>
    </row>
    <row r="104" spans="1:13" ht="34.5" customHeight="1" x14ac:dyDescent="0.25">
      <c r="A104" s="270"/>
      <c r="B104" s="285"/>
      <c r="C104" s="285"/>
      <c r="D104" s="95" t="s">
        <v>2</v>
      </c>
      <c r="E104" s="40">
        <f>E110+E113</f>
        <v>600</v>
      </c>
      <c r="F104" s="31">
        <f t="shared" ref="F104:F106" si="59">SUM(G104:K104)</f>
        <v>13004.6</v>
      </c>
      <c r="G104" s="40">
        <f>G110+G113</f>
        <v>393</v>
      </c>
      <c r="H104" s="40">
        <f>H110+H113</f>
        <v>576</v>
      </c>
      <c r="I104" s="40">
        <f t="shared" ref="I104:K104" si="60">I110+I113</f>
        <v>12035.6</v>
      </c>
      <c r="J104" s="40">
        <f t="shared" si="60"/>
        <v>0</v>
      </c>
      <c r="K104" s="40">
        <f t="shared" si="60"/>
        <v>0</v>
      </c>
      <c r="L104" s="282"/>
      <c r="M104" s="213"/>
    </row>
    <row r="105" spans="1:13" ht="34.5" customHeight="1" x14ac:dyDescent="0.25">
      <c r="A105" s="270"/>
      <c r="B105" s="285"/>
      <c r="C105" s="285"/>
      <c r="D105" s="69" t="s">
        <v>159</v>
      </c>
      <c r="E105" s="40">
        <f>E111</f>
        <v>0</v>
      </c>
      <c r="F105" s="31">
        <f t="shared" si="59"/>
        <v>12035.6</v>
      </c>
      <c r="G105" s="40">
        <f>G111</f>
        <v>0</v>
      </c>
      <c r="H105" s="40">
        <f t="shared" ref="H105:K105" si="61">H111</f>
        <v>0</v>
      </c>
      <c r="I105" s="40">
        <f t="shared" si="61"/>
        <v>12035.6</v>
      </c>
      <c r="J105" s="40">
        <f t="shared" si="61"/>
        <v>0</v>
      </c>
      <c r="K105" s="40">
        <f t="shared" si="61"/>
        <v>0</v>
      </c>
      <c r="L105" s="282"/>
      <c r="M105" s="213"/>
    </row>
    <row r="106" spans="1:13" ht="63" customHeight="1" x14ac:dyDescent="0.25">
      <c r="A106" s="271"/>
      <c r="B106" s="286"/>
      <c r="C106" s="286"/>
      <c r="D106" s="95" t="s">
        <v>3</v>
      </c>
      <c r="E106" s="156">
        <f>E112</f>
        <v>0</v>
      </c>
      <c r="F106" s="31">
        <f t="shared" si="59"/>
        <v>150</v>
      </c>
      <c r="G106" s="156">
        <v>0</v>
      </c>
      <c r="H106" s="156">
        <f t="shared" ref="H106:K106" si="62">H112</f>
        <v>150</v>
      </c>
      <c r="I106" s="156">
        <f t="shared" si="62"/>
        <v>0</v>
      </c>
      <c r="J106" s="156">
        <f t="shared" si="62"/>
        <v>0</v>
      </c>
      <c r="K106" s="156">
        <f t="shared" si="62"/>
        <v>0</v>
      </c>
      <c r="L106" s="283"/>
      <c r="M106" s="214"/>
    </row>
    <row r="107" spans="1:13" ht="108" customHeight="1" x14ac:dyDescent="0.25">
      <c r="A107" s="23" t="s">
        <v>36</v>
      </c>
      <c r="B107" s="24" t="s">
        <v>59</v>
      </c>
      <c r="C107" s="25" t="s">
        <v>54</v>
      </c>
      <c r="D107" s="73" t="s">
        <v>31</v>
      </c>
      <c r="E107" s="289" t="s">
        <v>58</v>
      </c>
      <c r="F107" s="290"/>
      <c r="G107" s="290"/>
      <c r="H107" s="290"/>
      <c r="I107" s="290"/>
      <c r="J107" s="290"/>
      <c r="K107" s="291"/>
      <c r="L107" s="42" t="s">
        <v>135</v>
      </c>
      <c r="M107" s="57" t="s">
        <v>60</v>
      </c>
    </row>
    <row r="108" spans="1:13" ht="37.5" customHeight="1" x14ac:dyDescent="0.25">
      <c r="A108" s="266" t="s">
        <v>37</v>
      </c>
      <c r="B108" s="275" t="s">
        <v>69</v>
      </c>
      <c r="C108" s="275" t="s">
        <v>54</v>
      </c>
      <c r="D108" s="79" t="s">
        <v>118</v>
      </c>
      <c r="E108" s="43">
        <v>0</v>
      </c>
      <c r="F108" s="44">
        <f>SUM(G108:K108)</f>
        <v>310.49</v>
      </c>
      <c r="G108" s="45">
        <v>310.49</v>
      </c>
      <c r="H108" s="46">
        <v>0</v>
      </c>
      <c r="I108" s="46">
        <v>0</v>
      </c>
      <c r="J108" s="46">
        <v>0</v>
      </c>
      <c r="K108" s="46">
        <v>0</v>
      </c>
      <c r="L108" s="278" t="s">
        <v>128</v>
      </c>
      <c r="M108" s="209" t="s">
        <v>169</v>
      </c>
    </row>
    <row r="109" spans="1:13" ht="22.5" customHeight="1" x14ac:dyDescent="0.25">
      <c r="A109" s="267"/>
      <c r="B109" s="276"/>
      <c r="C109" s="276"/>
      <c r="D109" s="79" t="s">
        <v>119</v>
      </c>
      <c r="E109" s="43">
        <v>0</v>
      </c>
      <c r="F109" s="44">
        <f>SUM(G109:K109)</f>
        <v>604.41</v>
      </c>
      <c r="G109" s="45">
        <v>604.41</v>
      </c>
      <c r="H109" s="46">
        <v>0</v>
      </c>
      <c r="I109" s="46">
        <v>0</v>
      </c>
      <c r="J109" s="46">
        <v>0</v>
      </c>
      <c r="K109" s="46">
        <v>0</v>
      </c>
      <c r="L109" s="279"/>
      <c r="M109" s="210"/>
    </row>
    <row r="110" spans="1:13" ht="18" customHeight="1" x14ac:dyDescent="0.25">
      <c r="A110" s="267"/>
      <c r="B110" s="276"/>
      <c r="C110" s="276"/>
      <c r="D110" s="79" t="s">
        <v>2</v>
      </c>
      <c r="E110" s="43">
        <v>600</v>
      </c>
      <c r="F110" s="44">
        <f t="shared" ref="F110:F113" si="63">SUM(G110:K110)</f>
        <v>12654.6</v>
      </c>
      <c r="G110" s="43">
        <v>393</v>
      </c>
      <c r="H110" s="43">
        <v>226</v>
      </c>
      <c r="I110" s="43">
        <v>12035.6</v>
      </c>
      <c r="J110" s="43">
        <v>0</v>
      </c>
      <c r="K110" s="43">
        <v>0</v>
      </c>
      <c r="L110" s="279"/>
      <c r="M110" s="210"/>
    </row>
    <row r="111" spans="1:13" ht="30.75" customHeight="1" x14ac:dyDescent="0.25">
      <c r="A111" s="267"/>
      <c r="B111" s="276"/>
      <c r="C111" s="276"/>
      <c r="D111" s="69" t="s">
        <v>159</v>
      </c>
      <c r="E111" s="43">
        <v>0</v>
      </c>
      <c r="F111" s="44">
        <f t="shared" si="63"/>
        <v>12035.6</v>
      </c>
      <c r="G111" s="43">
        <v>0</v>
      </c>
      <c r="H111" s="43">
        <v>0</v>
      </c>
      <c r="I111" s="43">
        <v>12035.6</v>
      </c>
      <c r="J111" s="43">
        <v>0</v>
      </c>
      <c r="K111" s="43">
        <v>0</v>
      </c>
      <c r="L111" s="279"/>
      <c r="M111" s="211"/>
    </row>
    <row r="112" spans="1:13" ht="63.75" customHeight="1" x14ac:dyDescent="0.25">
      <c r="A112" s="268"/>
      <c r="B112" s="277"/>
      <c r="C112" s="277"/>
      <c r="D112" s="73" t="s">
        <v>3</v>
      </c>
      <c r="E112" s="43">
        <v>0</v>
      </c>
      <c r="F112" s="44">
        <f t="shared" si="63"/>
        <v>150</v>
      </c>
      <c r="G112" s="43">
        <v>0</v>
      </c>
      <c r="H112" s="98">
        <v>150</v>
      </c>
      <c r="I112" s="43">
        <v>0</v>
      </c>
      <c r="J112" s="43">
        <v>0</v>
      </c>
      <c r="K112" s="43">
        <v>0</v>
      </c>
      <c r="L112" s="280"/>
      <c r="M112" s="97" t="s">
        <v>170</v>
      </c>
    </row>
    <row r="113" spans="1:13" ht="107.25" customHeight="1" x14ac:dyDescent="0.25">
      <c r="A113" s="23" t="s">
        <v>38</v>
      </c>
      <c r="B113" s="24" t="s">
        <v>61</v>
      </c>
      <c r="C113" s="25" t="s">
        <v>54</v>
      </c>
      <c r="D113" s="79" t="s">
        <v>2</v>
      </c>
      <c r="E113" s="43">
        <v>0</v>
      </c>
      <c r="F113" s="44">
        <f t="shared" si="63"/>
        <v>350</v>
      </c>
      <c r="G113" s="46">
        <v>0</v>
      </c>
      <c r="H113" s="61">
        <v>350</v>
      </c>
      <c r="I113" s="46">
        <v>0</v>
      </c>
      <c r="J113" s="46">
        <v>0</v>
      </c>
      <c r="K113" s="46">
        <v>0</v>
      </c>
      <c r="L113" s="42" t="s">
        <v>124</v>
      </c>
      <c r="M113" s="57" t="s">
        <v>61</v>
      </c>
    </row>
    <row r="114" spans="1:13" ht="27" customHeight="1" x14ac:dyDescent="0.25">
      <c r="A114" s="315" t="s">
        <v>68</v>
      </c>
      <c r="B114" s="313" t="s">
        <v>152</v>
      </c>
      <c r="C114" s="315" t="s">
        <v>79</v>
      </c>
      <c r="D114" s="95" t="s">
        <v>1</v>
      </c>
      <c r="E114" s="40">
        <f>E115</f>
        <v>26670.6</v>
      </c>
      <c r="F114" s="31">
        <f>SUM(G114:K114)</f>
        <v>101119.477</v>
      </c>
      <c r="G114" s="40">
        <f>G115</f>
        <v>26261.838</v>
      </c>
      <c r="H114" s="40">
        <f>H115</f>
        <v>18683.638999999999</v>
      </c>
      <c r="I114" s="40">
        <f>I115</f>
        <v>19492</v>
      </c>
      <c r="J114" s="40">
        <f>J115</f>
        <v>18341</v>
      </c>
      <c r="K114" s="40">
        <f>K115</f>
        <v>18341</v>
      </c>
      <c r="L114" s="183"/>
      <c r="M114" s="316"/>
    </row>
    <row r="115" spans="1:13" ht="66.75" customHeight="1" x14ac:dyDescent="0.25">
      <c r="A115" s="322"/>
      <c r="B115" s="314"/>
      <c r="C115" s="315"/>
      <c r="D115" s="95" t="s">
        <v>2</v>
      </c>
      <c r="E115" s="40">
        <f>SUM(E116:E118)</f>
        <v>26670.6</v>
      </c>
      <c r="F115" s="31">
        <f t="shared" ref="F115" si="64">SUM(G115:K115)</f>
        <v>101119.477</v>
      </c>
      <c r="G115" s="40">
        <f>SUM(G116:G118)</f>
        <v>26261.838</v>
      </c>
      <c r="H115" s="40">
        <f t="shared" ref="H115:K115" si="65">SUM(H116:H118)</f>
        <v>18683.638999999999</v>
      </c>
      <c r="I115" s="40">
        <f t="shared" si="65"/>
        <v>19492</v>
      </c>
      <c r="J115" s="40">
        <f t="shared" si="65"/>
        <v>18341</v>
      </c>
      <c r="K115" s="40">
        <f t="shared" si="65"/>
        <v>18341</v>
      </c>
      <c r="L115" s="184"/>
      <c r="M115" s="317"/>
    </row>
    <row r="116" spans="1:13" ht="80.25" customHeight="1" x14ac:dyDescent="0.25">
      <c r="A116" s="47" t="s">
        <v>70</v>
      </c>
      <c r="B116" s="55" t="s">
        <v>151</v>
      </c>
      <c r="C116" s="25" t="s">
        <v>54</v>
      </c>
      <c r="D116" s="73" t="s">
        <v>2</v>
      </c>
      <c r="E116" s="41">
        <v>26240.3</v>
      </c>
      <c r="F116" s="40">
        <f t="shared" ref="F116:F119" si="66">SUM(G116:K116)</f>
        <v>100350.561</v>
      </c>
      <c r="G116" s="41">
        <f>26828.918-567.08</f>
        <v>26261.838</v>
      </c>
      <c r="H116" s="59">
        <f>16505+444.5+145.7+959.9+900+39.6+90.8-30.4-85.1-59.45-3.106-6.305-108.5-327-56+91-295+304.084-22</f>
        <v>18487.722999999998</v>
      </c>
      <c r="I116" s="41">
        <f>18150+1151</f>
        <v>19301</v>
      </c>
      <c r="J116" s="41">
        <v>18150</v>
      </c>
      <c r="K116" s="41">
        <v>18150</v>
      </c>
      <c r="L116" s="48" t="s">
        <v>127</v>
      </c>
      <c r="M116" s="85"/>
    </row>
    <row r="117" spans="1:13" ht="81" customHeight="1" x14ac:dyDescent="0.25">
      <c r="A117" s="49" t="s">
        <v>71</v>
      </c>
      <c r="B117" s="26" t="s">
        <v>166</v>
      </c>
      <c r="C117" s="26" t="s">
        <v>54</v>
      </c>
      <c r="D117" s="103" t="s">
        <v>2</v>
      </c>
      <c r="E117" s="50">
        <v>0</v>
      </c>
      <c r="F117" s="51">
        <f t="shared" si="66"/>
        <v>0</v>
      </c>
      <c r="G117" s="50">
        <v>0</v>
      </c>
      <c r="H117" s="50">
        <v>0</v>
      </c>
      <c r="I117" s="50">
        <v>0</v>
      </c>
      <c r="J117" s="50">
        <v>0</v>
      </c>
      <c r="K117" s="50">
        <v>0</v>
      </c>
      <c r="L117" s="52" t="s">
        <v>127</v>
      </c>
      <c r="M117" s="86"/>
    </row>
    <row r="118" spans="1:13" ht="84.75" customHeight="1" x14ac:dyDescent="0.25">
      <c r="A118" s="47" t="s">
        <v>72</v>
      </c>
      <c r="B118" s="54" t="s">
        <v>150</v>
      </c>
      <c r="C118" s="23" t="s">
        <v>54</v>
      </c>
      <c r="D118" s="73" t="s">
        <v>6</v>
      </c>
      <c r="E118" s="41">
        <v>430.3</v>
      </c>
      <c r="F118" s="40">
        <f t="shared" si="66"/>
        <v>768.91599999999994</v>
      </c>
      <c r="G118" s="41">
        <f>185.15-185.15</f>
        <v>0</v>
      </c>
      <c r="H118" s="59">
        <f>108.9+99.8-8.7-4.084</f>
        <v>195.916</v>
      </c>
      <c r="I118" s="41">
        <v>191</v>
      </c>
      <c r="J118" s="41">
        <v>191</v>
      </c>
      <c r="K118" s="41">
        <v>191</v>
      </c>
      <c r="L118" s="48" t="s">
        <v>127</v>
      </c>
      <c r="M118" s="57"/>
    </row>
    <row r="119" spans="1:13" ht="33" customHeight="1" x14ac:dyDescent="0.25">
      <c r="A119" s="319"/>
      <c r="B119" s="315" t="s">
        <v>62</v>
      </c>
      <c r="C119" s="315"/>
      <c r="D119" s="73"/>
      <c r="E119" s="155">
        <f>E120+E121+E123+E125+E126+E128</f>
        <v>440563.49999999994</v>
      </c>
      <c r="F119" s="159">
        <f t="shared" si="66"/>
        <v>4723123.8882600004</v>
      </c>
      <c r="G119" s="155">
        <f>G120+G121+G123+G125+G126+G128</f>
        <v>580126.47</v>
      </c>
      <c r="H119" s="155">
        <f t="shared" ref="H119:K119" si="67">H120+H121+H123+H125+H126+H128</f>
        <v>1705277.5056400001</v>
      </c>
      <c r="I119" s="155">
        <f t="shared" si="67"/>
        <v>969994.08123999997</v>
      </c>
      <c r="J119" s="155">
        <f t="shared" si="67"/>
        <v>733862.91568999994</v>
      </c>
      <c r="K119" s="155">
        <f t="shared" si="67"/>
        <v>733862.91568999994</v>
      </c>
      <c r="L119" s="27"/>
      <c r="M119" s="87"/>
    </row>
    <row r="120" spans="1:13" ht="33.75" customHeight="1" x14ac:dyDescent="0.25">
      <c r="A120" s="320"/>
      <c r="B120" s="167"/>
      <c r="C120" s="167"/>
      <c r="D120" s="113" t="s">
        <v>120</v>
      </c>
      <c r="E120" s="155">
        <f>E52+E102</f>
        <v>0</v>
      </c>
      <c r="F120" s="53">
        <f>SUM(G120:K120)</f>
        <v>36630.31</v>
      </c>
      <c r="G120" s="155">
        <f>G52+G102</f>
        <v>36630.31</v>
      </c>
      <c r="H120" s="155">
        <f>H52+H102</f>
        <v>0</v>
      </c>
      <c r="I120" s="155">
        <f>I52+I102</f>
        <v>0</v>
      </c>
      <c r="J120" s="155">
        <f>J52+J102</f>
        <v>0</v>
      </c>
      <c r="K120" s="155">
        <f>K52+K102</f>
        <v>0</v>
      </c>
      <c r="L120" s="27"/>
      <c r="M120" s="87"/>
    </row>
    <row r="121" spans="1:13" ht="26.25" customHeight="1" x14ac:dyDescent="0.25">
      <c r="A121" s="320"/>
      <c r="B121" s="167"/>
      <c r="C121" s="167"/>
      <c r="D121" s="202" t="s">
        <v>74</v>
      </c>
      <c r="E121" s="155">
        <f>E8+E39+E53+E80+E103</f>
        <v>9606</v>
      </c>
      <c r="F121" s="53">
        <f t="shared" ref="F121:F128" si="68">SUM(G121:K121)</f>
        <v>1337883.5900000001</v>
      </c>
      <c r="G121" s="155">
        <f>G8+G39+G53+G80+G103</f>
        <v>107748.59</v>
      </c>
      <c r="H121" s="155">
        <f>H8+H39+H53+H80+H103</f>
        <v>1122135</v>
      </c>
      <c r="I121" s="155">
        <f>I8+I39+I53+I80+I103</f>
        <v>108000</v>
      </c>
      <c r="J121" s="155">
        <f>J8+J39+J53+J80+J103</f>
        <v>0</v>
      </c>
      <c r="K121" s="155">
        <f>K8+K39+K53+K80+K103</f>
        <v>0</v>
      </c>
      <c r="L121" s="27"/>
      <c r="M121" s="87"/>
    </row>
    <row r="122" spans="1:13" ht="37.5" customHeight="1" x14ac:dyDescent="0.25">
      <c r="A122" s="320"/>
      <c r="B122" s="167"/>
      <c r="C122" s="167"/>
      <c r="D122" s="251"/>
      <c r="E122" s="199" t="s">
        <v>227</v>
      </c>
      <c r="F122" s="200"/>
      <c r="G122" s="200"/>
      <c r="H122" s="200"/>
      <c r="I122" s="200"/>
      <c r="J122" s="200"/>
      <c r="K122" s="201"/>
      <c r="L122" s="27"/>
      <c r="M122" s="87"/>
    </row>
    <row r="123" spans="1:13" ht="32.25" customHeight="1" x14ac:dyDescent="0.25">
      <c r="A123" s="320"/>
      <c r="B123" s="170"/>
      <c r="C123" s="170"/>
      <c r="D123" s="113" t="s">
        <v>2</v>
      </c>
      <c r="E123" s="155">
        <f>E9+E40+E54+E82+E104+E115+E74</f>
        <v>375284.92499999993</v>
      </c>
      <c r="F123" s="53">
        <f>SUM(G123:K123)</f>
        <v>2639615.2739299997</v>
      </c>
      <c r="G123" s="155">
        <f>G9+G40+G54+G82+G104+G115+G74</f>
        <v>369512.37</v>
      </c>
      <c r="H123" s="155">
        <f>H9+H40+H54+H82+H104+H115+H74</f>
        <v>460145.50637999998</v>
      </c>
      <c r="I123" s="155">
        <f>I9+I40+I54+I82+I104+I115+I74</f>
        <v>673138.93354999996</v>
      </c>
      <c r="J123" s="155">
        <f>J9+J40+J54+J82+J104+J115+J74</f>
        <v>568409.23199999996</v>
      </c>
      <c r="K123" s="155">
        <f>K9+K40+K54+K82+K104+K115+K74</f>
        <v>568409.23199999996</v>
      </c>
      <c r="L123" s="27"/>
      <c r="M123" s="88"/>
    </row>
    <row r="124" spans="1:13" ht="29.25" customHeight="1" x14ac:dyDescent="0.25">
      <c r="A124" s="320"/>
      <c r="B124" s="170"/>
      <c r="C124" s="170"/>
      <c r="D124" s="69" t="s">
        <v>159</v>
      </c>
      <c r="E124" s="46">
        <f>E10+E55+E75+E83+E105</f>
        <v>0</v>
      </c>
      <c r="F124" s="158">
        <f>SUM(G124:K124)</f>
        <v>181452.81</v>
      </c>
      <c r="G124" s="46">
        <f>G10+G55+G75+G83+G105</f>
        <v>0</v>
      </c>
      <c r="H124" s="46">
        <f>H10+H55+H75+H83+H105</f>
        <v>18915</v>
      </c>
      <c r="I124" s="46">
        <f>I10+I55+I75+I83+I105</f>
        <v>162537.81</v>
      </c>
      <c r="J124" s="46">
        <f>J10+J55+J75+J83+J105</f>
        <v>0</v>
      </c>
      <c r="K124" s="46">
        <f>K10+K55+K75+K83+K105</f>
        <v>0</v>
      </c>
      <c r="L124" s="27"/>
      <c r="M124" s="88"/>
    </row>
    <row r="125" spans="1:13" ht="63.75" customHeight="1" x14ac:dyDescent="0.25">
      <c r="A125" s="320"/>
      <c r="B125" s="170"/>
      <c r="C125" s="170"/>
      <c r="D125" s="113" t="s">
        <v>145</v>
      </c>
      <c r="E125" s="155">
        <f>E11+E42+E56+E84+E106</f>
        <v>10041.575000000001</v>
      </c>
      <c r="F125" s="53">
        <f>SUM(G125:K125)</f>
        <v>397153.24532999995</v>
      </c>
      <c r="G125" s="155">
        <f>G11+G42+G56+G84+G106</f>
        <v>19501.2</v>
      </c>
      <c r="H125" s="155">
        <f>H11+H42+H56+H84+H106</f>
        <v>16552.149260000002</v>
      </c>
      <c r="I125" s="155">
        <f>I11+I42+I56+I84+I106</f>
        <v>126468.52868999999</v>
      </c>
      <c r="J125" s="155">
        <f>J11+J42+J56+J84+J106</f>
        <v>117315.68368999999</v>
      </c>
      <c r="K125" s="155">
        <f>K11+K42+K56+K84+K106</f>
        <v>117315.68368999999</v>
      </c>
      <c r="L125" s="27"/>
      <c r="M125" s="88"/>
    </row>
    <row r="126" spans="1:13" ht="48" customHeight="1" x14ac:dyDescent="0.25">
      <c r="A126" s="320"/>
      <c r="B126" s="170"/>
      <c r="C126" s="170"/>
      <c r="D126" s="99" t="s">
        <v>144</v>
      </c>
      <c r="E126" s="155">
        <f>E57+E41</f>
        <v>2748</v>
      </c>
      <c r="F126" s="53">
        <f>SUM(G126:K126)</f>
        <v>60212</v>
      </c>
      <c r="G126" s="155">
        <f>G57+G41</f>
        <v>2487</v>
      </c>
      <c r="H126" s="155">
        <f>H57+H41</f>
        <v>51044</v>
      </c>
      <c r="I126" s="155">
        <f>I57+I41</f>
        <v>2227</v>
      </c>
      <c r="J126" s="155">
        <f>J57+J41</f>
        <v>2227</v>
      </c>
      <c r="K126" s="155">
        <f>K57+K41</f>
        <v>2227</v>
      </c>
      <c r="L126" s="27"/>
      <c r="M126" s="88"/>
    </row>
    <row r="127" spans="1:13" ht="47.25" customHeight="1" x14ac:dyDescent="0.25">
      <c r="A127" s="320"/>
      <c r="B127" s="170"/>
      <c r="C127" s="170"/>
      <c r="D127" s="113" t="s">
        <v>55</v>
      </c>
      <c r="E127" s="199" t="s">
        <v>228</v>
      </c>
      <c r="F127" s="200"/>
      <c r="G127" s="200"/>
      <c r="H127" s="200"/>
      <c r="I127" s="200"/>
      <c r="J127" s="200"/>
      <c r="K127" s="201"/>
      <c r="L127" s="27"/>
      <c r="M127" s="88"/>
    </row>
    <row r="128" spans="1:13" ht="22.5" customHeight="1" x14ac:dyDescent="0.25">
      <c r="A128" s="320"/>
      <c r="B128" s="170"/>
      <c r="C128" s="170"/>
      <c r="D128" s="113" t="s">
        <v>63</v>
      </c>
      <c r="E128" s="155">
        <f>E12+E86</f>
        <v>42883</v>
      </c>
      <c r="F128" s="53">
        <f t="shared" si="68"/>
        <v>251629.46900000001</v>
      </c>
      <c r="G128" s="155">
        <f>G12+G86</f>
        <v>44247</v>
      </c>
      <c r="H128" s="155">
        <f>H12+H86</f>
        <v>55400.85</v>
      </c>
      <c r="I128" s="155">
        <f>I12+I86</f>
        <v>60159.619000000006</v>
      </c>
      <c r="J128" s="155">
        <f>J12+J86</f>
        <v>45911</v>
      </c>
      <c r="K128" s="155">
        <f>K12+K86</f>
        <v>45911</v>
      </c>
      <c r="L128" s="27"/>
      <c r="M128" s="88"/>
    </row>
    <row r="129" spans="1:13" ht="34.5" customHeight="1" x14ac:dyDescent="0.25">
      <c r="A129" s="321"/>
      <c r="B129" s="170"/>
      <c r="C129" s="170"/>
      <c r="D129" s="113" t="s">
        <v>31</v>
      </c>
      <c r="E129" s="326" t="s">
        <v>58</v>
      </c>
      <c r="F129" s="326"/>
      <c r="G129" s="326"/>
      <c r="H129" s="326"/>
      <c r="I129" s="326"/>
      <c r="J129" s="326"/>
      <c r="K129" s="326"/>
      <c r="L129" s="27"/>
      <c r="M129" s="88"/>
    </row>
    <row r="130" spans="1:13" ht="39.75" customHeight="1" x14ac:dyDescent="0.3">
      <c r="A130" s="177"/>
      <c r="B130" s="302" t="s">
        <v>136</v>
      </c>
      <c r="C130" s="303"/>
      <c r="D130" s="303"/>
      <c r="E130" s="303"/>
      <c r="F130" s="303"/>
      <c r="G130" s="303"/>
      <c r="H130" s="303"/>
      <c r="I130" s="303"/>
      <c r="J130" s="303"/>
      <c r="K130" s="303"/>
      <c r="L130" s="303"/>
      <c r="M130" s="304"/>
    </row>
    <row r="131" spans="1:13" ht="24.75" customHeight="1" x14ac:dyDescent="0.3">
      <c r="A131" s="169"/>
      <c r="B131" s="15"/>
      <c r="C131" s="15"/>
      <c r="D131" s="16"/>
      <c r="E131" s="16"/>
      <c r="F131" s="16"/>
      <c r="G131" s="16"/>
      <c r="H131" s="16"/>
      <c r="I131" s="16"/>
      <c r="J131" s="16"/>
      <c r="K131" s="16"/>
      <c r="L131" s="16"/>
      <c r="M131" s="178"/>
    </row>
    <row r="132" spans="1:13" ht="22.5" customHeight="1" x14ac:dyDescent="0.25">
      <c r="A132" s="168"/>
      <c r="L132" s="17"/>
      <c r="M132" s="17"/>
    </row>
    <row r="133" spans="1:13" ht="22.5" customHeight="1" x14ac:dyDescent="0.25">
      <c r="A133" s="168"/>
      <c r="B133" s="18"/>
      <c r="C133" s="17"/>
      <c r="D133" s="17"/>
      <c r="E133" s="17"/>
      <c r="F133" s="17"/>
      <c r="G133" s="17"/>
      <c r="H133" s="92"/>
      <c r="I133" s="92"/>
      <c r="J133" s="92"/>
      <c r="K133" s="92"/>
      <c r="L133" s="17"/>
      <c r="M133" s="17"/>
    </row>
    <row r="134" spans="1:13" ht="53.25" customHeight="1" x14ac:dyDescent="0.25">
      <c r="A134" s="168"/>
      <c r="B134" s="305"/>
      <c r="C134" s="305"/>
      <c r="D134" s="17"/>
      <c r="E134" s="17"/>
      <c r="F134" s="17"/>
      <c r="G134" s="17"/>
      <c r="H134" s="17"/>
      <c r="I134" s="17"/>
      <c r="J134" s="17"/>
      <c r="K134" s="17"/>
      <c r="L134" s="17"/>
      <c r="M134" s="19"/>
    </row>
    <row r="135" spans="1:13" x14ac:dyDescent="0.25">
      <c r="A135" s="169"/>
    </row>
    <row r="136" spans="1:13" ht="48.75" customHeight="1" x14ac:dyDescent="0.25">
      <c r="H136" s="93"/>
    </row>
    <row r="137" spans="1:13" x14ac:dyDescent="0.25">
      <c r="I137" s="94"/>
    </row>
    <row r="139" spans="1:13" x14ac:dyDescent="0.25">
      <c r="I139" s="93"/>
      <c r="J139" s="93"/>
      <c r="K139" s="93"/>
    </row>
    <row r="144" spans="1:13" x14ac:dyDescent="0.25">
      <c r="I144" s="93"/>
      <c r="J144" s="93"/>
      <c r="K144" s="93"/>
    </row>
    <row r="145" spans="9:9" x14ac:dyDescent="0.25">
      <c r="I145" s="93"/>
    </row>
    <row r="151" spans="9:9" x14ac:dyDescent="0.25">
      <c r="I151" s="93"/>
    </row>
    <row r="152" spans="9:9" x14ac:dyDescent="0.25">
      <c r="I152" s="93"/>
    </row>
  </sheetData>
  <mergeCells count="141">
    <mergeCell ref="E122:K122"/>
    <mergeCell ref="E127:K127"/>
    <mergeCell ref="C93:C95"/>
    <mergeCell ref="D121:D122"/>
    <mergeCell ref="A119:A129"/>
    <mergeCell ref="A114:A115"/>
    <mergeCell ref="A96:A100"/>
    <mergeCell ref="A93:A95"/>
    <mergeCell ref="A79:A86"/>
    <mergeCell ref="E129:K129"/>
    <mergeCell ref="C114:C115"/>
    <mergeCell ref="B130:M130"/>
    <mergeCell ref="B134:C134"/>
    <mergeCell ref="A46:A47"/>
    <mergeCell ref="B46:B47"/>
    <mergeCell ref="M46:M47"/>
    <mergeCell ref="B91:B92"/>
    <mergeCell ref="A91:A92"/>
    <mergeCell ref="C91:C92"/>
    <mergeCell ref="L91:L92"/>
    <mergeCell ref="M91:M92"/>
    <mergeCell ref="B87:B88"/>
    <mergeCell ref="A87:A88"/>
    <mergeCell ref="C87:C88"/>
    <mergeCell ref="L87:L88"/>
    <mergeCell ref="M87:M88"/>
    <mergeCell ref="E88:K88"/>
    <mergeCell ref="E89:K89"/>
    <mergeCell ref="E90:K90"/>
    <mergeCell ref="B114:B115"/>
    <mergeCell ref="B119:C119"/>
    <mergeCell ref="M114:M115"/>
    <mergeCell ref="A7:A12"/>
    <mergeCell ref="A26:A29"/>
    <mergeCell ref="C15:C21"/>
    <mergeCell ref="E91:K91"/>
    <mergeCell ref="E92:K92"/>
    <mergeCell ref="M38:M42"/>
    <mergeCell ref="L44:L45"/>
    <mergeCell ref="L46:L47"/>
    <mergeCell ref="C38:C42"/>
    <mergeCell ref="A38:A42"/>
    <mergeCell ref="B38:B42"/>
    <mergeCell ref="M44:M45"/>
    <mergeCell ref="C43:C45"/>
    <mergeCell ref="B43:B45"/>
    <mergeCell ref="C48:C50"/>
    <mergeCell ref="E87:K87"/>
    <mergeCell ref="L16:L21"/>
    <mergeCell ref="L51:L72"/>
    <mergeCell ref="D80:D81"/>
    <mergeCell ref="E85:K85"/>
    <mergeCell ref="A89:A90"/>
    <mergeCell ref="B89:B90"/>
    <mergeCell ref="C89:C90"/>
    <mergeCell ref="L89:L90"/>
    <mergeCell ref="A13:A14"/>
    <mergeCell ref="C31:C35"/>
    <mergeCell ref="A15:A21"/>
    <mergeCell ref="B15:B21"/>
    <mergeCell ref="A43:A45"/>
    <mergeCell ref="L73:L75"/>
    <mergeCell ref="A108:A112"/>
    <mergeCell ref="A101:A106"/>
    <mergeCell ref="L79:L86"/>
    <mergeCell ref="B108:B112"/>
    <mergeCell ref="C108:C112"/>
    <mergeCell ref="L108:L112"/>
    <mergeCell ref="L101:L106"/>
    <mergeCell ref="C101:C106"/>
    <mergeCell ref="B101:B106"/>
    <mergeCell ref="L93:L95"/>
    <mergeCell ref="B96:B100"/>
    <mergeCell ref="C96:C100"/>
    <mergeCell ref="E107:K107"/>
    <mergeCell ref="L1:M1"/>
    <mergeCell ref="B13:B14"/>
    <mergeCell ref="B76:B77"/>
    <mergeCell ref="M31:M35"/>
    <mergeCell ref="L31:L35"/>
    <mergeCell ref="B22:B25"/>
    <mergeCell ref="B73:B75"/>
    <mergeCell ref="C73:C75"/>
    <mergeCell ref="B7:B12"/>
    <mergeCell ref="C7:C12"/>
    <mergeCell ref="M7:M12"/>
    <mergeCell ref="C22:C25"/>
    <mergeCell ref="L22:L25"/>
    <mergeCell ref="M23:M25"/>
    <mergeCell ref="B26:B29"/>
    <mergeCell ref="C26:C29"/>
    <mergeCell ref="L26:L29"/>
    <mergeCell ref="M27:M29"/>
    <mergeCell ref="M73:M75"/>
    <mergeCell ref="M76:M78"/>
    <mergeCell ref="M51:M63"/>
    <mergeCell ref="B48:B50"/>
    <mergeCell ref="L49:L50"/>
    <mergeCell ref="J2:M2"/>
    <mergeCell ref="M17:M21"/>
    <mergeCell ref="A22:A25"/>
    <mergeCell ref="B3:K3"/>
    <mergeCell ref="F4:F5"/>
    <mergeCell ref="G4:K4"/>
    <mergeCell ref="L4:L5"/>
    <mergeCell ref="M4:M5"/>
    <mergeCell ref="E78:K78"/>
    <mergeCell ref="A48:A50"/>
    <mergeCell ref="M49:M50"/>
    <mergeCell ref="C51:C57"/>
    <mergeCell ref="B51:B57"/>
    <mergeCell ref="A51:A57"/>
    <mergeCell ref="A73:A75"/>
    <mergeCell ref="A64:A66"/>
    <mergeCell ref="A67:A71"/>
    <mergeCell ref="A58:A63"/>
    <mergeCell ref="A4:A5"/>
    <mergeCell ref="B4:B5"/>
    <mergeCell ref="C4:C5"/>
    <mergeCell ref="D4:D5"/>
    <mergeCell ref="E4:E5"/>
    <mergeCell ref="A31:A35"/>
    <mergeCell ref="B31:B35"/>
    <mergeCell ref="L114:L115"/>
    <mergeCell ref="M64:M66"/>
    <mergeCell ref="B58:B63"/>
    <mergeCell ref="C58:C63"/>
    <mergeCell ref="B64:B66"/>
    <mergeCell ref="C64:C66"/>
    <mergeCell ref="C67:C71"/>
    <mergeCell ref="M67:M72"/>
    <mergeCell ref="B67:B71"/>
    <mergeCell ref="L97:L100"/>
    <mergeCell ref="B93:B95"/>
    <mergeCell ref="E81:K81"/>
    <mergeCell ref="B79:B86"/>
    <mergeCell ref="C79:C86"/>
    <mergeCell ref="M79:M86"/>
    <mergeCell ref="M89:M90"/>
    <mergeCell ref="M108:M111"/>
    <mergeCell ref="M101:M106"/>
  </mergeCells>
  <printOptions horizontalCentered="1"/>
  <pageMargins left="0.59055118110236227" right="0.70866141732283472" top="0.55118110236220474" bottom="0.55118110236220474" header="0.31496062992125984" footer="0.31496062992125984"/>
  <pageSetup paperSize="9" scale="55" fitToHeight="2" orientation="landscape" r:id="rId1"/>
  <rowBreaks count="7" manualBreakCount="7">
    <brk id="21" max="16383" man="1"/>
    <brk id="37" max="16383" man="1"/>
    <brk id="50" max="16383" man="1"/>
    <brk id="66" max="16383" man="1"/>
    <brk id="86" max="16383" man="1"/>
    <brk id="100" max="12" man="1"/>
    <brk id="11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tabSelected="1" view="pageBreakPreview" zoomScale="70" zoomScaleNormal="80" zoomScaleSheetLayoutView="70" workbookViewId="0">
      <pane xSplit="1" ySplit="5" topLeftCell="B66" activePane="bottomRight" state="frozen"/>
      <selection pane="topRight" activeCell="B1" sqref="B1"/>
      <selection pane="bottomLeft" activeCell="A6" sqref="A6"/>
      <selection pane="bottomRight" activeCell="P40" sqref="P40:P41"/>
    </sheetView>
  </sheetViews>
  <sheetFormatPr defaultColWidth="9.140625" defaultRowHeight="15" x14ac:dyDescent="0.25"/>
  <cols>
    <col min="1" max="1" width="4.7109375" style="114" customWidth="1"/>
    <col min="2" max="2" width="16.5703125" style="114" customWidth="1"/>
    <col min="3" max="3" width="21.42578125" style="114" customWidth="1"/>
    <col min="4" max="4" width="26.28515625" style="114" customWidth="1"/>
    <col min="5" max="5" width="17.85546875" style="114" customWidth="1"/>
    <col min="6" max="6" width="16.7109375" style="114" customWidth="1"/>
    <col min="7" max="7" width="21.140625" style="114" customWidth="1"/>
    <col min="8" max="8" width="27.28515625" style="114" customWidth="1"/>
    <col min="9" max="9" width="7.7109375" style="114" customWidth="1"/>
    <col min="10" max="10" width="14" style="114" customWidth="1"/>
    <col min="11" max="11" width="11.7109375" style="114" customWidth="1"/>
    <col min="12" max="12" width="11.28515625" style="114" customWidth="1"/>
    <col min="13" max="13" width="12.85546875" style="114" customWidth="1"/>
    <col min="14" max="14" width="12.140625" style="114" customWidth="1"/>
    <col min="15" max="15" width="11.28515625" style="114" customWidth="1"/>
    <col min="16" max="16" width="64" style="114" customWidth="1"/>
    <col min="17" max="16384" width="9.140625" style="114"/>
  </cols>
  <sheetData>
    <row r="1" spans="1:15" ht="78" customHeight="1" x14ac:dyDescent="0.25">
      <c r="L1" s="359" t="s">
        <v>240</v>
      </c>
      <c r="M1" s="359"/>
      <c r="N1" s="359"/>
      <c r="O1" s="359"/>
    </row>
    <row r="2" spans="1:15" ht="32.25" customHeight="1" x14ac:dyDescent="0.25">
      <c r="A2" s="115"/>
      <c r="B2" s="115"/>
      <c r="C2" s="115"/>
      <c r="D2" s="116"/>
      <c r="E2" s="116"/>
      <c r="F2" s="116"/>
      <c r="G2" s="116"/>
      <c r="H2" s="116"/>
      <c r="I2" s="116"/>
      <c r="J2" s="116"/>
      <c r="K2" s="116"/>
      <c r="L2" s="360" t="s">
        <v>82</v>
      </c>
      <c r="M2" s="361"/>
      <c r="N2" s="361"/>
      <c r="O2" s="361"/>
    </row>
    <row r="3" spans="1:15" ht="57.75" customHeight="1" thickBot="1" x14ac:dyDescent="0.3">
      <c r="D3" s="362" t="s">
        <v>83</v>
      </c>
      <c r="E3" s="363"/>
      <c r="F3" s="363"/>
      <c r="G3" s="363"/>
      <c r="H3" s="363"/>
      <c r="I3" s="363"/>
      <c r="J3" s="363"/>
      <c r="K3" s="363"/>
      <c r="L3" s="363"/>
      <c r="M3" s="363"/>
    </row>
    <row r="4" spans="1:15" ht="45.6" customHeight="1" x14ac:dyDescent="0.25">
      <c r="A4" s="364" t="s">
        <v>84</v>
      </c>
      <c r="B4" s="330" t="s">
        <v>85</v>
      </c>
      <c r="C4" s="331"/>
      <c r="D4" s="331"/>
      <c r="E4" s="331"/>
      <c r="F4" s="331"/>
      <c r="G4" s="331"/>
      <c r="H4" s="366" t="s">
        <v>86</v>
      </c>
      <c r="I4" s="366" t="s">
        <v>87</v>
      </c>
      <c r="J4" s="366" t="s">
        <v>115</v>
      </c>
      <c r="K4" s="366" t="s">
        <v>88</v>
      </c>
      <c r="L4" s="366"/>
      <c r="M4" s="366"/>
      <c r="N4" s="366"/>
      <c r="O4" s="368"/>
    </row>
    <row r="5" spans="1:15" ht="117.75" customHeight="1" x14ac:dyDescent="0.25">
      <c r="A5" s="365"/>
      <c r="B5" s="117" t="s">
        <v>123</v>
      </c>
      <c r="C5" s="117" t="s">
        <v>122</v>
      </c>
      <c r="D5" s="117" t="s">
        <v>89</v>
      </c>
      <c r="E5" s="117" t="s">
        <v>168</v>
      </c>
      <c r="F5" s="118" t="s">
        <v>143</v>
      </c>
      <c r="G5" s="117" t="s">
        <v>18</v>
      </c>
      <c r="H5" s="367"/>
      <c r="I5" s="367"/>
      <c r="J5" s="367"/>
      <c r="K5" s="117" t="s">
        <v>49</v>
      </c>
      <c r="L5" s="117" t="s">
        <v>50</v>
      </c>
      <c r="M5" s="117" t="s">
        <v>51</v>
      </c>
      <c r="N5" s="117" t="s">
        <v>52</v>
      </c>
      <c r="O5" s="119" t="s">
        <v>90</v>
      </c>
    </row>
    <row r="6" spans="1:15" ht="19.149999999999999" customHeight="1" x14ac:dyDescent="0.25">
      <c r="A6" s="120">
        <v>1</v>
      </c>
      <c r="B6" s="120">
        <v>2</v>
      </c>
      <c r="C6" s="120">
        <v>3</v>
      </c>
      <c r="D6" s="120">
        <v>4</v>
      </c>
      <c r="E6" s="120">
        <v>5</v>
      </c>
      <c r="F6" s="120">
        <v>6</v>
      </c>
      <c r="G6" s="120">
        <v>7</v>
      </c>
      <c r="H6" s="120">
        <v>8</v>
      </c>
      <c r="I6" s="120">
        <v>9</v>
      </c>
      <c r="J6" s="120">
        <v>10</v>
      </c>
      <c r="K6" s="120">
        <v>11</v>
      </c>
      <c r="L6" s="120">
        <v>12</v>
      </c>
      <c r="M6" s="120">
        <v>13</v>
      </c>
      <c r="N6" s="120">
        <v>14</v>
      </c>
      <c r="O6" s="120">
        <v>15</v>
      </c>
    </row>
    <row r="7" spans="1:15" ht="50.25" customHeight="1" x14ac:dyDescent="0.25">
      <c r="A7" s="341" t="s">
        <v>181</v>
      </c>
      <c r="B7" s="341"/>
      <c r="C7" s="341"/>
      <c r="D7" s="341"/>
      <c r="E7" s="341"/>
      <c r="F7" s="341"/>
      <c r="G7" s="341"/>
      <c r="H7" s="341"/>
      <c r="I7" s="121" t="s">
        <v>184</v>
      </c>
      <c r="J7" s="122" t="s">
        <v>185</v>
      </c>
      <c r="K7" s="122" t="s">
        <v>185</v>
      </c>
      <c r="L7" s="122" t="s">
        <v>185</v>
      </c>
      <c r="M7" s="122" t="s">
        <v>185</v>
      </c>
      <c r="N7" s="122" t="s">
        <v>185</v>
      </c>
      <c r="O7" s="122" t="s">
        <v>185</v>
      </c>
    </row>
    <row r="8" spans="1:15" ht="105" customHeight="1" x14ac:dyDescent="0.25">
      <c r="A8" s="355"/>
      <c r="B8" s="346">
        <v>0</v>
      </c>
      <c r="C8" s="348">
        <f>'[1]культура прил. 1 на 17-21'!F8</f>
        <v>7684</v>
      </c>
      <c r="D8" s="346">
        <f>'[1]культура прил. 1 на 17-21'!F9</f>
        <v>2345252.0219999994</v>
      </c>
      <c r="E8" s="348">
        <f>'[1]культура прил. 1 на 17-21'!F11</f>
        <v>345093.61106999998</v>
      </c>
      <c r="F8" s="348">
        <v>0</v>
      </c>
      <c r="G8" s="348" t="s">
        <v>237</v>
      </c>
      <c r="H8" s="123" t="s">
        <v>91</v>
      </c>
      <c r="I8" s="124" t="s">
        <v>92</v>
      </c>
      <c r="J8" s="125">
        <v>4.66</v>
      </c>
      <c r="K8" s="125">
        <v>4.67</v>
      </c>
      <c r="L8" s="125">
        <v>4.68</v>
      </c>
      <c r="M8" s="125">
        <v>4.6900000000000004</v>
      </c>
      <c r="N8" s="125">
        <v>4.7</v>
      </c>
      <c r="O8" s="125">
        <v>4.71</v>
      </c>
    </row>
    <row r="9" spans="1:15" ht="62.25" customHeight="1" x14ac:dyDescent="0.25">
      <c r="A9" s="356"/>
      <c r="B9" s="347"/>
      <c r="C9" s="349"/>
      <c r="D9" s="347"/>
      <c r="E9" s="349"/>
      <c r="F9" s="349"/>
      <c r="G9" s="349"/>
      <c r="H9" s="123" t="s">
        <v>93</v>
      </c>
      <c r="I9" s="124" t="s">
        <v>94</v>
      </c>
      <c r="J9" s="125">
        <v>50</v>
      </c>
      <c r="K9" s="125">
        <v>50</v>
      </c>
      <c r="L9" s="125">
        <v>50</v>
      </c>
      <c r="M9" s="125">
        <v>50</v>
      </c>
      <c r="N9" s="125">
        <v>50</v>
      </c>
      <c r="O9" s="125">
        <v>50</v>
      </c>
    </row>
    <row r="10" spans="1:15" ht="187.5" x14ac:dyDescent="0.25">
      <c r="A10" s="356"/>
      <c r="B10" s="347"/>
      <c r="C10" s="349"/>
      <c r="D10" s="347"/>
      <c r="E10" s="349"/>
      <c r="F10" s="349"/>
      <c r="G10" s="349"/>
      <c r="H10" s="123" t="s">
        <v>210</v>
      </c>
      <c r="I10" s="121" t="s">
        <v>101</v>
      </c>
      <c r="J10" s="122" t="s">
        <v>134</v>
      </c>
      <c r="K10" s="122" t="s">
        <v>134</v>
      </c>
      <c r="L10" s="122" t="s">
        <v>134</v>
      </c>
      <c r="M10" s="122">
        <v>440</v>
      </c>
      <c r="N10" s="122">
        <v>440</v>
      </c>
      <c r="O10" s="122">
        <v>440</v>
      </c>
    </row>
    <row r="11" spans="1:15" ht="70.5" customHeight="1" x14ac:dyDescent="0.25">
      <c r="A11" s="356"/>
      <c r="B11" s="347"/>
      <c r="C11" s="349"/>
      <c r="D11" s="347"/>
      <c r="E11" s="349"/>
      <c r="F11" s="349"/>
      <c r="G11" s="349"/>
      <c r="H11" s="123" t="s">
        <v>187</v>
      </c>
      <c r="I11" s="1" t="s">
        <v>92</v>
      </c>
      <c r="J11" s="2">
        <v>100</v>
      </c>
      <c r="K11" s="126" t="s">
        <v>134</v>
      </c>
      <c r="L11" s="126">
        <v>100.5</v>
      </c>
      <c r="M11" s="2">
        <v>101</v>
      </c>
      <c r="N11" s="2">
        <v>103</v>
      </c>
      <c r="O11" s="2">
        <v>105</v>
      </c>
    </row>
    <row r="12" spans="1:15" ht="87" customHeight="1" x14ac:dyDescent="0.25">
      <c r="A12" s="356"/>
      <c r="B12" s="347"/>
      <c r="C12" s="349"/>
      <c r="D12" s="347"/>
      <c r="E12" s="349"/>
      <c r="F12" s="349"/>
      <c r="G12" s="349"/>
      <c r="H12" s="123" t="s">
        <v>188</v>
      </c>
      <c r="I12" s="73" t="s">
        <v>92</v>
      </c>
      <c r="J12" s="2">
        <v>100</v>
      </c>
      <c r="K12" s="126" t="s">
        <v>134</v>
      </c>
      <c r="L12" s="2">
        <v>104.67</v>
      </c>
      <c r="M12" s="2">
        <v>105.5</v>
      </c>
      <c r="N12" s="2">
        <v>106.5</v>
      </c>
      <c r="O12" s="2">
        <v>107.5</v>
      </c>
    </row>
    <row r="13" spans="1:15" ht="86.25" customHeight="1" x14ac:dyDescent="0.25">
      <c r="A13" s="356"/>
      <c r="B13" s="347"/>
      <c r="C13" s="349"/>
      <c r="D13" s="347"/>
      <c r="E13" s="349"/>
      <c r="F13" s="349"/>
      <c r="G13" s="349"/>
      <c r="H13" s="123" t="s">
        <v>195</v>
      </c>
      <c r="I13" s="73" t="s">
        <v>194</v>
      </c>
      <c r="J13" s="2">
        <v>324.60000000000002</v>
      </c>
      <c r="K13" s="126" t="s">
        <v>134</v>
      </c>
      <c r="L13" s="125">
        <v>339.73500000000001</v>
      </c>
      <c r="M13" s="2">
        <v>342.45</v>
      </c>
      <c r="N13" s="2">
        <v>345.69</v>
      </c>
      <c r="O13" s="2">
        <v>348.94</v>
      </c>
    </row>
    <row r="14" spans="1:15" ht="105" customHeight="1" x14ac:dyDescent="0.25">
      <c r="A14" s="356"/>
      <c r="B14" s="347"/>
      <c r="C14" s="349"/>
      <c r="D14" s="347"/>
      <c r="E14" s="349"/>
      <c r="F14" s="349"/>
      <c r="G14" s="349"/>
      <c r="H14" s="123" t="s">
        <v>196</v>
      </c>
      <c r="I14" s="73" t="s">
        <v>92</v>
      </c>
      <c r="J14" s="2">
        <v>100</v>
      </c>
      <c r="K14" s="126" t="s">
        <v>134</v>
      </c>
      <c r="L14" s="126">
        <v>103</v>
      </c>
      <c r="M14" s="2">
        <v>105</v>
      </c>
      <c r="N14" s="2">
        <v>110</v>
      </c>
      <c r="O14" s="2">
        <v>115</v>
      </c>
    </row>
    <row r="15" spans="1:15" ht="105" customHeight="1" x14ac:dyDescent="0.25">
      <c r="A15" s="356"/>
      <c r="B15" s="347"/>
      <c r="C15" s="349"/>
      <c r="D15" s="347"/>
      <c r="E15" s="349"/>
      <c r="F15" s="349"/>
      <c r="G15" s="349"/>
      <c r="H15" s="123" t="s">
        <v>197</v>
      </c>
      <c r="I15" s="73" t="s">
        <v>194</v>
      </c>
      <c r="J15" s="2">
        <v>3.4860000000000002</v>
      </c>
      <c r="K15" s="126" t="s">
        <v>134</v>
      </c>
      <c r="L15" s="127">
        <v>3.59</v>
      </c>
      <c r="M15" s="2">
        <v>3.66</v>
      </c>
      <c r="N15" s="2">
        <v>3.835</v>
      </c>
      <c r="O15" s="2">
        <v>4.0090000000000003</v>
      </c>
    </row>
    <row r="16" spans="1:15" ht="69.75" customHeight="1" x14ac:dyDescent="0.25">
      <c r="A16" s="356"/>
      <c r="B16" s="347"/>
      <c r="C16" s="349"/>
      <c r="D16" s="347"/>
      <c r="E16" s="349"/>
      <c r="F16" s="349"/>
      <c r="G16" s="349"/>
      <c r="H16" s="123" t="s">
        <v>198</v>
      </c>
      <c r="I16" s="73" t="s">
        <v>92</v>
      </c>
      <c r="J16" s="2">
        <v>100</v>
      </c>
      <c r="K16" s="126" t="s">
        <v>134</v>
      </c>
      <c r="L16" s="2">
        <v>103.7</v>
      </c>
      <c r="M16" s="2">
        <v>104</v>
      </c>
      <c r="N16" s="2">
        <v>104.5</v>
      </c>
      <c r="O16" s="2">
        <v>105</v>
      </c>
    </row>
    <row r="17" spans="1:18" ht="70.5" customHeight="1" x14ac:dyDescent="0.25">
      <c r="A17" s="356"/>
      <c r="B17" s="347"/>
      <c r="C17" s="349"/>
      <c r="D17" s="347"/>
      <c r="E17" s="349"/>
      <c r="F17" s="349"/>
      <c r="G17" s="349"/>
      <c r="H17" s="123" t="s">
        <v>199</v>
      </c>
      <c r="I17" s="73" t="s">
        <v>194</v>
      </c>
      <c r="J17" s="128">
        <v>12.801</v>
      </c>
      <c r="K17" s="126" t="s">
        <v>134</v>
      </c>
      <c r="L17" s="127">
        <v>13.276999999999999</v>
      </c>
      <c r="M17" s="2">
        <v>13.31</v>
      </c>
      <c r="N17" s="2">
        <v>13.38</v>
      </c>
      <c r="O17" s="2">
        <v>13.44</v>
      </c>
    </row>
    <row r="18" spans="1:18" ht="69.75" customHeight="1" x14ac:dyDescent="0.25">
      <c r="A18" s="356"/>
      <c r="B18" s="347"/>
      <c r="C18" s="349"/>
      <c r="D18" s="347"/>
      <c r="E18" s="349"/>
      <c r="F18" s="349"/>
      <c r="G18" s="349"/>
      <c r="H18" s="123" t="s">
        <v>200</v>
      </c>
      <c r="I18" s="73" t="s">
        <v>92</v>
      </c>
      <c r="J18" s="2">
        <v>100</v>
      </c>
      <c r="K18" s="126" t="s">
        <v>134</v>
      </c>
      <c r="L18" s="2">
        <v>120.5</v>
      </c>
      <c r="M18" s="2">
        <v>121</v>
      </c>
      <c r="N18" s="2">
        <v>121.5</v>
      </c>
      <c r="O18" s="2">
        <v>122</v>
      </c>
    </row>
    <row r="19" spans="1:18" ht="67.5" customHeight="1" x14ac:dyDescent="0.25">
      <c r="A19" s="356"/>
      <c r="B19" s="347"/>
      <c r="C19" s="349"/>
      <c r="D19" s="347"/>
      <c r="E19" s="349"/>
      <c r="F19" s="349"/>
      <c r="G19" s="349"/>
      <c r="H19" s="123" t="s">
        <v>201</v>
      </c>
      <c r="I19" s="73" t="s">
        <v>194</v>
      </c>
      <c r="J19" s="2">
        <v>7.7</v>
      </c>
      <c r="K19" s="126" t="s">
        <v>134</v>
      </c>
      <c r="L19" s="127">
        <v>9.2799999999999994</v>
      </c>
      <c r="M19" s="2">
        <v>9.32</v>
      </c>
      <c r="N19" s="2">
        <v>9.35</v>
      </c>
      <c r="O19" s="2">
        <v>9.39</v>
      </c>
    </row>
    <row r="20" spans="1:18" ht="54.75" customHeight="1" x14ac:dyDescent="0.25">
      <c r="A20" s="356"/>
      <c r="B20" s="347"/>
      <c r="C20" s="349"/>
      <c r="D20" s="347"/>
      <c r="E20" s="349"/>
      <c r="F20" s="349"/>
      <c r="G20" s="349"/>
      <c r="H20" s="123" t="s">
        <v>202</v>
      </c>
      <c r="I20" s="73" t="s">
        <v>92</v>
      </c>
      <c r="J20" s="2">
        <v>106.6</v>
      </c>
      <c r="K20" s="126" t="s">
        <v>134</v>
      </c>
      <c r="L20" s="126" t="s">
        <v>134</v>
      </c>
      <c r="M20" s="2">
        <v>107</v>
      </c>
      <c r="N20" s="2">
        <v>107.5</v>
      </c>
      <c r="O20" s="2">
        <v>108</v>
      </c>
    </row>
    <row r="21" spans="1:18" ht="53.25" customHeight="1" x14ac:dyDescent="0.25">
      <c r="A21" s="356"/>
      <c r="B21" s="347"/>
      <c r="C21" s="349"/>
      <c r="D21" s="347"/>
      <c r="E21" s="349"/>
      <c r="F21" s="349"/>
      <c r="G21" s="349"/>
      <c r="H21" s="123" t="s">
        <v>203</v>
      </c>
      <c r="I21" s="73" t="s">
        <v>194</v>
      </c>
      <c r="J21" s="128">
        <v>3.1779999999999999</v>
      </c>
      <c r="K21" s="126" t="s">
        <v>134</v>
      </c>
      <c r="L21" s="126" t="s">
        <v>134</v>
      </c>
      <c r="M21" s="2">
        <v>3.4</v>
      </c>
      <c r="N21" s="2">
        <v>3.42</v>
      </c>
      <c r="O21" s="2">
        <v>3.43</v>
      </c>
    </row>
    <row r="22" spans="1:18" ht="84" customHeight="1" x14ac:dyDescent="0.25">
      <c r="A22" s="356"/>
      <c r="B22" s="347"/>
      <c r="C22" s="349"/>
      <c r="D22" s="347"/>
      <c r="E22" s="349"/>
      <c r="F22" s="349"/>
      <c r="G22" s="349"/>
      <c r="H22" s="123" t="s">
        <v>189</v>
      </c>
      <c r="I22" s="1" t="s">
        <v>92</v>
      </c>
      <c r="J22" s="129">
        <v>9.2899999999999991</v>
      </c>
      <c r="K22" s="126" t="s">
        <v>134</v>
      </c>
      <c r="L22" s="126" t="s">
        <v>134</v>
      </c>
      <c r="M22" s="129">
        <v>9.5</v>
      </c>
      <c r="N22" s="129">
        <v>9.6</v>
      </c>
      <c r="O22" s="129">
        <v>9.6999999999999993</v>
      </c>
    </row>
    <row r="23" spans="1:18" ht="117" customHeight="1" x14ac:dyDescent="0.25">
      <c r="A23" s="356"/>
      <c r="B23" s="347"/>
      <c r="C23" s="349"/>
      <c r="D23" s="347"/>
      <c r="E23" s="349"/>
      <c r="F23" s="349"/>
      <c r="G23" s="349"/>
      <c r="H23" s="130" t="s">
        <v>190</v>
      </c>
      <c r="I23" s="131" t="s">
        <v>92</v>
      </c>
      <c r="J23" s="132">
        <v>9.6</v>
      </c>
      <c r="K23" s="126" t="s">
        <v>134</v>
      </c>
      <c r="L23" s="126" t="s">
        <v>134</v>
      </c>
      <c r="M23" s="133">
        <v>9.6999999999999993</v>
      </c>
      <c r="N23" s="134">
        <v>9.8000000000000007</v>
      </c>
      <c r="O23" s="134">
        <v>9.9</v>
      </c>
    </row>
    <row r="24" spans="1:18" ht="154.5" customHeight="1" x14ac:dyDescent="0.25">
      <c r="A24" s="356"/>
      <c r="B24" s="347"/>
      <c r="C24" s="349"/>
      <c r="D24" s="347"/>
      <c r="E24" s="349"/>
      <c r="F24" s="349"/>
      <c r="G24" s="349"/>
      <c r="H24" s="123" t="s">
        <v>191</v>
      </c>
      <c r="I24" s="124" t="s">
        <v>92</v>
      </c>
      <c r="J24" s="135">
        <v>83.2</v>
      </c>
      <c r="K24" s="125">
        <v>83.2</v>
      </c>
      <c r="L24" s="125">
        <v>83.2</v>
      </c>
      <c r="M24" s="125">
        <v>50</v>
      </c>
      <c r="N24" s="125">
        <v>50</v>
      </c>
      <c r="O24" s="125">
        <v>50</v>
      </c>
    </row>
    <row r="25" spans="1:18" ht="340.9" customHeight="1" x14ac:dyDescent="0.25">
      <c r="A25" s="356"/>
      <c r="B25" s="347"/>
      <c r="C25" s="349"/>
      <c r="D25" s="347"/>
      <c r="E25" s="349"/>
      <c r="F25" s="349"/>
      <c r="G25" s="349"/>
      <c r="H25" s="123" t="s">
        <v>192</v>
      </c>
      <c r="I25" s="1" t="s">
        <v>92</v>
      </c>
      <c r="J25" s="2">
        <v>85.7</v>
      </c>
      <c r="K25" s="2">
        <v>90</v>
      </c>
      <c r="L25" s="2">
        <v>100</v>
      </c>
      <c r="M25" s="2">
        <v>100</v>
      </c>
      <c r="N25" s="3">
        <v>100</v>
      </c>
      <c r="O25" s="136">
        <v>100</v>
      </c>
    </row>
    <row r="26" spans="1:18" ht="355.9" customHeight="1" x14ac:dyDescent="0.25">
      <c r="A26" s="356"/>
      <c r="B26" s="347"/>
      <c r="C26" s="349"/>
      <c r="D26" s="347"/>
      <c r="E26" s="349"/>
      <c r="F26" s="349"/>
      <c r="G26" s="349"/>
      <c r="H26" s="123" t="s">
        <v>193</v>
      </c>
      <c r="I26" s="1" t="s">
        <v>92</v>
      </c>
      <c r="J26" s="5" t="s">
        <v>132</v>
      </c>
      <c r="K26" s="2" t="s">
        <v>132</v>
      </c>
      <c r="L26" s="2">
        <v>85</v>
      </c>
      <c r="M26" s="2">
        <v>100</v>
      </c>
      <c r="N26" s="3">
        <v>100</v>
      </c>
      <c r="O26" s="3">
        <v>100</v>
      </c>
    </row>
    <row r="27" spans="1:18" ht="180.6" customHeight="1" x14ac:dyDescent="0.25">
      <c r="A27" s="357"/>
      <c r="B27" s="351"/>
      <c r="C27" s="358"/>
      <c r="D27" s="351"/>
      <c r="E27" s="358"/>
      <c r="F27" s="358"/>
      <c r="G27" s="358"/>
      <c r="H27" s="130" t="s">
        <v>220</v>
      </c>
      <c r="I27" s="131" t="s">
        <v>92</v>
      </c>
      <c r="J27" s="132" t="s">
        <v>141</v>
      </c>
      <c r="K27" s="138" t="s">
        <v>141</v>
      </c>
      <c r="L27" s="132">
        <v>15</v>
      </c>
      <c r="M27" s="132">
        <v>16.5</v>
      </c>
      <c r="N27" s="132">
        <v>17.2</v>
      </c>
      <c r="O27" s="132">
        <v>18.100000000000001</v>
      </c>
    </row>
    <row r="28" spans="1:18" ht="45" customHeight="1" x14ac:dyDescent="0.25">
      <c r="A28" s="342" t="s">
        <v>95</v>
      </c>
      <c r="B28" s="342"/>
      <c r="C28" s="342"/>
      <c r="D28" s="342"/>
      <c r="E28" s="342"/>
      <c r="F28" s="342"/>
      <c r="G28" s="342"/>
      <c r="H28" s="342"/>
      <c r="I28" s="124" t="s">
        <v>92</v>
      </c>
      <c r="J28" s="139">
        <v>18</v>
      </c>
      <c r="K28" s="126">
        <v>19</v>
      </c>
      <c r="L28" s="126">
        <v>20</v>
      </c>
      <c r="M28" s="140">
        <v>25</v>
      </c>
      <c r="N28" s="140">
        <v>25</v>
      </c>
      <c r="O28" s="140">
        <v>25</v>
      </c>
      <c r="R28" s="141"/>
    </row>
    <row r="29" spans="1:18" ht="46.15" customHeight="1" x14ac:dyDescent="0.25">
      <c r="A29" s="350"/>
      <c r="B29" s="346">
        <v>0</v>
      </c>
      <c r="C29" s="352">
        <f>'[1]культура прил. 1 на 17-21'!F39</f>
        <v>1027</v>
      </c>
      <c r="D29" s="352">
        <f>'[1]культура прил. 1 на 17-21'!F40</f>
        <v>9691.5</v>
      </c>
      <c r="E29" s="352">
        <f>'[1]культура прил. 1 на 17-21'!F42</f>
        <v>11530.839999999998</v>
      </c>
      <c r="F29" s="346">
        <f>'[1]культура прил. 1 на 17-21'!F41</f>
        <v>12012</v>
      </c>
      <c r="G29" s="352">
        <v>0</v>
      </c>
      <c r="H29" s="123" t="s">
        <v>96</v>
      </c>
      <c r="I29" s="137" t="s">
        <v>94</v>
      </c>
      <c r="J29" s="126">
        <v>735000</v>
      </c>
      <c r="K29" s="142">
        <v>740000</v>
      </c>
      <c r="L29" s="142">
        <v>745000</v>
      </c>
      <c r="M29" s="142">
        <v>745000</v>
      </c>
      <c r="N29" s="142">
        <v>745000</v>
      </c>
      <c r="O29" s="142">
        <v>745000</v>
      </c>
      <c r="R29" s="141"/>
    </row>
    <row r="30" spans="1:18" ht="114.6" customHeight="1" x14ac:dyDescent="0.25">
      <c r="A30" s="350"/>
      <c r="B30" s="347"/>
      <c r="C30" s="352"/>
      <c r="D30" s="352"/>
      <c r="E30" s="352"/>
      <c r="F30" s="347"/>
      <c r="G30" s="352"/>
      <c r="H30" s="123" t="s">
        <v>97</v>
      </c>
      <c r="I30" s="124" t="s">
        <v>92</v>
      </c>
      <c r="J30" s="140">
        <v>86</v>
      </c>
      <c r="K30" s="126">
        <v>86</v>
      </c>
      <c r="L30" s="126">
        <v>86</v>
      </c>
      <c r="M30" s="127">
        <v>68.25</v>
      </c>
      <c r="N30" s="127" t="s">
        <v>236</v>
      </c>
      <c r="O30" s="127" t="s">
        <v>236</v>
      </c>
    </row>
    <row r="31" spans="1:18" ht="120" customHeight="1" x14ac:dyDescent="0.25">
      <c r="A31" s="350"/>
      <c r="B31" s="347"/>
      <c r="C31" s="352"/>
      <c r="D31" s="352"/>
      <c r="E31" s="352"/>
      <c r="F31" s="347"/>
      <c r="G31" s="352"/>
      <c r="H31" s="123" t="s">
        <v>98</v>
      </c>
      <c r="I31" s="124" t="s">
        <v>92</v>
      </c>
      <c r="J31" s="140">
        <v>50</v>
      </c>
      <c r="K31" s="126">
        <v>100</v>
      </c>
      <c r="L31" s="126">
        <v>100</v>
      </c>
      <c r="M31" s="126">
        <v>100</v>
      </c>
      <c r="N31" s="126">
        <v>100</v>
      </c>
      <c r="O31" s="126">
        <v>100</v>
      </c>
    </row>
    <row r="32" spans="1:18" ht="137.25" customHeight="1" x14ac:dyDescent="0.25">
      <c r="A32" s="350"/>
      <c r="B32" s="351"/>
      <c r="C32" s="352"/>
      <c r="D32" s="352"/>
      <c r="E32" s="352"/>
      <c r="F32" s="351"/>
      <c r="G32" s="352"/>
      <c r="H32" s="130" t="s">
        <v>182</v>
      </c>
      <c r="I32" s="143" t="s">
        <v>92</v>
      </c>
      <c r="J32" s="144" t="s">
        <v>141</v>
      </c>
      <c r="K32" s="145">
        <v>12</v>
      </c>
      <c r="L32" s="145">
        <v>39</v>
      </c>
      <c r="M32" s="145">
        <v>45</v>
      </c>
      <c r="N32" s="145">
        <v>60</v>
      </c>
      <c r="O32" s="145">
        <v>80</v>
      </c>
    </row>
    <row r="33" spans="1:16" ht="47.25" customHeight="1" x14ac:dyDescent="0.25">
      <c r="A33" s="342" t="s">
        <v>99</v>
      </c>
      <c r="B33" s="342"/>
      <c r="C33" s="342"/>
      <c r="D33" s="342"/>
      <c r="E33" s="342"/>
      <c r="F33" s="342"/>
      <c r="G33" s="342"/>
      <c r="H33" s="342"/>
      <c r="I33" s="124" t="s">
        <v>92</v>
      </c>
      <c r="J33" s="140">
        <v>50</v>
      </c>
      <c r="K33" s="126">
        <v>400</v>
      </c>
      <c r="L33" s="126">
        <v>400</v>
      </c>
      <c r="M33" s="126">
        <v>400</v>
      </c>
      <c r="N33" s="126">
        <v>400</v>
      </c>
      <c r="O33" s="126">
        <v>400</v>
      </c>
    </row>
    <row r="34" spans="1:16" ht="65.25" customHeight="1" x14ac:dyDescent="0.25">
      <c r="A34" s="353"/>
      <c r="B34" s="346">
        <f>'[1]культура прил. 1 на 17-21'!F52</f>
        <v>36319.82</v>
      </c>
      <c r="C34" s="346">
        <f>'[1]культура прил. 1 на 17-21'!F53</f>
        <v>1328000.18</v>
      </c>
      <c r="D34" s="346">
        <f>'культура прил. 1 на 17-21'!F54</f>
        <v>141652.64993000001</v>
      </c>
      <c r="E34" s="346" t="s">
        <v>238</v>
      </c>
      <c r="F34" s="346">
        <f>'[1]культура прил. 1 на 17-21'!F57</f>
        <v>48200</v>
      </c>
      <c r="G34" s="348">
        <v>0</v>
      </c>
      <c r="H34" s="123" t="s">
        <v>100</v>
      </c>
      <c r="I34" s="124" t="s">
        <v>101</v>
      </c>
      <c r="J34" s="140">
        <v>2</v>
      </c>
      <c r="K34" s="126">
        <v>2</v>
      </c>
      <c r="L34" s="126">
        <v>0</v>
      </c>
      <c r="M34" s="126">
        <v>0</v>
      </c>
      <c r="N34" s="126">
        <v>0</v>
      </c>
      <c r="O34" s="126">
        <v>0</v>
      </c>
    </row>
    <row r="35" spans="1:16" ht="78.75" customHeight="1" x14ac:dyDescent="0.25">
      <c r="A35" s="354"/>
      <c r="B35" s="347"/>
      <c r="C35" s="347"/>
      <c r="D35" s="347"/>
      <c r="E35" s="347"/>
      <c r="F35" s="347"/>
      <c r="G35" s="349"/>
      <c r="H35" s="123" t="s">
        <v>102</v>
      </c>
      <c r="I35" s="124" t="s">
        <v>101</v>
      </c>
      <c r="J35" s="140">
        <v>1</v>
      </c>
      <c r="K35" s="126">
        <v>1</v>
      </c>
      <c r="L35" s="126" t="s">
        <v>148</v>
      </c>
      <c r="M35" s="126">
        <v>1</v>
      </c>
      <c r="N35" s="126">
        <v>1</v>
      </c>
      <c r="O35" s="126">
        <v>1</v>
      </c>
    </row>
    <row r="36" spans="1:16" ht="98.25" customHeight="1" x14ac:dyDescent="0.25">
      <c r="A36" s="354"/>
      <c r="B36" s="347"/>
      <c r="C36" s="347"/>
      <c r="D36" s="347"/>
      <c r="E36" s="347"/>
      <c r="F36" s="347"/>
      <c r="G36" s="349"/>
      <c r="H36" s="137" t="s">
        <v>117</v>
      </c>
      <c r="I36" s="137" t="s">
        <v>92</v>
      </c>
      <c r="J36" s="4">
        <v>100</v>
      </c>
      <c r="K36" s="129">
        <v>103</v>
      </c>
      <c r="L36" s="2">
        <v>105</v>
      </c>
      <c r="M36" s="2">
        <v>107</v>
      </c>
      <c r="N36" s="2">
        <v>109</v>
      </c>
      <c r="O36" s="2">
        <v>111</v>
      </c>
      <c r="P36" s="146"/>
    </row>
    <row r="37" spans="1:16" ht="159.75" customHeight="1" x14ac:dyDescent="0.25">
      <c r="A37" s="354"/>
      <c r="B37" s="347"/>
      <c r="C37" s="347"/>
      <c r="D37" s="347"/>
      <c r="E37" s="347"/>
      <c r="F37" s="347"/>
      <c r="G37" s="349"/>
      <c r="H37" s="137" t="s">
        <v>137</v>
      </c>
      <c r="I37" s="137" t="s">
        <v>92</v>
      </c>
      <c r="J37" s="4" t="s">
        <v>134</v>
      </c>
      <c r="K37" s="129" t="s">
        <v>134</v>
      </c>
      <c r="L37" s="2">
        <v>59</v>
      </c>
      <c r="M37" s="2">
        <v>64</v>
      </c>
      <c r="N37" s="2">
        <v>70</v>
      </c>
      <c r="O37" s="2" t="s">
        <v>134</v>
      </c>
      <c r="P37" s="146"/>
    </row>
    <row r="38" spans="1:16" ht="52.5" customHeight="1" x14ac:dyDescent="0.25">
      <c r="A38" s="332" t="s">
        <v>103</v>
      </c>
      <c r="B38" s="332"/>
      <c r="C38" s="332"/>
      <c r="D38" s="332"/>
      <c r="E38" s="332"/>
      <c r="F38" s="332"/>
      <c r="G38" s="332"/>
      <c r="H38" s="332"/>
      <c r="I38" s="124" t="s">
        <v>104</v>
      </c>
      <c r="J38" s="140">
        <v>10.49</v>
      </c>
      <c r="K38" s="129">
        <v>10.69</v>
      </c>
      <c r="L38" s="129">
        <v>10.9</v>
      </c>
      <c r="M38" s="129">
        <v>10.9</v>
      </c>
      <c r="N38" s="129">
        <v>10.9</v>
      </c>
      <c r="O38" s="129">
        <v>10.9</v>
      </c>
      <c r="P38" s="146"/>
    </row>
    <row r="39" spans="1:16" ht="90.75" customHeight="1" x14ac:dyDescent="0.25">
      <c r="A39" s="147"/>
      <c r="B39" s="180">
        <v>0</v>
      </c>
      <c r="C39" s="180">
        <v>0</v>
      </c>
      <c r="D39" s="180">
        <f>'[1]культура прил. 1 на 17-21'!F74</f>
        <v>7100</v>
      </c>
      <c r="E39" s="181">
        <v>0</v>
      </c>
      <c r="F39" s="181">
        <v>0</v>
      </c>
      <c r="G39" s="180">
        <v>0</v>
      </c>
      <c r="H39" s="123" t="s">
        <v>105</v>
      </c>
      <c r="I39" s="124" t="s">
        <v>104</v>
      </c>
      <c r="J39" s="140">
        <v>40.1</v>
      </c>
      <c r="K39" s="140">
        <v>40.9</v>
      </c>
      <c r="L39" s="140">
        <v>41.7</v>
      </c>
      <c r="M39" s="140">
        <v>41.7</v>
      </c>
      <c r="N39" s="140">
        <v>41.7</v>
      </c>
      <c r="O39" s="140">
        <v>41.7</v>
      </c>
    </row>
    <row r="40" spans="1:16" ht="66" customHeight="1" x14ac:dyDescent="0.25">
      <c r="A40" s="338" t="s">
        <v>106</v>
      </c>
      <c r="B40" s="339"/>
      <c r="C40" s="339"/>
      <c r="D40" s="339"/>
      <c r="E40" s="339"/>
      <c r="F40" s="339"/>
      <c r="G40" s="339"/>
      <c r="H40" s="340"/>
      <c r="I40" s="148" t="s">
        <v>92</v>
      </c>
      <c r="J40" s="148">
        <v>100</v>
      </c>
      <c r="K40" s="148">
        <v>100</v>
      </c>
      <c r="L40" s="148">
        <v>100</v>
      </c>
      <c r="M40" s="148">
        <v>100</v>
      </c>
      <c r="N40" s="148">
        <v>100</v>
      </c>
      <c r="O40" s="148">
        <v>100</v>
      </c>
    </row>
    <row r="41" spans="1:16" ht="201.75" customHeight="1" x14ac:dyDescent="0.25">
      <c r="A41" s="343"/>
      <c r="B41" s="335">
        <v>0</v>
      </c>
      <c r="C41" s="335">
        <f>'культура прил. 1 на 17-21'!F80</f>
        <v>568</v>
      </c>
      <c r="D41" s="335">
        <f>'культура прил. 1 на 17-21'!F82</f>
        <v>21795.024999999998</v>
      </c>
      <c r="E41" s="335">
        <f>'культура прил. 1 на 17-21'!F84</f>
        <v>675.84500000000003</v>
      </c>
      <c r="F41" s="335">
        <v>0</v>
      </c>
      <c r="G41" s="335">
        <f>'культура прил. 1 на 17-21'!F86</f>
        <v>38328.107000000004</v>
      </c>
      <c r="H41" s="161" t="s">
        <v>107</v>
      </c>
      <c r="I41" s="162" t="s">
        <v>92</v>
      </c>
      <c r="J41" s="163">
        <v>0</v>
      </c>
      <c r="K41" s="164">
        <v>0</v>
      </c>
      <c r="L41" s="164">
        <v>0</v>
      </c>
      <c r="M41" s="164">
        <v>5</v>
      </c>
      <c r="N41" s="164">
        <v>5</v>
      </c>
      <c r="O41" s="164">
        <v>5</v>
      </c>
      <c r="P41" s="160"/>
    </row>
    <row r="42" spans="1:16" ht="121.9" customHeight="1" x14ac:dyDescent="0.25">
      <c r="A42" s="344"/>
      <c r="B42" s="345"/>
      <c r="C42" s="345"/>
      <c r="D42" s="345"/>
      <c r="E42" s="345"/>
      <c r="F42" s="345"/>
      <c r="G42" s="345"/>
      <c r="H42" s="149" t="s">
        <v>108</v>
      </c>
      <c r="I42" s="137" t="s">
        <v>92</v>
      </c>
      <c r="J42" s="140">
        <v>30</v>
      </c>
      <c r="K42" s="129">
        <v>30</v>
      </c>
      <c r="L42" s="129">
        <v>30</v>
      </c>
      <c r="M42" s="129">
        <v>30</v>
      </c>
      <c r="N42" s="129">
        <v>30</v>
      </c>
      <c r="O42" s="129">
        <v>30</v>
      </c>
    </row>
    <row r="43" spans="1:16" ht="245.25" customHeight="1" x14ac:dyDescent="0.25">
      <c r="A43" s="344"/>
      <c r="B43" s="345"/>
      <c r="C43" s="345"/>
      <c r="D43" s="345"/>
      <c r="E43" s="345"/>
      <c r="F43" s="345"/>
      <c r="G43" s="345"/>
      <c r="H43" s="123" t="s">
        <v>109</v>
      </c>
      <c r="I43" s="137" t="s">
        <v>92</v>
      </c>
      <c r="J43" s="140">
        <v>0</v>
      </c>
      <c r="K43" s="129">
        <v>0</v>
      </c>
      <c r="L43" s="129">
        <v>0</v>
      </c>
      <c r="M43" s="129">
        <v>0</v>
      </c>
      <c r="N43" s="129">
        <v>0</v>
      </c>
      <c r="O43" s="129">
        <v>0</v>
      </c>
    </row>
    <row r="44" spans="1:16" ht="330" customHeight="1" x14ac:dyDescent="0.25">
      <c r="A44" s="344"/>
      <c r="B44" s="345"/>
      <c r="C44" s="345"/>
      <c r="D44" s="345"/>
      <c r="E44" s="345"/>
      <c r="F44" s="345"/>
      <c r="G44" s="345"/>
      <c r="H44" s="123" t="s">
        <v>221</v>
      </c>
      <c r="I44" s="137" t="s">
        <v>92</v>
      </c>
      <c r="J44" s="150" t="s">
        <v>134</v>
      </c>
      <c r="K44" s="151" t="s">
        <v>134</v>
      </c>
      <c r="L44" s="151">
        <v>100</v>
      </c>
      <c r="M44" s="151" t="s">
        <v>134</v>
      </c>
      <c r="N44" s="151" t="s">
        <v>134</v>
      </c>
      <c r="O44" s="151" t="s">
        <v>134</v>
      </c>
    </row>
    <row r="45" spans="1:16" ht="159" customHeight="1" x14ac:dyDescent="0.25">
      <c r="A45" s="344"/>
      <c r="B45" s="345"/>
      <c r="C45" s="345"/>
      <c r="D45" s="345"/>
      <c r="E45" s="345"/>
      <c r="F45" s="345"/>
      <c r="G45" s="345"/>
      <c r="H45" s="149" t="s">
        <v>223</v>
      </c>
      <c r="I45" s="137" t="s">
        <v>101</v>
      </c>
      <c r="J45" s="157">
        <v>0</v>
      </c>
      <c r="K45" s="129">
        <v>0</v>
      </c>
      <c r="L45" s="129">
        <v>0</v>
      </c>
      <c r="M45" s="129">
        <v>2</v>
      </c>
      <c r="N45" s="129">
        <v>0</v>
      </c>
      <c r="O45" s="129">
        <v>0</v>
      </c>
    </row>
    <row r="46" spans="1:16" ht="125.25" customHeight="1" x14ac:dyDescent="0.25">
      <c r="A46" s="344"/>
      <c r="B46" s="345"/>
      <c r="C46" s="345"/>
      <c r="D46" s="345"/>
      <c r="E46" s="345"/>
      <c r="F46" s="345"/>
      <c r="G46" s="345"/>
      <c r="H46" s="123" t="s">
        <v>222</v>
      </c>
      <c r="I46" s="137" t="s">
        <v>101</v>
      </c>
      <c r="J46" s="127" t="s">
        <v>134</v>
      </c>
      <c r="K46" s="165" t="s">
        <v>134</v>
      </c>
      <c r="L46" s="129" t="s">
        <v>134</v>
      </c>
      <c r="M46" s="129" t="s">
        <v>134</v>
      </c>
      <c r="N46" s="129" t="s">
        <v>134</v>
      </c>
      <c r="O46" s="129" t="s">
        <v>134</v>
      </c>
    </row>
    <row r="47" spans="1:16" ht="39.75" customHeight="1" x14ac:dyDescent="0.25">
      <c r="A47" s="332" t="s">
        <v>114</v>
      </c>
      <c r="B47" s="332"/>
      <c r="C47" s="332"/>
      <c r="D47" s="332"/>
      <c r="E47" s="332"/>
      <c r="F47" s="332"/>
      <c r="G47" s="332"/>
      <c r="H47" s="332"/>
      <c r="I47" s="140" t="s">
        <v>92</v>
      </c>
      <c r="J47" s="140">
        <v>11.1</v>
      </c>
      <c r="K47" s="140">
        <v>22.2</v>
      </c>
      <c r="L47" s="140">
        <v>22.2</v>
      </c>
      <c r="M47" s="140">
        <v>22.2</v>
      </c>
      <c r="N47" s="140">
        <v>22.2</v>
      </c>
      <c r="O47" s="140">
        <v>22.2</v>
      </c>
    </row>
    <row r="48" spans="1:16" ht="211.5" customHeight="1" x14ac:dyDescent="0.25">
      <c r="A48" s="333"/>
      <c r="B48" s="335">
        <f>'[1]культура прил. 1 на 17-21'!F98</f>
        <v>310.49</v>
      </c>
      <c r="C48" s="337">
        <f>'[1]культура прил. 1 на 17-21'!F99</f>
        <v>604.41</v>
      </c>
      <c r="D48" s="337">
        <f>'[1]культура прил. 1 на 17-21'!F100</f>
        <v>13004.6</v>
      </c>
      <c r="E48" s="337">
        <f>'[1]культура прил. 1 на 17-21'!F102</f>
        <v>150</v>
      </c>
      <c r="F48" s="335">
        <v>0</v>
      </c>
      <c r="G48" s="337">
        <v>0</v>
      </c>
      <c r="H48" s="123" t="s">
        <v>110</v>
      </c>
      <c r="I48" s="137" t="s">
        <v>92</v>
      </c>
      <c r="J48" s="140">
        <v>11.1</v>
      </c>
      <c r="K48" s="140">
        <v>22.2</v>
      </c>
      <c r="L48" s="140">
        <v>22.2</v>
      </c>
      <c r="M48" s="140">
        <v>22.2</v>
      </c>
      <c r="N48" s="140">
        <v>22.2</v>
      </c>
      <c r="O48" s="140">
        <v>22.2</v>
      </c>
    </row>
    <row r="49" spans="1:16" ht="139.5" customHeight="1" x14ac:dyDescent="0.25">
      <c r="A49" s="334"/>
      <c r="B49" s="336"/>
      <c r="C49" s="337"/>
      <c r="D49" s="337"/>
      <c r="E49" s="337"/>
      <c r="F49" s="336"/>
      <c r="G49" s="337"/>
      <c r="H49" s="123" t="s">
        <v>183</v>
      </c>
      <c r="I49" s="124" t="s">
        <v>101</v>
      </c>
      <c r="J49" s="140">
        <v>2</v>
      </c>
      <c r="K49" s="140">
        <v>3</v>
      </c>
      <c r="L49" s="140">
        <v>3</v>
      </c>
      <c r="M49" s="140">
        <v>3</v>
      </c>
      <c r="N49" s="140">
        <v>3</v>
      </c>
      <c r="O49" s="140">
        <v>3</v>
      </c>
    </row>
    <row r="50" spans="1:16" ht="36.75" customHeight="1" x14ac:dyDescent="0.25">
      <c r="A50" s="341" t="s">
        <v>142</v>
      </c>
      <c r="B50" s="341"/>
      <c r="C50" s="341"/>
      <c r="D50" s="341"/>
      <c r="E50" s="341"/>
      <c r="F50" s="341"/>
      <c r="G50" s="341"/>
      <c r="H50" s="341"/>
      <c r="I50" s="140" t="s">
        <v>111</v>
      </c>
      <c r="J50" s="140" t="s">
        <v>112</v>
      </c>
      <c r="K50" s="140" t="s">
        <v>112</v>
      </c>
      <c r="L50" s="140" t="s">
        <v>112</v>
      </c>
      <c r="M50" s="140" t="s">
        <v>112</v>
      </c>
      <c r="N50" s="140" t="s">
        <v>112</v>
      </c>
      <c r="O50" s="140" t="s">
        <v>112</v>
      </c>
      <c r="P50" s="152"/>
    </row>
    <row r="51" spans="1:16" ht="27.75" customHeight="1" x14ac:dyDescent="0.25">
      <c r="A51" s="140"/>
      <c r="B51" s="179">
        <v>0</v>
      </c>
      <c r="C51" s="179">
        <v>0</v>
      </c>
      <c r="D51" s="179">
        <f>'культура прил. 1 на 17-21'!F115</f>
        <v>101119.477</v>
      </c>
      <c r="E51" s="179">
        <v>0</v>
      </c>
      <c r="F51" s="179">
        <v>0</v>
      </c>
      <c r="G51" s="179">
        <v>0</v>
      </c>
      <c r="H51" s="140" t="s">
        <v>111</v>
      </c>
      <c r="I51" s="140" t="s">
        <v>111</v>
      </c>
      <c r="J51" s="140" t="s">
        <v>111</v>
      </c>
      <c r="K51" s="140" t="s">
        <v>111</v>
      </c>
      <c r="L51" s="140" t="s">
        <v>111</v>
      </c>
      <c r="M51" s="140" t="s">
        <v>111</v>
      </c>
      <c r="N51" s="140" t="s">
        <v>111</v>
      </c>
      <c r="O51" s="140" t="s">
        <v>111</v>
      </c>
      <c r="P51" s="152"/>
    </row>
    <row r="52" spans="1:16" ht="25.5" customHeight="1" thickBot="1" x14ac:dyDescent="0.3">
      <c r="A52" s="153"/>
      <c r="B52" s="182">
        <f t="shared" ref="B52:G52" si="0">B8+B29+B34+B39+B41+B48+B51</f>
        <v>36630.31</v>
      </c>
      <c r="C52" s="182">
        <f t="shared" si="0"/>
        <v>1337883.5899999999</v>
      </c>
      <c r="D52" s="182">
        <f t="shared" si="0"/>
        <v>2639615.2739299992</v>
      </c>
      <c r="E52" s="182">
        <f t="shared" si="0"/>
        <v>397153.24533000001</v>
      </c>
      <c r="F52" s="182">
        <f t="shared" si="0"/>
        <v>60212</v>
      </c>
      <c r="G52" s="182">
        <f t="shared" si="0"/>
        <v>251629.46899999998</v>
      </c>
      <c r="H52" s="327"/>
      <c r="I52" s="327"/>
      <c r="J52" s="327"/>
      <c r="K52" s="327"/>
      <c r="L52" s="327"/>
      <c r="M52" s="327"/>
      <c r="N52" s="327"/>
      <c r="O52" s="327"/>
    </row>
    <row r="53" spans="1:16" ht="75" customHeight="1" thickBot="1" x14ac:dyDescent="0.3">
      <c r="A53" s="328" t="s">
        <v>167</v>
      </c>
      <c r="B53" s="328"/>
      <c r="C53" s="328"/>
      <c r="D53" s="328"/>
      <c r="E53" s="328"/>
      <c r="F53" s="328"/>
      <c r="G53" s="328"/>
      <c r="H53" s="328"/>
      <c r="I53" s="328"/>
      <c r="J53" s="328"/>
      <c r="K53" s="328"/>
      <c r="L53" s="328"/>
      <c r="M53" s="328"/>
      <c r="N53" s="328"/>
      <c r="O53" s="328"/>
    </row>
    <row r="54" spans="1:16" ht="22.5" customHeight="1" x14ac:dyDescent="0.3">
      <c r="A54" s="154"/>
      <c r="B54" s="329" t="s">
        <v>136</v>
      </c>
      <c r="C54" s="329"/>
      <c r="D54" s="329"/>
      <c r="E54" s="329"/>
      <c r="F54" s="329"/>
      <c r="G54" s="329"/>
      <c r="H54" s="329"/>
      <c r="I54" s="329"/>
      <c r="J54" s="329"/>
      <c r="K54" s="329"/>
      <c r="L54" s="329"/>
      <c r="M54" s="329"/>
    </row>
  </sheetData>
  <mergeCells count="54">
    <mergeCell ref="L1:O1"/>
    <mergeCell ref="L2:O2"/>
    <mergeCell ref="D3:M3"/>
    <mergeCell ref="A4:A5"/>
    <mergeCell ref="H4:H5"/>
    <mergeCell ref="I4:I5"/>
    <mergeCell ref="J4:J5"/>
    <mergeCell ref="K4:O4"/>
    <mergeCell ref="A7:H7"/>
    <mergeCell ref="A8:A27"/>
    <mergeCell ref="B8:B27"/>
    <mergeCell ref="C8:C27"/>
    <mergeCell ref="D8:D27"/>
    <mergeCell ref="E8:E27"/>
    <mergeCell ref="F8:F27"/>
    <mergeCell ref="G8:G27"/>
    <mergeCell ref="F34:F37"/>
    <mergeCell ref="G34:G37"/>
    <mergeCell ref="A28:H28"/>
    <mergeCell ref="A29:A32"/>
    <mergeCell ref="B29:B32"/>
    <mergeCell ref="C29:C32"/>
    <mergeCell ref="D29:D32"/>
    <mergeCell ref="E29:E32"/>
    <mergeCell ref="F29:F32"/>
    <mergeCell ref="G29:G32"/>
    <mergeCell ref="A34:A37"/>
    <mergeCell ref="B34:B37"/>
    <mergeCell ref="C34:C37"/>
    <mergeCell ref="D34:D37"/>
    <mergeCell ref="E34:E37"/>
    <mergeCell ref="A41:A46"/>
    <mergeCell ref="B41:B46"/>
    <mergeCell ref="C41:C46"/>
    <mergeCell ref="D41:D46"/>
    <mergeCell ref="E41:E46"/>
    <mergeCell ref="F41:F46"/>
    <mergeCell ref="G41:G46"/>
    <mergeCell ref="H52:O52"/>
    <mergeCell ref="A53:O53"/>
    <mergeCell ref="B54:M54"/>
    <mergeCell ref="B4:G4"/>
    <mergeCell ref="A47:H47"/>
    <mergeCell ref="A48:A49"/>
    <mergeCell ref="B48:B49"/>
    <mergeCell ref="C48:C49"/>
    <mergeCell ref="D48:D49"/>
    <mergeCell ref="E48:E49"/>
    <mergeCell ref="F48:F49"/>
    <mergeCell ref="G48:G49"/>
    <mergeCell ref="A38:H38"/>
    <mergeCell ref="A40:H40"/>
    <mergeCell ref="A50:H50"/>
    <mergeCell ref="A33:H33"/>
  </mergeCells>
  <printOptions horizontalCentered="1" verticalCentered="1"/>
  <pageMargins left="0.70866141732283472" right="0.70866141732283472" top="0.74803149606299213" bottom="0.74803149606299213" header="0.31496062992125984" footer="0.31496062992125984"/>
  <pageSetup paperSize="9" scale="55" fitToHeight="3" orientation="landscape" r:id="rId1"/>
  <rowBreaks count="5" manualBreakCount="5">
    <brk id="21" max="14" man="1"/>
    <brk id="27" max="14" man="1"/>
    <brk id="41" max="14" man="1"/>
    <brk id="44" max="14" man="1"/>
    <brk id="4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культура прил. 1 на 17-21</vt:lpstr>
      <vt:lpstr>культура прил. №2 17-21 </vt:lpstr>
      <vt:lpstr>'культура прил. 1 на 17-21'!Заголовки_для_печати</vt:lpstr>
      <vt:lpstr>'культура прил. №2 17-21 '!Заголовки_для_печати</vt:lpstr>
      <vt:lpstr>'культура прил. 1 на 17-21'!Область_печати</vt:lpstr>
      <vt:lpstr>'культура прил. №2 17-21 '!Область_печати</vt:lpstr>
    </vt:vector>
  </TitlesOfParts>
  <Company>KDMKS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yakovleva</dc:creator>
  <cp:lastModifiedBy>Зиминова Анна Юрьевна</cp:lastModifiedBy>
  <cp:lastPrinted>2019-06-07T08:50:13Z</cp:lastPrinted>
  <dcterms:created xsi:type="dcterms:W3CDTF">2015-10-13T12:39:24Z</dcterms:created>
  <dcterms:modified xsi:type="dcterms:W3CDTF">2019-07-17T11:06:55Z</dcterms:modified>
</cp:coreProperties>
</file>