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20" windowWidth="23250" windowHeight="11715" activeTab="1"/>
  </bookViews>
  <sheets>
    <sheet name="прил.1 на 2019 год" sheetId="1" r:id="rId1"/>
    <sheet name="прил 2" sheetId="4" r:id="rId2"/>
  </sheets>
  <definedNames>
    <definedName name="_xlnm.Print_Titles" localSheetId="1">'прил 2'!$3:$5</definedName>
    <definedName name="_xlnm.Print_Titles" localSheetId="0">'прил.1 на 2019 год'!$4:$6</definedName>
    <definedName name="_xlnm.Print_Area" localSheetId="0">'прил.1 на 2019 год'!$A$1:$M$93</definedName>
  </definedNames>
  <calcPr calcId="145621"/>
</workbook>
</file>

<file path=xl/calcChain.xml><?xml version="1.0" encoding="utf-8"?>
<calcChain xmlns="http://schemas.openxmlformats.org/spreadsheetml/2006/main">
  <c r="I76" i="1" l="1"/>
  <c r="I14" i="1"/>
  <c r="I60" i="1" l="1"/>
  <c r="I63" i="1"/>
  <c r="I70" i="1" l="1"/>
  <c r="I26" i="1" l="1"/>
  <c r="I17" i="1"/>
  <c r="I78" i="1"/>
  <c r="I49" i="1" l="1"/>
  <c r="I34" i="1"/>
  <c r="I48" i="1" l="1"/>
  <c r="I44" i="1"/>
  <c r="I22" i="1"/>
  <c r="I11" i="1" l="1"/>
  <c r="I15" i="1"/>
  <c r="F18" i="1"/>
  <c r="I32" i="1" l="1"/>
  <c r="H39" i="1"/>
  <c r="H53" i="1" l="1"/>
  <c r="I53" i="1"/>
  <c r="J53" i="1"/>
  <c r="K53" i="1"/>
  <c r="G53" i="1"/>
  <c r="F53" i="1" l="1"/>
  <c r="I31" i="1"/>
  <c r="J32" i="1"/>
  <c r="K32" i="1"/>
  <c r="H32" i="1"/>
  <c r="F56" i="1"/>
  <c r="I54" i="1" l="1"/>
  <c r="F54" i="1" s="1"/>
  <c r="F55" i="1"/>
  <c r="K11" i="1" l="1"/>
  <c r="J11" i="1"/>
  <c r="H11" i="1"/>
  <c r="G11" i="1"/>
  <c r="F11" i="1" l="1"/>
  <c r="H59" i="1"/>
  <c r="I59" i="1"/>
  <c r="J59" i="1"/>
  <c r="K59" i="1"/>
  <c r="G59" i="1"/>
  <c r="J29" i="1"/>
  <c r="K29" i="1"/>
  <c r="G29" i="1"/>
  <c r="F59" i="1" l="1"/>
  <c r="F15" i="1"/>
  <c r="H14" i="1"/>
  <c r="F61" i="1"/>
  <c r="I39" i="1" l="1"/>
  <c r="I28" i="1" s="1"/>
  <c r="F14" i="1"/>
  <c r="G83" i="1"/>
  <c r="K31" i="1"/>
  <c r="K84" i="1" s="1"/>
  <c r="J83" i="1"/>
  <c r="K83" i="1"/>
  <c r="I41" i="1"/>
  <c r="I84" i="1" s="1"/>
  <c r="I83" i="1"/>
  <c r="J41" i="1"/>
  <c r="J31" i="1" s="1"/>
  <c r="J84" i="1" s="1"/>
  <c r="H41" i="1"/>
  <c r="H83" i="1"/>
  <c r="F83" i="1" l="1"/>
  <c r="F32" i="1"/>
  <c r="F26" i="4" s="1"/>
  <c r="F41" i="4" s="1"/>
  <c r="I23" i="1"/>
  <c r="I12" i="1" s="1"/>
  <c r="I82" i="1" s="1"/>
  <c r="F26" i="1"/>
  <c r="H51" i="1" l="1"/>
  <c r="H34" i="1"/>
  <c r="H28" i="1" l="1"/>
  <c r="I68" i="1"/>
  <c r="K34" i="1" l="1"/>
  <c r="J34" i="1"/>
  <c r="H60" i="1" l="1"/>
  <c r="H76" i="1"/>
  <c r="H82" i="1" l="1"/>
  <c r="G82" i="1"/>
  <c r="G12" i="1"/>
  <c r="H12" i="1"/>
  <c r="J12" i="1"/>
  <c r="J82" i="1" s="1"/>
  <c r="K12" i="1"/>
  <c r="K82" i="1" s="1"/>
  <c r="F23" i="1"/>
  <c r="F82" i="1" l="1"/>
  <c r="F12" i="1"/>
  <c r="D7" i="4" s="1"/>
  <c r="D41" i="4" s="1"/>
  <c r="H40" i="1"/>
  <c r="H29" i="1" l="1"/>
  <c r="I40" i="1"/>
  <c r="I29" i="1" s="1"/>
  <c r="I81" i="1" s="1"/>
  <c r="F81" i="1"/>
  <c r="F49" i="1"/>
  <c r="F29" i="1" l="1"/>
  <c r="I10" i="1"/>
  <c r="I67" i="1" l="1"/>
  <c r="F70" i="1" l="1"/>
  <c r="E8" i="1" l="1"/>
  <c r="E84" i="1" s="1"/>
  <c r="I66" i="1" l="1"/>
  <c r="J62" i="1"/>
  <c r="J58" i="1" s="1"/>
  <c r="K62" i="1"/>
  <c r="I43" i="1"/>
  <c r="J43" i="1"/>
  <c r="K43" i="1"/>
  <c r="F16" i="1" l="1"/>
  <c r="F40" i="1" l="1"/>
  <c r="H64" i="1" l="1"/>
  <c r="H52" i="1"/>
  <c r="H17" i="1" l="1"/>
  <c r="H13" i="1"/>
  <c r="I13" i="1"/>
  <c r="I7" i="1" s="1"/>
  <c r="J13" i="1"/>
  <c r="K13" i="1"/>
  <c r="F44" i="1"/>
  <c r="H50" i="1"/>
  <c r="H42" i="1" s="1"/>
  <c r="F41" i="1"/>
  <c r="F46" i="1"/>
  <c r="H31" i="1" l="1"/>
  <c r="F31" i="1" s="1"/>
  <c r="H10" i="1"/>
  <c r="H63" i="1"/>
  <c r="E26" i="4" l="1"/>
  <c r="H7" i="1"/>
  <c r="H84" i="1"/>
  <c r="F84" i="1" s="1"/>
  <c r="F45" i="1"/>
  <c r="F48" i="1" l="1"/>
  <c r="F50" i="1"/>
  <c r="E41" i="4" l="1"/>
  <c r="F52" i="1" l="1"/>
  <c r="F51" i="1"/>
  <c r="G13" i="1" l="1"/>
  <c r="F13" i="1" s="1"/>
  <c r="F47" i="1" l="1"/>
  <c r="H65" i="1" l="1"/>
  <c r="F24" i="1"/>
  <c r="F22" i="1"/>
  <c r="F21" i="1"/>
  <c r="F19" i="1"/>
  <c r="F17" i="1"/>
  <c r="G7" i="4"/>
  <c r="F8" i="1"/>
  <c r="H35" i="1" l="1"/>
  <c r="G35" i="1" l="1"/>
  <c r="E58" i="1" l="1"/>
  <c r="F65" i="1"/>
  <c r="G39" i="1" l="1"/>
  <c r="J39" i="1" l="1"/>
  <c r="J28" i="1" s="1"/>
  <c r="K39" i="1"/>
  <c r="E39" i="1"/>
  <c r="E28" i="1" s="1"/>
  <c r="I42" i="1"/>
  <c r="I38" i="1" s="1"/>
  <c r="J42" i="1"/>
  <c r="J30" i="1" s="1"/>
  <c r="J85" i="1" s="1"/>
  <c r="K42" i="1"/>
  <c r="K30" i="1" s="1"/>
  <c r="K85" i="1" s="1"/>
  <c r="G42" i="1"/>
  <c r="E42" i="1"/>
  <c r="H43" i="1"/>
  <c r="H38" i="1" s="1"/>
  <c r="G43" i="1"/>
  <c r="E43" i="1"/>
  <c r="I30" i="1" l="1"/>
  <c r="F39" i="1"/>
  <c r="F42" i="1"/>
  <c r="H30" i="1"/>
  <c r="G38" i="1"/>
  <c r="E38" i="1"/>
  <c r="J38" i="1"/>
  <c r="K38" i="1"/>
  <c r="K28" i="1"/>
  <c r="F78" i="1"/>
  <c r="F77" i="1"/>
  <c r="F76" i="1"/>
  <c r="K75" i="1"/>
  <c r="J75" i="1"/>
  <c r="I75" i="1"/>
  <c r="I74" i="1" s="1"/>
  <c r="H75" i="1"/>
  <c r="H74" i="1" s="1"/>
  <c r="G75" i="1"/>
  <c r="G74" i="1" s="1"/>
  <c r="E75" i="1"/>
  <c r="E74" i="1" s="1"/>
  <c r="H85" i="1" l="1"/>
  <c r="I85" i="1"/>
  <c r="F38" i="1"/>
  <c r="F30" i="1"/>
  <c r="G26" i="4" s="1"/>
  <c r="G41" i="4" s="1"/>
  <c r="J74" i="1"/>
  <c r="F75" i="1"/>
  <c r="C40" i="4" s="1"/>
  <c r="K74" i="1"/>
  <c r="F85" i="1" l="1"/>
  <c r="F74" i="1"/>
  <c r="F35" i="1"/>
  <c r="G36" i="1"/>
  <c r="F36" i="1" s="1"/>
  <c r="G33" i="1"/>
  <c r="H33" i="1"/>
  <c r="H27" i="1" s="1"/>
  <c r="I33" i="1"/>
  <c r="I27" i="1" s="1"/>
  <c r="J33" i="1"/>
  <c r="G28" i="1" l="1"/>
  <c r="F28" i="1" s="1"/>
  <c r="C26" i="4" s="1"/>
  <c r="J27" i="1"/>
  <c r="F43" i="1"/>
  <c r="F34" i="1"/>
  <c r="E86" i="1"/>
  <c r="G27" i="1" l="1"/>
  <c r="E30" i="1"/>
  <c r="E9" i="1"/>
  <c r="E85" i="1" l="1"/>
  <c r="G67" i="1" l="1"/>
  <c r="H67" i="1"/>
  <c r="G62" i="1"/>
  <c r="G58" i="1" s="1"/>
  <c r="H62" i="1"/>
  <c r="H58" i="1" s="1"/>
  <c r="I62" i="1"/>
  <c r="I58" i="1" s="1"/>
  <c r="K58" i="1"/>
  <c r="I80" i="1" l="1"/>
  <c r="F80" i="1" s="1"/>
  <c r="I57" i="1"/>
  <c r="E68" i="1"/>
  <c r="E67" i="1" s="1"/>
  <c r="E10" i="1"/>
  <c r="G10" i="1"/>
  <c r="G7" i="1" l="1"/>
  <c r="E7" i="1"/>
  <c r="G72" i="1"/>
  <c r="G71" i="1" s="1"/>
  <c r="H72" i="1"/>
  <c r="H80" i="1" s="1"/>
  <c r="I72" i="1"/>
  <c r="I71" i="1" s="1"/>
  <c r="J72" i="1"/>
  <c r="K72" i="1"/>
  <c r="K71" i="1" s="1"/>
  <c r="E72" i="1"/>
  <c r="E71" i="1" s="1"/>
  <c r="F73" i="1"/>
  <c r="J71" i="1"/>
  <c r="H66" i="1"/>
  <c r="G66" i="1"/>
  <c r="E66" i="1"/>
  <c r="E33" i="1"/>
  <c r="E87" i="1" l="1"/>
  <c r="E27" i="1"/>
  <c r="E80" i="1"/>
  <c r="F72" i="1"/>
  <c r="F71" i="1" s="1"/>
  <c r="H71" i="1"/>
  <c r="G80" i="1"/>
  <c r="G87" i="1"/>
  <c r="H87" i="1" l="1"/>
  <c r="H79" i="1" s="1"/>
  <c r="F64" i="1" l="1"/>
  <c r="K10" i="1" l="1"/>
  <c r="K7" i="1" s="1"/>
  <c r="J10" i="1"/>
  <c r="J7" i="1" l="1"/>
  <c r="F7" i="1" s="1"/>
  <c r="F10" i="1"/>
  <c r="C7" i="4" s="1"/>
  <c r="J67" i="1"/>
  <c r="J80" i="1" s="1"/>
  <c r="K67" i="1" l="1"/>
  <c r="F68" i="1"/>
  <c r="K66" i="1" l="1"/>
  <c r="K80" i="1"/>
  <c r="J66" i="1"/>
  <c r="F67" i="1"/>
  <c r="C35" i="4" s="1"/>
  <c r="J87" i="1"/>
  <c r="J79" i="1" s="1"/>
  <c r="K33" i="1"/>
  <c r="I87" i="1"/>
  <c r="I79" i="1" s="1"/>
  <c r="K87" i="1" l="1"/>
  <c r="F87" i="1" s="1"/>
  <c r="F79" i="1" s="1"/>
  <c r="F33" i="1"/>
  <c r="F66" i="1"/>
  <c r="K79" i="1" l="1"/>
  <c r="H26" i="4"/>
  <c r="H41" i="4" s="1"/>
  <c r="F63" i="1"/>
  <c r="K57" i="1" l="1"/>
  <c r="J57" i="1"/>
  <c r="E57" i="1"/>
  <c r="F62" i="1"/>
  <c r="F60" i="1"/>
  <c r="H57" i="1" l="1"/>
  <c r="E79" i="1"/>
  <c r="F58" i="1"/>
  <c r="C31" i="4" s="1"/>
  <c r="C41" i="4" s="1"/>
  <c r="K27" i="1"/>
  <c r="F27" i="1" s="1"/>
  <c r="G57" i="1" l="1"/>
  <c r="F57" i="1" s="1"/>
  <c r="G79" i="1" l="1"/>
</calcChain>
</file>

<file path=xl/sharedStrings.xml><?xml version="1.0" encoding="utf-8"?>
<sst xmlns="http://schemas.openxmlformats.org/spreadsheetml/2006/main" count="378" uniqueCount="181">
  <si>
    <t>Приложение №1 к муниципальной программе</t>
  </si>
  <si>
    <t>№ п.п</t>
  </si>
  <si>
    <t>Источники финансирования</t>
  </si>
  <si>
    <t>Ответственный за выполнение мероприятия</t>
  </si>
  <si>
    <t>1.</t>
  </si>
  <si>
    <t>ИТОГО</t>
  </si>
  <si>
    <t>1.1.</t>
  </si>
  <si>
    <t>1.2.</t>
  </si>
  <si>
    <t>1.3.</t>
  </si>
  <si>
    <t>Организация пропаганды физической культуры и занятий спортом.</t>
  </si>
  <si>
    <t>1.4.</t>
  </si>
  <si>
    <t>2.</t>
  </si>
  <si>
    <t>ИТОГО:</t>
  </si>
  <si>
    <t>2.1.</t>
  </si>
  <si>
    <t>2.2.</t>
  </si>
  <si>
    <t>2.3.</t>
  </si>
  <si>
    <t>ИТОГО:</t>
  </si>
  <si>
    <t>Улучшение условий   проведения учебно-тренировочных занятий</t>
  </si>
  <si>
    <t>Приобретение инвентаря, мебели, оргтехники</t>
  </si>
  <si>
    <t>внебюджетные средства</t>
  </si>
  <si>
    <t>внебюджетные средства</t>
  </si>
  <si>
    <t>3.</t>
  </si>
  <si>
    <t>ИТОГО :</t>
  </si>
  <si>
    <t>3.1.</t>
  </si>
  <si>
    <t>Содержание,   обеспечение деятельности МКУС ФОКСИ "Одинец"</t>
  </si>
  <si>
    <t>3.2.</t>
  </si>
  <si>
    <t>Укрепление материально-технической базы   МКУС ФОКСИ "Одинец":</t>
  </si>
  <si>
    <t>3.3.</t>
  </si>
  <si>
    <t>Итого по Программе:</t>
  </si>
  <si>
    <t>№
п/п</t>
  </si>
  <si>
    <t>Бюджет Московской области</t>
  </si>
  <si>
    <t>Внебюджетные средства</t>
  </si>
  <si>
    <t>1.2.Количество спортсменов - членов сборных команд Московской области</t>
  </si>
  <si>
    <t>чел.</t>
  </si>
  <si>
    <t>1.3.Количество проводимых спортивно-массовых и физкультурно-оздоровительных мероприятий (ежегодно)</t>
  </si>
  <si>
    <t>ед.</t>
  </si>
  <si>
    <t>1.4.Количество спортсменов массовых разрядов</t>
  </si>
  <si>
    <t>%</t>
  </si>
  <si>
    <t>руб.</t>
  </si>
  <si>
    <t>2.1. Доля детей и молодежи в возрасте до 30 лет, регулярно занимающихся в спортивных секциях, клубах и иных объединениях спортивной направленности</t>
  </si>
  <si>
    <t>3.1. Доля лиц с ограниченными возможностями здоровья, занимающихся физической культурой и спортом, в общей численности инвалидов в районе</t>
  </si>
  <si>
    <t>3.2. Количество спортсменов-инвалидов, являющихся  членами сборной команды Московской области по видам спорта</t>
  </si>
  <si>
    <t>Количество занимающихся - в соответствии с муниципальным заказом.</t>
  </si>
  <si>
    <t>4.1.</t>
  </si>
  <si>
    <t>5.</t>
  </si>
  <si>
    <t>5.1</t>
  </si>
  <si>
    <t>-</t>
  </si>
  <si>
    <t>Приобретение спортивного оборудования, инвентаря, экипировки, мебели, оргтехники</t>
  </si>
  <si>
    <t>тыс. чел.</t>
  </si>
  <si>
    <t>1.6. Уровень фактической обеспеченности населения Одинцовского муниципального района учреждениями физической культуры и спорта от нормативной потребности:</t>
  </si>
  <si>
    <t>1.5. Число введенных в эксплуатацию физкультурно-оздоровительных комплексов и плоскостных спортивных сооружений</t>
  </si>
  <si>
    <t>Обеспечение питанием детей, находящихся в спортивно-оздоровительных лагерях дневного пребывания</t>
  </si>
  <si>
    <t>Создание условий для реализации ВФСК ГТО на территории Одинцовского муниципального района</t>
  </si>
  <si>
    <t>1.1.Количество жителей, систематически занимающихся физической культурой и спортом.</t>
  </si>
  <si>
    <t>Средства       бюджета ОМР МО</t>
  </si>
  <si>
    <t>Средства       бюджетов       городских/  сельских поселений ОМР МО</t>
  </si>
  <si>
    <t>Внебюджетные источники</t>
  </si>
  <si>
    <t>Средства бюджета ОМР МО</t>
  </si>
  <si>
    <t>Мероприятия по реализации программы (подпрограммы)</t>
  </si>
  <si>
    <t>Срок исполнения мероприятий</t>
  </si>
  <si>
    <t>Всего (тыс. руб.)</t>
  </si>
  <si>
    <t>Объем финансирования по годам (тыс. руб.)</t>
  </si>
  <si>
    <t>Результаты выполнения мероприятия</t>
  </si>
  <si>
    <r>
      <t xml:space="preserve">ПЛАНИРУЕМЫЕ РЕЗУЛЬТАТЫ РЕАЛИЗАЦИИ МУНИЦИПАЛЬНОЙ ПРОГРАММЫ 
ОДИНЦОВСКОГО МУНИЦИПАЛЬНОГО РАЙОНА МОСКОВСКОЙ ОБЛАСТИ 
</t>
    </r>
    <r>
      <rPr>
        <b/>
        <sz val="12"/>
        <color rgb="FF000000"/>
        <rFont val="Times New Roman"/>
        <family val="1"/>
        <charset val="204"/>
      </rPr>
      <t>"ФИЗИЧЕСКАЯ КУЛЬТУРА И СПОРТ В ОДИНЦОВСКОМ МУНИЦИПАЛЬНОМ РАЙОНЕ МОСКОВСКОЙ ОБЛАСТИ"</t>
    </r>
  </si>
  <si>
    <t xml:space="preserve">Задачи, направленные на достижение цели         </t>
  </si>
  <si>
    <t>Показатель реализации мероприятий муниципальной программы (подпрограммы)</t>
  </si>
  <si>
    <t>Единица измерения</t>
  </si>
  <si>
    <t xml:space="preserve">Планируемое значение показателя по годам реализации                                         </t>
  </si>
  <si>
    <t xml:space="preserve">Бюджет Одинцовского муниципального района Московской области    </t>
  </si>
  <si>
    <t>Доведение доли  детей и подростков, охваченных летней спортивно-оздоровительной компанией (от общего числа обучающихся в учреждениях дополнительного образования) до 15%</t>
  </si>
  <si>
    <t>2017-2021 гг</t>
  </si>
  <si>
    <t>Ежегодно
не менее 115 мероприятий</t>
  </si>
  <si>
    <t>Довести долю лиц, систематически занимающихся физической культурой и спортом, в общей численности населения - 40%</t>
  </si>
  <si>
    <t>Организация участия команд (отдельных спортсменов), тренеров и представителей Одинцовского муниципального района в муниципальных, межмуниципальных, региональных, межрегиональных, всероссийских, международных спортивных мероприятиях</t>
  </si>
  <si>
    <t>Проведение  текущего  ремонта в подведомственных учреждениях спорта в целях обеспечения доступности занятий инвалидов и других маломобильных групп населения</t>
  </si>
  <si>
    <t>Обеспечение содержания имущества в муниципальных учреждениях спорта</t>
  </si>
  <si>
    <t>Довести долю лиц с ограниченными возможностями здоровья, занимающихся физической культурой и спортом до 6,5%</t>
  </si>
  <si>
    <t>3.2.1.</t>
  </si>
  <si>
    <t>Проведение текущего ремонта в Муниципальных бюджетных  учреждениях спорта с целью создания условий доступа для инвалидов и маломобильных групп населения</t>
  </si>
  <si>
    <t>Задача5.
Увеличение числа детей и подростков, охваченных летней оздоровительной кампанией в муниципальных учреждениях спорта</t>
  </si>
  <si>
    <t>2.4.</t>
  </si>
  <si>
    <t xml:space="preserve">Проведение капитального ремонта </t>
  </si>
  <si>
    <t>Учебно-тренировочные сборы</t>
  </si>
  <si>
    <t>Средства бюджетов городских/сельских поселений, передаваемые в бюджет ОМР МО</t>
  </si>
  <si>
    <t>2.4.1.</t>
  </si>
  <si>
    <t>2.4.2.</t>
  </si>
  <si>
    <t>2.4.3.</t>
  </si>
  <si>
    <t>4.2.</t>
  </si>
  <si>
    <t>Доведение доли жителей Одинцовского муниципального района Московской области, выполнивших нормативы Всероссийского физкультурно-спортивного комплекса ГТО, в общей численности населения, принявших участие в сдаче нормативов  ГТО до 30%</t>
  </si>
  <si>
    <t xml:space="preserve">Реализация ВФСК "Готов к труду и обороне"(ГТО) на территории Одинцовского муниципального района  </t>
  </si>
  <si>
    <t>Средства бюджета МО</t>
  </si>
  <si>
    <t>В пределах средств, предусмотренных в бюджетах городских и сельских поселений ОМР МО</t>
  </si>
  <si>
    <t>Средства бюджетов городских и сельских поселений, передаваемые в бюджет ОМР МО</t>
  </si>
  <si>
    <t>спортивными залами</t>
  </si>
  <si>
    <t>плоскостными спортивными сооружениями</t>
  </si>
  <si>
    <t>плавательными бассейнами</t>
  </si>
  <si>
    <t>4.2. Доля учащихся и студентов - жителей Одинцовского муниципального района Московской области выполнивших нормативы ВФСК "Готов к труду и обороне" (ГТО), в общей численности населения, принявшего участие в сдаче нормативов ВФСК</t>
  </si>
  <si>
    <t>4.1. Доля жителей Одинцовского муниципального района Московской области, выполнивших нормативы ВФСК "Готов у труду и обороне" (ГТО), в общей численности населения, принявших участие в сдаче нормативов ВФСК "Готов к труду и обороне" (ГТО)</t>
  </si>
  <si>
    <t>Объем финансирования мероприятия в году, предшедствующему начала реализации программы (2016) (тыс. руб.)</t>
  </si>
  <si>
    <t>1.7. Среднемесячная номинальная начисленная заработная плата работников муниципальных учреждений спорта.</t>
  </si>
  <si>
    <t>1.8. Уровень загруженности спортивных сооружений</t>
  </si>
  <si>
    <t>2.2. Количество обучающихся в муниципальных учреждениях спорта олимпийского резерва</t>
  </si>
  <si>
    <t>Задача 1. Увеличение доли жителей Одинцовского муниципального района, вовлеченных в систематические занятия физической культурой и спортом</t>
  </si>
  <si>
    <t>Отчётный базовый период/Базовое значение показателя (на начало  реализации программы на 31.12.2016)</t>
  </si>
  <si>
    <t xml:space="preserve">5.1.Доля детей и подростков, охваченных летней спортивно-оздоровительной компанией (от общего числа занимающихся в муниципальных учреждениях спорта) </t>
  </si>
  <si>
    <t>Организация занятий детей и подростков спортом в муниципальных учреждениях спорта для оказания муниципальных услуг и работ по спортивной подготовке</t>
  </si>
  <si>
    <t>Задача 4.
Увеличение количества проведенных мероприятий по пропаганде и реализации ВФСК «Готов к труду и обороне» (ГТО)</t>
  </si>
  <si>
    <t>Содержание "Центра тестирования ГТО"</t>
  </si>
  <si>
    <t>1.5.</t>
  </si>
  <si>
    <t>Оплата кредиторской задолженности за строительство Физкультурно-оздоровительного комплекса с универсальным спортивным залом в г.Одинцово за 2016 год</t>
  </si>
  <si>
    <t>2017-2021 гг.</t>
  </si>
  <si>
    <t xml:space="preserve">Итого:         </t>
  </si>
  <si>
    <t>6.</t>
  </si>
  <si>
    <t>6.1.</t>
  </si>
  <si>
    <t>6.2.</t>
  </si>
  <si>
    <t>6.3.</t>
  </si>
  <si>
    <t>х</t>
  </si>
  <si>
    <t>3.4.</t>
  </si>
  <si>
    <t>Приобретение оборудования муниципальными бюджетными  учреждениями спорта с целью создания условий доступности спортивных занятий  для инвалидов и маломобильных групп населения</t>
  </si>
  <si>
    <t>Приобретение оборудования подведомственными учреждениями спорта в целях обеспечения доступности занятий инвалидов и других маломобильных групп населения</t>
  </si>
  <si>
    <t xml:space="preserve">                                                                         КФКиС</t>
  </si>
  <si>
    <t>КФКиС Администрации городских и сельских поселений Одинцовского муниципального района</t>
  </si>
  <si>
    <t>КФКиС</t>
  </si>
  <si>
    <t>КФКиС,
Администрации городских/сельских поселений ОМР МО</t>
  </si>
  <si>
    <t>3.3. Доля доступных для инвалидов и других маломобильных групп населения муниципальных  объектов спорта  в общем количестве муниципальных  объектов спорта в Одинцовском муниципальном районе</t>
  </si>
  <si>
    <t>Проведение капитального ремонта стадиона МБУС СШ Старый городок</t>
  </si>
  <si>
    <t>Средства бюджета городских/сельских поселений, передаваемых в бюджет ОМР МО</t>
  </si>
  <si>
    <t>В том числе за счет иных МБТ в форме дотаций предоставляемых из бюджета МО</t>
  </si>
  <si>
    <t>Средства бюджета ОМР МО:</t>
  </si>
  <si>
    <t>1.9. Доля граждан Одинцовского района, занимающихся физической культурой и спортом по месту работы, в общей численности населения, занятого в экономике</t>
  </si>
  <si>
    <t>Оплата кредиторской задолженности за строительство физкультурно-оздоровительного комплекса с универсальным спортивным залом в г.Одинцово за 2016 год за счет перечисления ИМБТ из средств с.п. Жаворонковское</t>
  </si>
  <si>
    <t>1.10. Доля жителей Одинцовского муниципального района, систематически занимающихся физической культурой и спортом, в общей численности населения Одинцовского муниципального района</t>
  </si>
  <si>
    <t>Средства бюджета  МО</t>
  </si>
  <si>
    <t>2.3.Доля муниципальных организаций в сфере физической культуры и спорта в Московской области, обеспеченных современными аппаратно-программными комплексами со средствами криптографической защиты информации</t>
  </si>
  <si>
    <t>Задача 6.  Обеспечение деятельности Комитета физической культуры и спорта</t>
  </si>
  <si>
    <t>В том числе за счет иных МБТ в форме дотаций, предоставляемых из бюджета МО</t>
  </si>
  <si>
    <t xml:space="preserve">Участие в спортивных мероприятиях занимающихся МБУС СШ Ершово
</t>
  </si>
  <si>
    <t>4.3.</t>
  </si>
  <si>
    <t xml:space="preserve">Проведение массовых, официальных физкультурных и спортивных мероприятий среди различных групп населения Одинцовского муниципального района  Московской области по видам спорта в соответствии с ежегодно утверждаемым Календарным планом физкультурных мероприятий и спортивных мероприятий Московской области
</t>
  </si>
  <si>
    <t>Задача 4. Увеличение количества проведенных мероприятий по пропаганде и реализации ВФСК «Готов к труду и обороне» (ГТО)</t>
  </si>
  <si>
    <r>
      <t>Задача 3. Увеличение числа лиц с ограниченными возможностями здоровья, вовлеченных в систематические занятия физической культурой и спортом</t>
    </r>
    <r>
      <rPr>
        <sz val="12"/>
        <rFont val="Times New Roman"/>
        <family val="1"/>
        <charset val="204"/>
      </rPr>
      <t xml:space="preserve">
</t>
    </r>
  </si>
  <si>
    <t>Задача 2. Увеличение доли детей и молодежи  обучающихся в муниципальных учреждениях спортивной направленности.</t>
  </si>
  <si>
    <t>Приобретение спортивного оборудования, инвентаря, мебели, оргтехники</t>
  </si>
  <si>
    <t xml:space="preserve"> Комитет по строительству и развитию дорожно-транспортной инфраструктуры</t>
  </si>
  <si>
    <t xml:space="preserve">Создание условий для реализации ВФСК "Готов к труду и обороне"(ГТО) на территории Одинцовского муниципального района  </t>
  </si>
  <si>
    <t>Задача 5. Увеличение числа детей и подростков, охваченных летней оздоровительной кампанией в муниципальных учреждениях спорта</t>
  </si>
  <si>
    <t>Администрации городских и сельских поселений Одинцовского муниципального района</t>
  </si>
  <si>
    <t>Число введенных в эксплуатацию физкультурно-оздоровительных комплексов и плоскостных спортивных сооружений.</t>
  </si>
  <si>
    <t xml:space="preserve">1.11. Количество реконструированных муниципальных объектов физической культуры и спорта </t>
  </si>
  <si>
    <t xml:space="preserve"> Укрепление материально-технической базы  муниципальных учреждений спорта</t>
  </si>
  <si>
    <t xml:space="preserve">Планируемый объем финансирования на решение данной задачи 
(тыс. руб.)   </t>
  </si>
  <si>
    <t>Задача 3.  Увеличение числа лиц с ограниченными возможностями здоровья вовлеченных в систематические занятия физической культурой и спортом</t>
  </si>
  <si>
    <t>Средства бюджета ОМР МО, передаваемые в городские/сельские поселения ОМР МО</t>
  </si>
  <si>
    <t xml:space="preserve">  Председатель Комитета                                                                                              А.Ю. Олянич</t>
  </si>
  <si>
    <t xml:space="preserve">           Председатель Комитета                                                                                             А.Ю. Олянич</t>
  </si>
  <si>
    <t xml:space="preserve">1.13. Количество установленных скейт-парков </t>
  </si>
  <si>
    <t>1.14.Количество установленных плоскостных спортивных сооружений</t>
  </si>
  <si>
    <t>1.12. Количество плоскостных спортивных сооружений, на которых проведен капитальный ремонт и приобретено оборудование для их оснащения</t>
  </si>
  <si>
    <t>1.6.</t>
  </si>
  <si>
    <t>(Реконструкция центрального стадиона), городское поселение Одинцово.</t>
  </si>
  <si>
    <t>Установка плоскостных спортивных сооружений (футбольное поле (мини-стадион) по адресу: г. Одинцово, ул. Солнечная)  городское поселение Одинцово.</t>
  </si>
  <si>
    <t>Подготовка основания, приобретение и установка плоскостных спортивных сооружений на территории городских и сельских поселений Одинцовского муниципального района (дополнительные работы).</t>
  </si>
  <si>
    <t>Средства федерального бюджета</t>
  </si>
  <si>
    <t>Укрепление материально-технической базы МАУС СШ "Горки-10", в том числе за счет перечисления ИМБТ из бюджета с.п. Успенское, аппаратно-программные комплексы со средствами криптографической защиты для СШ, ОСШОР, ОСШОР по фехтованию</t>
  </si>
  <si>
    <t>2.4. Количество закупок оборудования или услуг  в муниципальных учреждениях спорта олимпийского резерва</t>
  </si>
  <si>
    <t>Текущий ремонт МАУС СШ "Горки-10", в том числе за счет перечисления ИМБТ из бюджета с.п. Успенское, МБУС СШ "Ершово"в том числе за счет перечисления ИМБТ из бюджета с.п. Ершовское, текущий ремонт и благоустройство территории МБУС СШ "Арион", МБУС ОСШОР, МБУС СШ "Старый городок"</t>
  </si>
  <si>
    <t>1.15 Доля спортивных площадок, управляемых в соответствии со стандартом их использования</t>
  </si>
  <si>
    <r>
      <rPr>
        <sz val="12"/>
        <rFont val="Times New Roman"/>
        <family val="1"/>
        <charset val="204"/>
      </rPr>
      <t xml:space="preserve"> ПЕРЕЧЕНЬ МЕРОПРИЯТИЙ МУНИЦИПАЛЬНОЙ ПРОГРАММЫ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ОДИНЦОВСКОГО МУНИЦИПАЛЬНОГО РАЙОНА МОСКОВСКОЙ ОБЛАСТИ</t>
    </r>
    <r>
      <rPr>
        <b/>
        <sz val="12"/>
        <rFont val="Times New Roman"/>
        <family val="1"/>
        <charset val="204"/>
      </rPr>
      <t xml:space="preserve">
"ФИЗИЧЕСКАЯ КУЛЬТУРА И СПОРТ В ОДИНЦОВСКОМ МУНИЦИПАЛЬНОМ РАЙОНЕ МОСКОВСКОЙ ОБЛАСТИ"</t>
    </r>
  </si>
  <si>
    <t>Строительство и реконструкция спортивных комплексов, плоскостных спортивных сооружений на территории городских и сельских поселений Одинцовского муниципального района.</t>
  </si>
  <si>
    <t xml:space="preserve">Проведение текущего ремонта и благоустройство территорий  </t>
  </si>
  <si>
    <t>Задача 2.  Увеличение доли детей и молодежи  обучающихся в муниципальных учреждениях спротивной направленности.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</si>
  <si>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</si>
  <si>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Приобретение спортивного оборудования и инвентаря муниципальными бюджетными  учреждениями спорта МБУС ОСШОР, МБУС ОСШОР по фехтованию</t>
  </si>
  <si>
    <t>2.5.</t>
  </si>
  <si>
    <t xml:space="preserve">Мероприятие P5. Федеральный проект «Спорт – норма жизни» </t>
  </si>
  <si>
    <t>Обеспечение деятельности Комитета физической культуры и спорта</t>
  </si>
  <si>
    <t>Проведение текущего ремонта в Комитете физической культуры и спорта</t>
  </si>
  <si>
    <t>Приобретение основных средств  для Комитета физической культуры и спорта</t>
  </si>
  <si>
    <t>Увеличение численности спортсменов массовых разрядов -2650 чел., спортсменов - членов сборных команд Московской области - 88 чел. Участие в спортивных мероприятиях занимающихся МБУС СШ "Одинцово", МБУС СШ "Старый городок", МБУС ОСШОР</t>
  </si>
  <si>
    <t>Приложение №1 к постановлению Администрации
Одинцовского городского округа  
Московской области
от 06.12.2019 № 1875</t>
  </si>
  <si>
    <t>Приложение №2 к постановлению Администрации
Одинцовского городского округа
Московской области
от 06.12.2019 № 1875
Приложение №2 к муниципальной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</si>
</sst>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"/>
    <numFmt numFmtId="167" formatCode="0.00000"/>
  </numFmts>
  <fonts count="13" x14ac:knownFonts="1">
    <font>
      <sz val="11"/>
      <color rgb="FF000000"/>
      <name val="Arial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69">
    <xf numFmtId="0" fontId="0" fillId="0" borderId="0" xfId="0"/>
    <xf numFmtId="0" fontId="4" fillId="2" borderId="0" xfId="0" applyFont="1" applyFill="1" applyAlignment="1" applyProtection="1">
      <protection locked="0"/>
    </xf>
    <xf numFmtId="0" fontId="7" fillId="2" borderId="14" xfId="0" applyFont="1" applyFill="1" applyBorder="1" applyAlignment="1">
      <alignment horizontal="left" vertical="top" wrapText="1"/>
    </xf>
    <xf numFmtId="164" fontId="5" fillId="2" borderId="14" xfId="0" applyNumberFormat="1" applyFont="1" applyFill="1" applyBorder="1" applyAlignment="1">
      <alignment horizontal="left" vertical="top" wrapText="1"/>
    </xf>
    <xf numFmtId="16" fontId="5" fillId="2" borderId="14" xfId="0" applyNumberFormat="1" applyFont="1" applyFill="1" applyBorder="1" applyAlignment="1">
      <alignment horizontal="left" vertical="top" wrapText="1"/>
    </xf>
    <xf numFmtId="0" fontId="9" fillId="2" borderId="14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5" fillId="2" borderId="22" xfId="0" applyFont="1" applyFill="1" applyBorder="1" applyAlignment="1" applyProtection="1">
      <alignment horizontal="left" vertical="top" wrapText="1"/>
      <protection locked="0"/>
    </xf>
    <xf numFmtId="0" fontId="5" fillId="2" borderId="14" xfId="0" applyFont="1" applyFill="1" applyBorder="1" applyAlignment="1" applyProtection="1">
      <alignment horizontal="left" vertical="top" wrapText="1"/>
      <protection locked="0"/>
    </xf>
    <xf numFmtId="0" fontId="4" fillId="2" borderId="22" xfId="0" applyFont="1" applyFill="1" applyBorder="1" applyAlignment="1">
      <alignment horizontal="left" vertical="top" wrapText="1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top" wrapText="1"/>
    </xf>
    <xf numFmtId="0" fontId="6" fillId="2" borderId="14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5" fillId="2" borderId="22" xfId="0" applyFont="1" applyFill="1" applyBorder="1" applyAlignment="1">
      <alignment horizontal="left" vertical="top" wrapText="1"/>
    </xf>
    <xf numFmtId="0" fontId="4" fillId="2" borderId="22" xfId="0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/>
      <protection locked="0"/>
    </xf>
    <xf numFmtId="0" fontId="6" fillId="2" borderId="8" xfId="0" applyFont="1" applyFill="1" applyBorder="1" applyAlignment="1" applyProtection="1">
      <alignment horizontal="left" vertical="top" wrapText="1"/>
      <protection locked="0"/>
    </xf>
    <xf numFmtId="16" fontId="5" fillId="2" borderId="14" xfId="0" applyNumberFormat="1" applyFont="1" applyFill="1" applyBorder="1" applyAlignment="1" applyProtection="1">
      <alignment horizontal="left" vertical="top"/>
      <protection locked="0"/>
    </xf>
    <xf numFmtId="16" fontId="5" fillId="2" borderId="16" xfId="0" applyNumberFormat="1" applyFont="1" applyFill="1" applyBorder="1" applyAlignment="1" applyProtection="1">
      <alignment horizontal="left" vertical="top"/>
      <protection locked="0"/>
    </xf>
    <xf numFmtId="16" fontId="5" fillId="2" borderId="16" xfId="0" applyNumberFormat="1" applyFont="1" applyFill="1" applyBorder="1" applyAlignment="1" applyProtection="1">
      <alignment horizontal="center" vertical="top"/>
      <protection locked="0"/>
    </xf>
    <xf numFmtId="0" fontId="5" fillId="2" borderId="0" xfId="0" applyFont="1" applyFill="1" applyAlignment="1" applyProtection="1">
      <alignment horizontal="left"/>
      <protection locked="0"/>
    </xf>
    <xf numFmtId="49" fontId="5" fillId="2" borderId="14" xfId="0" applyNumberFormat="1" applyFont="1" applyFill="1" applyBorder="1" applyAlignment="1" applyProtection="1">
      <alignment horizontal="left" vertical="top"/>
      <protection locked="0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0" fontId="6" fillId="2" borderId="14" xfId="0" applyFont="1" applyFill="1" applyBorder="1" applyAlignment="1">
      <alignment horizontal="left" vertical="top" wrapText="1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protection locked="0"/>
    </xf>
    <xf numFmtId="0" fontId="5" fillId="2" borderId="0" xfId="0" applyFont="1" applyFill="1" applyAlignment="1" applyProtection="1">
      <alignment horizontal="right" vertical="top"/>
      <protection locked="0"/>
    </xf>
    <xf numFmtId="0" fontId="5" fillId="2" borderId="0" xfId="0" applyFont="1" applyFill="1" applyAlignment="1" applyProtection="1">
      <alignment horizontal="right"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4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 applyProtection="1">
      <protection locked="0"/>
    </xf>
    <xf numFmtId="0" fontId="6" fillId="2" borderId="11" xfId="0" applyFont="1" applyFill="1" applyBorder="1" applyAlignment="1" applyProtection="1">
      <alignment horizontal="left" vertical="center"/>
      <protection locked="0"/>
    </xf>
    <xf numFmtId="0" fontId="6" fillId="2" borderId="22" xfId="0" applyFont="1" applyFill="1" applyBorder="1" applyAlignment="1" applyProtection="1">
      <alignment horizontal="left" vertical="center" wrapText="1"/>
      <protection locked="0"/>
    </xf>
    <xf numFmtId="0" fontId="5" fillId="2" borderId="47" xfId="0" applyFont="1" applyFill="1" applyBorder="1" applyAlignment="1" applyProtection="1">
      <alignment vertical="top" wrapText="1"/>
      <protection locked="0"/>
    </xf>
    <xf numFmtId="0" fontId="5" fillId="2" borderId="10" xfId="0" applyFont="1" applyFill="1" applyBorder="1" applyAlignment="1" applyProtection="1">
      <alignment horizontal="left" vertical="top" wrapText="1"/>
      <protection locked="0"/>
    </xf>
    <xf numFmtId="0" fontId="5" fillId="2" borderId="34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44" xfId="0" applyFont="1" applyFill="1" applyBorder="1" applyAlignment="1" applyProtection="1">
      <alignment horizontal="left" vertical="top" wrapText="1"/>
      <protection locked="0"/>
    </xf>
    <xf numFmtId="0" fontId="5" fillId="2" borderId="56" xfId="0" applyFont="1" applyFill="1" applyBorder="1" applyAlignment="1" applyProtection="1">
      <alignment horizontal="left" vertical="top" wrapText="1"/>
      <protection locked="0"/>
    </xf>
    <xf numFmtId="2" fontId="5" fillId="2" borderId="14" xfId="0" applyNumberFormat="1" applyFont="1" applyFill="1" applyBorder="1" applyAlignment="1" applyProtection="1">
      <alignment horizontal="left" vertical="top" wrapText="1"/>
      <protection locked="0"/>
    </xf>
    <xf numFmtId="0" fontId="5" fillId="2" borderId="17" xfId="0" applyNumberFormat="1" applyFont="1" applyFill="1" applyBorder="1" applyAlignment="1" applyProtection="1">
      <alignment horizontal="left" vertical="top" wrapText="1"/>
      <protection locked="0"/>
    </xf>
    <xf numFmtId="0" fontId="6" fillId="2" borderId="17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left" vertical="top"/>
      <protection locked="0"/>
    </xf>
    <xf numFmtId="0" fontId="5" fillId="2" borderId="14" xfId="0" applyFont="1" applyFill="1" applyBorder="1" applyAlignment="1" applyProtection="1">
      <alignment horizontal="left" vertical="center" wrapText="1"/>
      <protection locked="0"/>
    </xf>
    <xf numFmtId="0" fontId="5" fillId="2" borderId="49" xfId="0" applyFont="1" applyFill="1" applyBorder="1" applyAlignment="1" applyProtection="1">
      <alignment horizontal="left" vertical="top"/>
      <protection locked="0"/>
    </xf>
    <xf numFmtId="165" fontId="5" fillId="2" borderId="0" xfId="0" applyNumberFormat="1" applyFont="1" applyFill="1" applyAlignment="1" applyProtection="1">
      <alignment horizontal="left"/>
      <protection locked="0"/>
    </xf>
    <xf numFmtId="0" fontId="6" fillId="2" borderId="53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2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51" xfId="0" applyFont="1" applyFill="1" applyBorder="1" applyAlignment="1" applyProtection="1">
      <alignment horizontal="left" vertical="top"/>
      <protection locked="0"/>
    </xf>
    <xf numFmtId="0" fontId="6" fillId="2" borderId="22" xfId="0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 applyProtection="1">
      <alignment horizontal="left"/>
      <protection locked="0"/>
    </xf>
    <xf numFmtId="2" fontId="5" fillId="2" borderId="0" xfId="0" applyNumberFormat="1" applyFont="1" applyFill="1" applyBorder="1" applyAlignment="1" applyProtection="1">
      <alignment horizontal="left"/>
      <protection locked="0"/>
    </xf>
    <xf numFmtId="0" fontId="6" fillId="2" borderId="17" xfId="0" applyFont="1" applyFill="1" applyBorder="1" applyAlignment="1" applyProtection="1">
      <alignment horizontal="left" vertical="top"/>
      <protection locked="0"/>
    </xf>
    <xf numFmtId="0" fontId="6" fillId="2" borderId="0" xfId="0" applyFont="1" applyFill="1" applyAlignment="1" applyProtection="1">
      <protection locked="0"/>
    </xf>
    <xf numFmtId="0" fontId="4" fillId="2" borderId="0" xfId="0" applyFont="1" applyFill="1" applyBorder="1" applyAlignment="1" applyProtection="1">
      <alignment horizontal="right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30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43" xfId="0" applyFont="1" applyFill="1" applyBorder="1" applyAlignment="1" applyProtection="1">
      <alignment horizontal="left" vertical="center" wrapText="1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2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2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166" fontId="4" fillId="2" borderId="3" xfId="0" applyNumberFormat="1" applyFont="1" applyFill="1" applyBorder="1" applyAlignment="1" applyProtection="1">
      <alignment horizontal="center" vertical="center"/>
      <protection locked="0"/>
    </xf>
    <xf numFmtId="166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vertical="top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16" fontId="5" fillId="2" borderId="14" xfId="0" applyNumberFormat="1" applyFont="1" applyFill="1" applyBorder="1" applyAlignment="1" applyProtection="1">
      <alignment horizontal="left" vertical="top" wrapText="1"/>
      <protection locked="0"/>
    </xf>
    <xf numFmtId="0" fontId="6" fillId="2" borderId="14" xfId="0" applyFont="1" applyFill="1" applyBorder="1" applyAlignment="1" applyProtection="1">
      <alignment horizontal="center" vertical="top" wrapText="1"/>
      <protection locked="0"/>
    </xf>
    <xf numFmtId="0" fontId="5" fillId="2" borderId="14" xfId="0" applyFont="1" applyFill="1" applyBorder="1" applyAlignment="1" applyProtection="1">
      <alignment horizontal="center" vertical="top" wrapText="1"/>
      <protection locked="0"/>
    </xf>
    <xf numFmtId="0" fontId="6" fillId="2" borderId="47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4" fillId="2" borderId="0" xfId="0" applyFont="1" applyFill="1" applyAlignment="1" applyProtection="1">
      <alignment horizontal="center"/>
      <protection locked="0"/>
    </xf>
    <xf numFmtId="0" fontId="10" fillId="2" borderId="0" xfId="0" applyFont="1" applyFill="1"/>
    <xf numFmtId="0" fontId="6" fillId="2" borderId="14" xfId="0" applyFont="1" applyFill="1" applyBorder="1" applyAlignment="1">
      <alignment horizontal="left" vertical="top" wrapText="1"/>
    </xf>
    <xf numFmtId="0" fontId="6" fillId="2" borderId="14" xfId="0" applyFont="1" applyFill="1" applyBorder="1" applyAlignment="1" applyProtection="1">
      <alignment horizontal="left" vertical="top" wrapText="1"/>
      <protection locked="0"/>
    </xf>
    <xf numFmtId="0" fontId="5" fillId="2" borderId="16" xfId="0" applyFont="1" applyFill="1" applyBorder="1" applyAlignment="1" applyProtection="1">
      <alignment horizontal="center" vertical="top" wrapText="1"/>
      <protection locked="0"/>
    </xf>
    <xf numFmtId="0" fontId="5" fillId="2" borderId="16" xfId="0" applyFont="1" applyFill="1" applyBorder="1" applyAlignment="1" applyProtection="1">
      <alignment horizontal="left" vertical="top" wrapText="1"/>
      <protection locked="0"/>
    </xf>
    <xf numFmtId="0" fontId="5" fillId="2" borderId="19" xfId="0" applyFont="1" applyFill="1" applyBorder="1" applyAlignment="1" applyProtection="1">
      <alignment horizontal="left" vertical="top" wrapText="1"/>
      <protection locked="0"/>
    </xf>
    <xf numFmtId="0" fontId="5" fillId="2" borderId="17" xfId="0" applyFont="1" applyFill="1" applyBorder="1" applyAlignment="1" applyProtection="1">
      <alignment horizontal="left" vertical="top"/>
      <protection locked="0"/>
    </xf>
    <xf numFmtId="0" fontId="5" fillId="2" borderId="17" xfId="0" applyFont="1" applyFill="1" applyBorder="1" applyAlignment="1" applyProtection="1">
      <alignment horizontal="left" vertical="top" wrapText="1"/>
      <protection locked="0"/>
    </xf>
    <xf numFmtId="0" fontId="5" fillId="2" borderId="42" xfId="0" applyFont="1" applyFill="1" applyBorder="1" applyAlignment="1" applyProtection="1">
      <alignment horizontal="left" vertical="top" wrapText="1"/>
      <protection locked="0"/>
    </xf>
    <xf numFmtId="0" fontId="5" fillId="2" borderId="6" xfId="0" applyFont="1" applyFill="1" applyBorder="1" applyAlignment="1" applyProtection="1">
      <alignment horizontal="left" vertical="top" wrapText="1"/>
      <protection locked="0"/>
    </xf>
    <xf numFmtId="0" fontId="5" fillId="2" borderId="9" xfId="0" applyFont="1" applyFill="1" applyBorder="1" applyAlignment="1" applyProtection="1">
      <alignment horizontal="left" vertical="top" wrapText="1"/>
      <protection locked="0"/>
    </xf>
    <xf numFmtId="0" fontId="5" fillId="2" borderId="38" xfId="0" applyFont="1" applyFill="1" applyBorder="1" applyAlignment="1" applyProtection="1">
      <alignment horizontal="left" vertical="top" wrapText="1"/>
      <protection locked="0"/>
    </xf>
    <xf numFmtId="0" fontId="5" fillId="2" borderId="14" xfId="0" applyFont="1" applyFill="1" applyBorder="1" applyAlignment="1" applyProtection="1">
      <alignment horizontal="left" vertical="top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0" fontId="5" fillId="2" borderId="12" xfId="0" applyFont="1" applyFill="1" applyBorder="1" applyAlignment="1" applyProtection="1">
      <alignment horizontal="left" vertical="top" wrapText="1"/>
      <protection locked="0"/>
    </xf>
    <xf numFmtId="0" fontId="5" fillId="2" borderId="15" xfId="0" applyFont="1" applyFill="1" applyBorder="1" applyAlignment="1" applyProtection="1">
      <alignment horizontal="left" vertical="top" wrapText="1"/>
      <protection locked="0"/>
    </xf>
    <xf numFmtId="0" fontId="5" fillId="2" borderId="14" xfId="0" applyNumberFormat="1" applyFont="1" applyFill="1" applyBorder="1" applyAlignment="1" applyProtection="1">
      <alignment horizontal="left" vertical="top" wrapText="1"/>
      <protection locked="0"/>
    </xf>
    <xf numFmtId="0" fontId="5" fillId="2" borderId="14" xfId="0" applyFont="1" applyFill="1" applyBorder="1" applyAlignment="1" applyProtection="1">
      <alignment horizontal="left" vertical="top" wrapText="1"/>
      <protection locked="0"/>
    </xf>
    <xf numFmtId="0" fontId="5" fillId="2" borderId="16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 applyProtection="1">
      <alignment horizontal="left" vertical="top"/>
      <protection locked="0"/>
    </xf>
    <xf numFmtId="0" fontId="6" fillId="2" borderId="16" xfId="0" applyFont="1" applyFill="1" applyBorder="1" applyAlignment="1">
      <alignment horizontal="left" vertical="top" wrapText="1"/>
    </xf>
    <xf numFmtId="0" fontId="5" fillId="2" borderId="42" xfId="0" applyFont="1" applyFill="1" applyBorder="1" applyAlignment="1" applyProtection="1">
      <alignment horizontal="left"/>
      <protection locked="0"/>
    </xf>
    <xf numFmtId="0" fontId="8" fillId="2" borderId="14" xfId="0" applyFont="1" applyFill="1" applyBorder="1" applyAlignment="1">
      <alignment horizontal="left" vertical="top" wrapText="1"/>
    </xf>
    <xf numFmtId="0" fontId="5" fillId="2" borderId="12" xfId="0" applyFont="1" applyFill="1" applyBorder="1" applyAlignment="1" applyProtection="1">
      <alignment horizontal="left"/>
      <protection locked="0"/>
    </xf>
    <xf numFmtId="0" fontId="6" fillId="2" borderId="14" xfId="0" applyFont="1" applyFill="1" applyBorder="1" applyAlignment="1" applyProtection="1">
      <alignment horizontal="left" vertical="top"/>
      <protection locked="0"/>
    </xf>
    <xf numFmtId="0" fontId="6" fillId="2" borderId="22" xfId="0" applyFont="1" applyFill="1" applyBorder="1" applyAlignment="1">
      <alignment horizontal="left" vertical="top" wrapText="1"/>
    </xf>
    <xf numFmtId="0" fontId="6" fillId="2" borderId="17" xfId="0" applyFont="1" applyFill="1" applyBorder="1" applyAlignment="1">
      <alignment horizontal="left" vertical="top" wrapText="1"/>
    </xf>
    <xf numFmtId="0" fontId="6" fillId="2" borderId="14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 applyProtection="1">
      <alignment horizontal="left" vertical="top" wrapText="1"/>
      <protection locked="0"/>
    </xf>
    <xf numFmtId="167" fontId="6" fillId="2" borderId="3" xfId="0" applyNumberFormat="1" applyFont="1" applyFill="1" applyBorder="1" applyAlignment="1" applyProtection="1">
      <alignment horizontal="left" vertical="center"/>
      <protection locked="0"/>
    </xf>
    <xf numFmtId="167" fontId="6" fillId="2" borderId="10" xfId="0" applyNumberFormat="1" applyFont="1" applyFill="1" applyBorder="1" applyAlignment="1" applyProtection="1">
      <alignment horizontal="left" vertical="center"/>
      <protection locked="0"/>
    </xf>
    <xf numFmtId="167" fontId="6" fillId="2" borderId="20" xfId="0" applyNumberFormat="1" applyFont="1" applyFill="1" applyBorder="1" applyAlignment="1" applyProtection="1">
      <alignment horizontal="left" vertical="center"/>
      <protection locked="0"/>
    </xf>
    <xf numFmtId="167" fontId="6" fillId="2" borderId="6" xfId="0" applyNumberFormat="1" applyFont="1" applyFill="1" applyBorder="1" applyAlignment="1" applyProtection="1">
      <alignment horizontal="left" vertical="center"/>
      <protection locked="0"/>
    </xf>
    <xf numFmtId="167" fontId="6" fillId="2" borderId="4" xfId="0" applyNumberFormat="1" applyFont="1" applyFill="1" applyBorder="1" applyAlignment="1" applyProtection="1">
      <alignment horizontal="left" vertical="center"/>
      <protection locked="0"/>
    </xf>
    <xf numFmtId="167" fontId="6" fillId="2" borderId="14" xfId="0" applyNumberFormat="1" applyFont="1" applyFill="1" applyBorder="1" applyAlignment="1" applyProtection="1">
      <alignment horizontal="left" vertical="center"/>
      <protection locked="0"/>
    </xf>
    <xf numFmtId="167" fontId="6" fillId="2" borderId="17" xfId="0" applyNumberFormat="1" applyFont="1" applyFill="1" applyBorder="1" applyAlignment="1" applyProtection="1">
      <alignment horizontal="left" vertical="center"/>
      <protection locked="0"/>
    </xf>
    <xf numFmtId="167" fontId="6" fillId="2" borderId="11" xfId="0" applyNumberFormat="1" applyFont="1" applyFill="1" applyBorder="1" applyAlignment="1" applyProtection="1">
      <alignment horizontal="left" vertical="center"/>
      <protection locked="0"/>
    </xf>
    <xf numFmtId="167" fontId="5" fillId="2" borderId="12" xfId="0" applyNumberFormat="1" applyFont="1" applyFill="1" applyBorder="1" applyAlignment="1" applyProtection="1">
      <alignment horizontal="left" vertical="top" wrapText="1"/>
      <protection locked="0"/>
    </xf>
    <xf numFmtId="167" fontId="6" fillId="2" borderId="34" xfId="0" applyNumberFormat="1" applyFont="1" applyFill="1" applyBorder="1" applyAlignment="1" applyProtection="1">
      <alignment horizontal="left" vertical="top" wrapText="1"/>
      <protection locked="0"/>
    </xf>
    <xf numFmtId="167" fontId="5" fillId="2" borderId="34" xfId="0" applyNumberFormat="1" applyFont="1" applyFill="1" applyBorder="1" applyAlignment="1" applyProtection="1">
      <alignment horizontal="left" vertical="top"/>
      <protection locked="0"/>
    </xf>
    <xf numFmtId="167" fontId="5" fillId="2" borderId="49" xfId="0" applyNumberFormat="1" applyFont="1" applyFill="1" applyBorder="1" applyAlignment="1" applyProtection="1">
      <alignment horizontal="left" vertical="top"/>
      <protection locked="0"/>
    </xf>
    <xf numFmtId="167" fontId="5" fillId="2" borderId="14" xfId="0" applyNumberFormat="1" applyFont="1" applyFill="1" applyBorder="1" applyAlignment="1" applyProtection="1">
      <alignment horizontal="left" vertical="top"/>
      <protection locked="0"/>
    </xf>
    <xf numFmtId="167" fontId="5" fillId="2" borderId="29" xfId="0" applyNumberFormat="1" applyFont="1" applyFill="1" applyBorder="1" applyAlignment="1" applyProtection="1">
      <alignment horizontal="left" vertical="top"/>
      <protection locked="0"/>
    </xf>
    <xf numFmtId="167" fontId="5" fillId="2" borderId="14" xfId="0" applyNumberFormat="1" applyFont="1" applyFill="1" applyBorder="1" applyAlignment="1" applyProtection="1">
      <alignment horizontal="left" vertical="top" wrapText="1"/>
      <protection locked="0"/>
    </xf>
    <xf numFmtId="167" fontId="6" fillId="2" borderId="14" xfId="0" applyNumberFormat="1" applyFont="1" applyFill="1" applyBorder="1" applyAlignment="1" applyProtection="1">
      <alignment horizontal="left" vertical="top" wrapText="1"/>
      <protection locked="0"/>
    </xf>
    <xf numFmtId="167" fontId="5" fillId="2" borderId="10" xfId="0" applyNumberFormat="1" applyFont="1" applyFill="1" applyBorder="1" applyAlignment="1" applyProtection="1">
      <alignment horizontal="left" vertical="top" wrapText="1"/>
      <protection locked="0"/>
    </xf>
    <xf numFmtId="167" fontId="6" fillId="2" borderId="3" xfId="0" applyNumberFormat="1" applyFont="1" applyFill="1" applyBorder="1" applyAlignment="1" applyProtection="1">
      <alignment horizontal="left" vertical="top" wrapText="1"/>
      <protection locked="0"/>
    </xf>
    <xf numFmtId="167" fontId="5" fillId="2" borderId="3" xfId="0" applyNumberFormat="1" applyFont="1" applyFill="1" applyBorder="1" applyAlignment="1" applyProtection="1">
      <alignment horizontal="left" vertical="top" wrapText="1"/>
      <protection locked="0"/>
    </xf>
    <xf numFmtId="167" fontId="5" fillId="2" borderId="7" xfId="0" applyNumberFormat="1" applyFont="1" applyFill="1" applyBorder="1" applyAlignment="1" applyProtection="1">
      <alignment horizontal="left" vertical="top" wrapText="1"/>
      <protection locked="0"/>
    </xf>
    <xf numFmtId="167" fontId="5" fillId="2" borderId="1" xfId="0" applyNumberFormat="1" applyFont="1" applyFill="1" applyBorder="1" applyAlignment="1" applyProtection="1">
      <alignment horizontal="left" vertical="top" wrapText="1"/>
      <protection locked="0"/>
    </xf>
    <xf numFmtId="167" fontId="6" fillId="2" borderId="1" xfId="0" applyNumberFormat="1" applyFont="1" applyFill="1" applyBorder="1" applyAlignment="1" applyProtection="1">
      <alignment horizontal="left" vertical="top" wrapText="1"/>
      <protection locked="0"/>
    </xf>
    <xf numFmtId="167" fontId="5" fillId="2" borderId="8" xfId="0" applyNumberFormat="1" applyFont="1" applyFill="1" applyBorder="1" applyAlignment="1" applyProtection="1">
      <alignment horizontal="left" vertical="top" wrapText="1"/>
      <protection locked="0"/>
    </xf>
    <xf numFmtId="167" fontId="6" fillId="2" borderId="1" xfId="0" applyNumberFormat="1" applyFont="1" applyFill="1" applyBorder="1" applyAlignment="1" applyProtection="1">
      <alignment horizontal="left" vertical="center" wrapText="1"/>
      <protection locked="0"/>
    </xf>
    <xf numFmtId="167" fontId="5" fillId="2" borderId="1" xfId="0" applyNumberFormat="1" applyFont="1" applyFill="1" applyBorder="1" applyAlignment="1" applyProtection="1">
      <alignment horizontal="left" vertical="center" wrapText="1"/>
      <protection locked="0"/>
    </xf>
    <xf numFmtId="167" fontId="5" fillId="2" borderId="0" xfId="0" applyNumberFormat="1" applyFont="1" applyFill="1" applyBorder="1" applyAlignment="1" applyProtection="1">
      <alignment horizontal="left" vertical="top" wrapText="1"/>
      <protection locked="0"/>
    </xf>
    <xf numFmtId="167" fontId="6" fillId="2" borderId="4" xfId="0" applyNumberFormat="1" applyFont="1" applyFill="1" applyBorder="1" applyAlignment="1" applyProtection="1">
      <alignment horizontal="left" vertical="center" wrapText="1"/>
      <protection locked="0"/>
    </xf>
    <xf numFmtId="167" fontId="5" fillId="2" borderId="4" xfId="0" applyNumberFormat="1" applyFont="1" applyFill="1" applyBorder="1" applyAlignment="1" applyProtection="1">
      <alignment horizontal="left" vertical="center" wrapText="1"/>
      <protection locked="0"/>
    </xf>
    <xf numFmtId="167" fontId="5" fillId="2" borderId="14" xfId="0" applyNumberFormat="1" applyFont="1" applyFill="1" applyBorder="1" applyAlignment="1" applyProtection="1">
      <alignment horizontal="left" vertical="center" wrapText="1"/>
      <protection locked="0"/>
    </xf>
    <xf numFmtId="167" fontId="6" fillId="2" borderId="44" xfId="0" applyNumberFormat="1" applyFont="1" applyFill="1" applyBorder="1" applyAlignment="1" applyProtection="1">
      <alignment horizontal="left" vertical="center" wrapText="1"/>
      <protection locked="0"/>
    </xf>
    <xf numFmtId="167" fontId="6" fillId="2" borderId="3" xfId="0" applyNumberFormat="1" applyFont="1" applyFill="1" applyBorder="1" applyAlignment="1" applyProtection="1">
      <alignment horizontal="left" vertical="center" wrapText="1"/>
      <protection locked="0"/>
    </xf>
    <xf numFmtId="167" fontId="6" fillId="2" borderId="1" xfId="0" applyNumberFormat="1" applyFont="1" applyFill="1" applyBorder="1" applyAlignment="1" applyProtection="1">
      <alignment horizontal="left" vertical="center"/>
      <protection locked="0"/>
    </xf>
    <xf numFmtId="167" fontId="6" fillId="2" borderId="14" xfId="0" applyNumberFormat="1" applyFont="1" applyFill="1" applyBorder="1" applyAlignment="1" applyProtection="1">
      <alignment horizontal="left" vertical="top"/>
      <protection locked="0"/>
    </xf>
    <xf numFmtId="167" fontId="6" fillId="2" borderId="4" xfId="0" applyNumberFormat="1" applyFont="1" applyFill="1" applyBorder="1" applyAlignment="1" applyProtection="1">
      <alignment horizontal="left" vertical="top"/>
      <protection locked="0"/>
    </xf>
    <xf numFmtId="167" fontId="6" fillId="2" borderId="34" xfId="0" applyNumberFormat="1" applyFont="1" applyFill="1" applyBorder="1" applyAlignment="1" applyProtection="1">
      <alignment horizontal="left" vertical="center"/>
      <protection locked="0"/>
    </xf>
    <xf numFmtId="167" fontId="6" fillId="2" borderId="34" xfId="0" applyNumberFormat="1" applyFont="1" applyFill="1" applyBorder="1" applyAlignment="1" applyProtection="1">
      <alignment horizontal="left" vertical="center" wrapText="1"/>
      <protection locked="0"/>
    </xf>
    <xf numFmtId="167" fontId="5" fillId="2" borderId="1" xfId="0" applyNumberFormat="1" applyFont="1" applyFill="1" applyBorder="1" applyAlignment="1" applyProtection="1">
      <alignment horizontal="left" vertical="top"/>
      <protection locked="0"/>
    </xf>
    <xf numFmtId="167" fontId="6" fillId="2" borderId="3" xfId="0" applyNumberFormat="1" applyFont="1" applyFill="1" applyBorder="1" applyAlignment="1" applyProtection="1">
      <alignment horizontal="left" vertical="top"/>
      <protection locked="0"/>
    </xf>
    <xf numFmtId="167" fontId="6" fillId="2" borderId="1" xfId="0" applyNumberFormat="1" applyFont="1" applyFill="1" applyBorder="1" applyAlignment="1" applyProtection="1">
      <alignment horizontal="left" vertical="top"/>
      <protection locked="0"/>
    </xf>
    <xf numFmtId="167" fontId="5" fillId="2" borderId="20" xfId="0" applyNumberFormat="1" applyFont="1" applyFill="1" applyBorder="1" applyAlignment="1" applyProtection="1">
      <alignment horizontal="left" vertical="top"/>
      <protection locked="0"/>
    </xf>
    <xf numFmtId="167" fontId="5" fillId="2" borderId="4" xfId="0" applyNumberFormat="1" applyFont="1" applyFill="1" applyBorder="1" applyAlignment="1" applyProtection="1">
      <alignment horizontal="left" vertical="top"/>
      <protection locked="0"/>
    </xf>
    <xf numFmtId="167" fontId="5" fillId="2" borderId="10" xfId="0" applyNumberFormat="1" applyFont="1" applyFill="1" applyBorder="1" applyAlignment="1" applyProtection="1">
      <alignment horizontal="left" vertical="top"/>
      <protection locked="0"/>
    </xf>
    <xf numFmtId="167" fontId="5" fillId="2" borderId="3" xfId="0" applyNumberFormat="1" applyFont="1" applyFill="1" applyBorder="1" applyAlignment="1" applyProtection="1">
      <alignment horizontal="left" vertical="top"/>
      <protection locked="0"/>
    </xf>
    <xf numFmtId="167" fontId="5" fillId="2" borderId="17" xfId="0" applyNumberFormat="1" applyFont="1" applyFill="1" applyBorder="1" applyAlignment="1" applyProtection="1">
      <alignment horizontal="left" vertical="top"/>
      <protection locked="0"/>
    </xf>
    <xf numFmtId="167" fontId="5" fillId="2" borderId="12" xfId="0" applyNumberFormat="1" applyFont="1" applyFill="1" applyBorder="1" applyAlignment="1" applyProtection="1">
      <alignment horizontal="left" vertical="top"/>
      <protection locked="0"/>
    </xf>
    <xf numFmtId="167" fontId="5" fillId="2" borderId="43" xfId="0" applyNumberFormat="1" applyFont="1" applyFill="1" applyBorder="1" applyAlignment="1" applyProtection="1">
      <alignment horizontal="left" vertical="top"/>
      <protection locked="0"/>
    </xf>
    <xf numFmtId="167" fontId="5" fillId="2" borderId="57" xfId="0" applyNumberFormat="1" applyFont="1" applyFill="1" applyBorder="1" applyAlignment="1" applyProtection="1">
      <alignment horizontal="left" vertical="top"/>
      <protection locked="0"/>
    </xf>
    <xf numFmtId="167" fontId="5" fillId="2" borderId="45" xfId="0" applyNumberFormat="1" applyFont="1" applyFill="1" applyBorder="1" applyAlignment="1" applyProtection="1">
      <alignment horizontal="left" vertical="top"/>
      <protection locked="0"/>
    </xf>
    <xf numFmtId="167" fontId="6" fillId="2" borderId="54" xfId="0" applyNumberFormat="1" applyFont="1" applyFill="1" applyBorder="1" applyAlignment="1" applyProtection="1">
      <alignment horizontal="left" vertical="center"/>
      <protection locked="0"/>
    </xf>
    <xf numFmtId="167" fontId="6" fillId="2" borderId="34" xfId="0" applyNumberFormat="1" applyFont="1" applyFill="1" applyBorder="1" applyAlignment="1" applyProtection="1">
      <alignment horizontal="left" vertical="top"/>
      <protection locked="0"/>
    </xf>
    <xf numFmtId="167" fontId="6" fillId="2" borderId="12" xfId="0" applyNumberFormat="1" applyFont="1" applyFill="1" applyBorder="1" applyAlignment="1" applyProtection="1">
      <alignment horizontal="left" vertical="top"/>
      <protection locked="0"/>
    </xf>
    <xf numFmtId="167" fontId="5" fillId="2" borderId="6" xfId="0" applyNumberFormat="1" applyFont="1" applyFill="1" applyBorder="1" applyAlignment="1" applyProtection="1">
      <alignment horizontal="left" vertical="top"/>
      <protection locked="0"/>
    </xf>
    <xf numFmtId="167" fontId="5" fillId="2" borderId="4" xfId="0" applyNumberFormat="1" applyFont="1" applyFill="1" applyBorder="1" applyAlignment="1" applyProtection="1">
      <alignment horizontal="left" vertical="top" wrapText="1"/>
      <protection locked="0"/>
    </xf>
    <xf numFmtId="167" fontId="6" fillId="2" borderId="17" xfId="0" applyNumberFormat="1" applyFont="1" applyFill="1" applyBorder="1" applyAlignment="1" applyProtection="1">
      <alignment horizontal="left" vertical="top"/>
      <protection locked="0"/>
    </xf>
    <xf numFmtId="167" fontId="5" fillId="2" borderId="16" xfId="0" applyNumberFormat="1" applyFont="1" applyFill="1" applyBorder="1" applyAlignment="1" applyProtection="1">
      <alignment horizontal="left" vertical="top"/>
      <protection locked="0"/>
    </xf>
    <xf numFmtId="167" fontId="6" fillId="2" borderId="16" xfId="0" applyNumberFormat="1" applyFont="1" applyFill="1" applyBorder="1" applyAlignment="1" applyProtection="1">
      <alignment horizontal="left" vertical="top"/>
      <protection locked="0"/>
    </xf>
    <xf numFmtId="167" fontId="6" fillId="2" borderId="14" xfId="0" applyNumberFormat="1" applyFont="1" applyFill="1" applyBorder="1" applyAlignment="1">
      <alignment horizontal="left" vertical="top" wrapText="1"/>
    </xf>
    <xf numFmtId="167" fontId="6" fillId="2" borderId="14" xfId="1" applyNumberFormat="1" applyFont="1" applyFill="1" applyBorder="1" applyAlignment="1">
      <alignment horizontal="left" vertical="top" wrapText="1"/>
    </xf>
    <xf numFmtId="167" fontId="5" fillId="2" borderId="14" xfId="0" applyNumberFormat="1" applyFont="1" applyFill="1" applyBorder="1" applyAlignment="1">
      <alignment horizontal="left" vertical="top" wrapText="1"/>
    </xf>
    <xf numFmtId="167" fontId="6" fillId="2" borderId="55" xfId="0" applyNumberFormat="1" applyFont="1" applyFill="1" applyBorder="1" applyAlignment="1" applyProtection="1">
      <alignment horizontal="center" vertical="center"/>
      <protection locked="0"/>
    </xf>
    <xf numFmtId="167" fontId="6" fillId="2" borderId="14" xfId="0" applyNumberFormat="1" applyFont="1" applyFill="1" applyBorder="1" applyAlignment="1">
      <alignment horizontal="center" vertical="top" wrapText="1"/>
    </xf>
    <xf numFmtId="167" fontId="6" fillId="2" borderId="14" xfId="0" applyNumberFormat="1" applyFont="1" applyFill="1" applyBorder="1" applyAlignment="1" applyProtection="1">
      <alignment horizontal="center" vertical="top" wrapText="1"/>
      <protection locked="0"/>
    </xf>
    <xf numFmtId="164" fontId="6" fillId="2" borderId="16" xfId="0" applyNumberFormat="1" applyFont="1" applyFill="1" applyBorder="1" applyAlignment="1">
      <alignment horizontal="center" vertical="top" wrapText="1"/>
    </xf>
    <xf numFmtId="164" fontId="6" fillId="2" borderId="17" xfId="0" applyNumberFormat="1" applyFont="1" applyFill="1" applyBorder="1" applyAlignment="1">
      <alignment horizontal="center" vertical="top" wrapText="1"/>
    </xf>
    <xf numFmtId="0" fontId="5" fillId="2" borderId="16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6" fillId="2" borderId="16" xfId="0" applyFont="1" applyFill="1" applyBorder="1" applyAlignment="1" applyProtection="1">
      <alignment horizontal="center" vertical="top" wrapText="1"/>
      <protection locked="0"/>
    </xf>
    <xf numFmtId="0" fontId="6" fillId="2" borderId="17" xfId="0" applyFont="1" applyFill="1" applyBorder="1" applyAlignment="1" applyProtection="1">
      <alignment horizontal="center" vertical="top" wrapText="1"/>
      <protection locked="0"/>
    </xf>
    <xf numFmtId="0" fontId="5" fillId="2" borderId="16" xfId="0" applyFont="1" applyFill="1" applyBorder="1" applyAlignment="1" applyProtection="1">
      <alignment horizontal="left" vertical="top" wrapText="1"/>
      <protection locked="0"/>
    </xf>
    <xf numFmtId="0" fontId="5" fillId="2" borderId="19" xfId="0" applyFont="1" applyFill="1" applyBorder="1" applyAlignment="1" applyProtection="1">
      <alignment horizontal="left" vertical="top" wrapText="1"/>
      <protection locked="0"/>
    </xf>
    <xf numFmtId="0" fontId="5" fillId="2" borderId="16" xfId="0" applyFont="1" applyFill="1" applyBorder="1" applyAlignment="1" applyProtection="1">
      <alignment horizontal="left" vertical="top"/>
      <protection locked="0"/>
    </xf>
    <xf numFmtId="0" fontId="5" fillId="2" borderId="17" xfId="0" applyFont="1" applyFill="1" applyBorder="1" applyAlignment="1" applyProtection="1">
      <alignment horizontal="left" vertical="top"/>
      <protection locked="0"/>
    </xf>
    <xf numFmtId="0" fontId="5" fillId="2" borderId="9" xfId="0" applyFont="1" applyFill="1" applyBorder="1" applyAlignment="1" applyProtection="1">
      <alignment horizontal="left" vertical="center" wrapText="1"/>
      <protection locked="0"/>
    </xf>
    <xf numFmtId="0" fontId="5" fillId="2" borderId="38" xfId="0" applyFont="1" applyFill="1" applyBorder="1" applyAlignment="1" applyProtection="1">
      <alignment horizontal="left" vertical="center" wrapText="1"/>
      <protection locked="0"/>
    </xf>
    <xf numFmtId="0" fontId="6" fillId="2" borderId="40" xfId="0" applyFont="1" applyFill="1" applyBorder="1" applyAlignment="1" applyProtection="1">
      <alignment horizontal="left" vertical="center"/>
      <protection locked="0"/>
    </xf>
    <xf numFmtId="0" fontId="6" fillId="2" borderId="39" xfId="0" applyFont="1" applyFill="1" applyBorder="1" applyAlignment="1" applyProtection="1">
      <alignment horizontal="left" vertical="center"/>
      <protection locked="0"/>
    </xf>
    <xf numFmtId="0" fontId="6" fillId="2" borderId="41" xfId="0" applyFont="1" applyFill="1" applyBorder="1" applyAlignment="1" applyProtection="1">
      <alignment horizontal="left" vertical="center"/>
      <protection locked="0"/>
    </xf>
    <xf numFmtId="0" fontId="6" fillId="2" borderId="16" xfId="0" applyFont="1" applyFill="1" applyBorder="1" applyAlignment="1" applyProtection="1">
      <alignment horizontal="left" vertical="top" wrapText="1"/>
      <protection locked="0"/>
    </xf>
    <xf numFmtId="0" fontId="6" fillId="2" borderId="17" xfId="0" applyFont="1" applyFill="1" applyBorder="1" applyAlignment="1" applyProtection="1">
      <alignment horizontal="left" vertical="top" wrapText="1"/>
      <protection locked="0"/>
    </xf>
    <xf numFmtId="0" fontId="6" fillId="2" borderId="9" xfId="0" applyFont="1" applyFill="1" applyBorder="1" applyAlignment="1" applyProtection="1">
      <alignment horizontal="left" vertical="top" wrapText="1"/>
      <protection locked="0"/>
    </xf>
    <xf numFmtId="16" fontId="6" fillId="2" borderId="16" xfId="0" applyNumberFormat="1" applyFont="1" applyFill="1" applyBorder="1" applyAlignment="1" applyProtection="1">
      <alignment horizontal="left" vertical="top"/>
      <protection locked="0"/>
    </xf>
    <xf numFmtId="16" fontId="6" fillId="2" borderId="17" xfId="0" applyNumberFormat="1" applyFont="1" applyFill="1" applyBorder="1" applyAlignment="1" applyProtection="1">
      <alignment horizontal="left" vertical="top"/>
      <protection locked="0"/>
    </xf>
    <xf numFmtId="0" fontId="6" fillId="2" borderId="14" xfId="0" applyFont="1" applyFill="1" applyBorder="1" applyAlignment="1">
      <alignment horizontal="left" vertical="top" wrapText="1"/>
    </xf>
    <xf numFmtId="0" fontId="11" fillId="2" borderId="14" xfId="0" applyFont="1" applyFill="1" applyBorder="1" applyAlignment="1">
      <alignment horizontal="left" vertical="top" wrapText="1"/>
    </xf>
    <xf numFmtId="0" fontId="6" fillId="2" borderId="6" xfId="0" applyFont="1" applyFill="1" applyBorder="1" applyAlignment="1" applyProtection="1">
      <alignment horizontal="left" vertical="top"/>
      <protection locked="0"/>
    </xf>
    <xf numFmtId="0" fontId="6" fillId="2" borderId="12" xfId="0" applyFont="1" applyFill="1" applyBorder="1" applyAlignment="1" applyProtection="1">
      <alignment horizontal="left" vertical="top"/>
      <protection locked="0"/>
    </xf>
    <xf numFmtId="0" fontId="6" fillId="2" borderId="14" xfId="0" applyFont="1" applyFill="1" applyBorder="1" applyAlignment="1" applyProtection="1">
      <alignment horizontal="left" vertical="top" wrapText="1"/>
      <protection locked="0"/>
    </xf>
    <xf numFmtId="0" fontId="5" fillId="2" borderId="15" xfId="0" applyFont="1" applyFill="1" applyBorder="1" applyAlignment="1" applyProtection="1">
      <alignment horizontal="left" vertical="top" wrapText="1"/>
      <protection locked="0"/>
    </xf>
    <xf numFmtId="0" fontId="5" fillId="2" borderId="42" xfId="0" applyFont="1" applyFill="1" applyBorder="1" applyAlignment="1" applyProtection="1">
      <alignment horizontal="left" vertical="top" wrapText="1"/>
      <protection locked="0"/>
    </xf>
    <xf numFmtId="0" fontId="5" fillId="2" borderId="17" xfId="0" applyFont="1" applyFill="1" applyBorder="1" applyAlignment="1" applyProtection="1">
      <alignment horizontal="left" vertical="top" wrapText="1"/>
      <protection locked="0"/>
    </xf>
    <xf numFmtId="0" fontId="5" fillId="2" borderId="14" xfId="0" applyFont="1" applyFill="1" applyBorder="1" applyAlignment="1" applyProtection="1">
      <alignment horizontal="center" vertical="top" wrapText="1"/>
      <protection locked="0"/>
    </xf>
    <xf numFmtId="0" fontId="6" fillId="2" borderId="4" xfId="0" applyFont="1" applyFill="1" applyBorder="1" applyAlignment="1" applyProtection="1">
      <alignment horizontal="center" vertical="top"/>
      <protection locked="0"/>
    </xf>
    <xf numFmtId="0" fontId="6" fillId="2" borderId="6" xfId="0" applyFont="1" applyFill="1" applyBorder="1" applyAlignment="1" applyProtection="1">
      <alignment horizontal="center" vertical="top"/>
      <protection locked="0"/>
    </xf>
    <xf numFmtId="0" fontId="6" fillId="2" borderId="3" xfId="0" applyFont="1" applyFill="1" applyBorder="1" applyAlignment="1" applyProtection="1">
      <alignment horizontal="center" vertical="top"/>
      <protection locked="0"/>
    </xf>
    <xf numFmtId="0" fontId="6" fillId="2" borderId="21" xfId="0" applyFont="1" applyFill="1" applyBorder="1" applyAlignment="1" applyProtection="1">
      <alignment horizontal="left" vertical="top" wrapText="1"/>
      <protection locked="0"/>
    </xf>
    <xf numFmtId="0" fontId="6" fillId="2" borderId="7" xfId="0" applyFont="1" applyFill="1" applyBorder="1" applyAlignment="1" applyProtection="1">
      <alignment horizontal="left" vertical="top" wrapText="1"/>
      <protection locked="0"/>
    </xf>
    <xf numFmtId="0" fontId="6" fillId="2" borderId="16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52" xfId="0" applyFont="1" applyFill="1" applyBorder="1" applyAlignment="1">
      <alignment horizontal="center"/>
    </xf>
    <xf numFmtId="167" fontId="6" fillId="2" borderId="2" xfId="0" applyNumberFormat="1" applyFont="1" applyFill="1" applyBorder="1" applyAlignment="1" applyProtection="1">
      <alignment horizontal="left" vertical="center" wrapText="1"/>
      <protection locked="0"/>
    </xf>
    <xf numFmtId="167" fontId="6" fillId="2" borderId="30" xfId="0" applyNumberFormat="1" applyFont="1" applyFill="1" applyBorder="1" applyAlignment="1" applyProtection="1">
      <alignment horizontal="left" vertical="center" wrapText="1"/>
      <protection locked="0"/>
    </xf>
    <xf numFmtId="167" fontId="6" fillId="2" borderId="5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9" xfId="0" applyFont="1" applyFill="1" applyBorder="1" applyAlignment="1" applyProtection="1">
      <alignment horizontal="left" vertical="top"/>
      <protection locked="0"/>
    </xf>
    <xf numFmtId="0" fontId="5" fillId="2" borderId="14" xfId="0" applyNumberFormat="1" applyFont="1" applyFill="1" applyBorder="1" applyAlignment="1" applyProtection="1">
      <alignment horizontal="left" vertical="top" wrapText="1"/>
      <protection locked="0"/>
    </xf>
    <xf numFmtId="0" fontId="5" fillId="2" borderId="16" xfId="0" applyNumberFormat="1" applyFont="1" applyFill="1" applyBorder="1" applyAlignment="1" applyProtection="1">
      <alignment horizontal="left" vertical="top" wrapText="1"/>
      <protection locked="0"/>
    </xf>
    <xf numFmtId="0" fontId="5" fillId="2" borderId="6" xfId="0" applyFont="1" applyFill="1" applyBorder="1" applyAlignment="1" applyProtection="1">
      <alignment horizontal="left" vertical="top" wrapText="1"/>
      <protection locked="0"/>
    </xf>
    <xf numFmtId="0" fontId="5" fillId="2" borderId="12" xfId="0" applyFont="1" applyFill="1" applyBorder="1" applyAlignment="1" applyProtection="1">
      <alignment horizontal="left" vertical="top" wrapText="1"/>
      <protection locked="0"/>
    </xf>
    <xf numFmtId="0" fontId="5" fillId="2" borderId="16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left" vertical="top" wrapText="1"/>
    </xf>
    <xf numFmtId="167" fontId="5" fillId="2" borderId="21" xfId="0" applyNumberFormat="1" applyFont="1" applyFill="1" applyBorder="1" applyAlignment="1" applyProtection="1">
      <alignment horizontal="left" vertical="center" wrapText="1"/>
      <protection locked="0"/>
    </xf>
    <xf numFmtId="167" fontId="5" fillId="2" borderId="35" xfId="0" applyNumberFormat="1" applyFont="1" applyFill="1" applyBorder="1" applyAlignment="1" applyProtection="1">
      <alignment horizontal="left" vertical="center" wrapText="1"/>
      <protection locked="0"/>
    </xf>
    <xf numFmtId="167" fontId="5" fillId="2" borderId="36" xfId="0" applyNumberFormat="1" applyFont="1" applyFill="1" applyBorder="1" applyAlignment="1" applyProtection="1">
      <alignment horizontal="left" vertical="center" wrapText="1"/>
      <protection locked="0"/>
    </xf>
    <xf numFmtId="167" fontId="5" fillId="2" borderId="9" xfId="0" applyNumberFormat="1" applyFont="1" applyFill="1" applyBorder="1" applyAlignment="1" applyProtection="1">
      <alignment horizontal="left" vertical="center" wrapText="1"/>
      <protection locked="0"/>
    </xf>
    <xf numFmtId="167" fontId="5" fillId="2" borderId="0" xfId="0" applyNumberFormat="1" applyFont="1" applyFill="1" applyBorder="1" applyAlignment="1" applyProtection="1">
      <alignment horizontal="left" vertical="center" wrapText="1"/>
      <protection locked="0"/>
    </xf>
    <xf numFmtId="167" fontId="5" fillId="2" borderId="31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4" xfId="0" applyFont="1" applyFill="1" applyBorder="1" applyAlignment="1" applyProtection="1">
      <alignment horizontal="left" vertical="top" wrapText="1"/>
      <protection locked="0"/>
    </xf>
    <xf numFmtId="0" fontId="5" fillId="2" borderId="58" xfId="0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/>
    <xf numFmtId="0" fontId="5" fillId="2" borderId="46" xfId="0" applyFont="1" applyFill="1" applyBorder="1" applyAlignment="1" applyProtection="1">
      <alignment horizontal="left" vertical="top" wrapText="1"/>
      <protection locked="0"/>
    </xf>
    <xf numFmtId="0" fontId="5" fillId="2" borderId="13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5" fillId="2" borderId="40" xfId="0" applyFont="1" applyFill="1" applyBorder="1" applyAlignment="1" applyProtection="1">
      <alignment horizontal="left" vertical="top" wrapText="1"/>
      <protection locked="0"/>
    </xf>
    <xf numFmtId="0" fontId="5" fillId="2" borderId="9" xfId="0" applyFont="1" applyFill="1" applyBorder="1" applyAlignment="1" applyProtection="1">
      <alignment horizontal="left" vertical="top" wrapText="1"/>
      <protection locked="0"/>
    </xf>
    <xf numFmtId="0" fontId="5" fillId="2" borderId="38" xfId="0" applyFont="1" applyFill="1" applyBorder="1" applyAlignment="1" applyProtection="1">
      <alignment horizontal="left" vertical="top" wrapText="1"/>
      <protection locked="0"/>
    </xf>
    <xf numFmtId="0" fontId="6" fillId="2" borderId="6" xfId="0" applyFont="1" applyFill="1" applyBorder="1" applyAlignment="1" applyProtection="1">
      <alignment horizontal="left" vertical="top" wrapText="1"/>
      <protection locked="0"/>
    </xf>
    <xf numFmtId="0" fontId="6" fillId="2" borderId="12" xfId="0" applyFont="1" applyFill="1" applyBorder="1" applyAlignment="1" applyProtection="1">
      <alignment horizontal="left" vertical="top" wrapText="1"/>
      <protection locked="0"/>
    </xf>
    <xf numFmtId="0" fontId="6" fillId="2" borderId="15" xfId="0" applyFont="1" applyFill="1" applyBorder="1" applyAlignment="1">
      <alignment horizontal="left" vertical="top" wrapText="1"/>
    </xf>
    <xf numFmtId="0" fontId="6" fillId="2" borderId="42" xfId="0" applyFont="1" applyFill="1" applyBorder="1" applyAlignment="1">
      <alignment horizontal="left" vertical="top" wrapText="1"/>
    </xf>
    <xf numFmtId="2" fontId="5" fillId="2" borderId="19" xfId="0" applyNumberFormat="1" applyFont="1" applyFill="1" applyBorder="1" applyAlignment="1" applyProtection="1">
      <alignment horizontal="left" vertical="top" wrapText="1"/>
      <protection locked="0"/>
    </xf>
    <xf numFmtId="2" fontId="5" fillId="2" borderId="17" xfId="0" applyNumberFormat="1" applyFont="1" applyFill="1" applyBorder="1" applyAlignment="1" applyProtection="1">
      <alignment horizontal="left" vertical="top" wrapText="1"/>
      <protection locked="0"/>
    </xf>
    <xf numFmtId="0" fontId="5" fillId="2" borderId="14" xfId="0" applyFont="1" applyFill="1" applyBorder="1" applyAlignment="1" applyProtection="1">
      <alignment horizontal="left" vertical="top"/>
      <protection locked="0"/>
    </xf>
    <xf numFmtId="14" fontId="5" fillId="2" borderId="16" xfId="0" applyNumberFormat="1" applyFont="1" applyFill="1" applyBorder="1" applyAlignment="1" applyProtection="1">
      <alignment horizontal="left" vertical="top"/>
      <protection locked="0"/>
    </xf>
    <xf numFmtId="14" fontId="5" fillId="2" borderId="19" xfId="0" applyNumberFormat="1" applyFont="1" applyFill="1" applyBorder="1" applyAlignment="1" applyProtection="1">
      <alignment horizontal="left" vertical="top"/>
      <protection locked="0"/>
    </xf>
    <xf numFmtId="14" fontId="5" fillId="2" borderId="17" xfId="0" applyNumberFormat="1" applyFont="1" applyFill="1" applyBorder="1" applyAlignment="1" applyProtection="1">
      <alignment horizontal="left" vertical="top"/>
      <protection locked="0"/>
    </xf>
    <xf numFmtId="0" fontId="5" fillId="2" borderId="36" xfId="0" applyFont="1" applyFill="1" applyBorder="1" applyAlignment="1" applyProtection="1">
      <alignment horizontal="left" vertical="top" wrapText="1"/>
      <protection locked="0"/>
    </xf>
    <xf numFmtId="0" fontId="5" fillId="2" borderId="18" xfId="0" applyFont="1" applyFill="1" applyBorder="1" applyAlignment="1" applyProtection="1">
      <alignment horizontal="left" vertical="top" wrapText="1"/>
      <protection locked="0"/>
    </xf>
    <xf numFmtId="16" fontId="5" fillId="2" borderId="6" xfId="0" applyNumberFormat="1" applyFont="1" applyFill="1" applyBorder="1" applyAlignment="1" applyProtection="1">
      <alignment horizontal="left" vertical="top"/>
      <protection locked="0"/>
    </xf>
    <xf numFmtId="16" fontId="5" fillId="2" borderId="12" xfId="0" applyNumberFormat="1" applyFont="1" applyFill="1" applyBorder="1" applyAlignment="1" applyProtection="1">
      <alignment horizontal="left" vertical="top"/>
      <protection locked="0"/>
    </xf>
    <xf numFmtId="0" fontId="5" fillId="2" borderId="31" xfId="0" applyFont="1" applyFill="1" applyBorder="1" applyAlignment="1" applyProtection="1">
      <alignment horizontal="left" vertical="top"/>
      <protection locked="0"/>
    </xf>
    <xf numFmtId="0" fontId="5" fillId="2" borderId="18" xfId="0" applyFont="1" applyFill="1" applyBorder="1" applyAlignment="1" applyProtection="1">
      <alignment horizontal="left" vertical="top"/>
      <protection locked="0"/>
    </xf>
    <xf numFmtId="2" fontId="5" fillId="2" borderId="16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right" vertical="center" wrapText="1"/>
    </xf>
    <xf numFmtId="0" fontId="5" fillId="2" borderId="0" xfId="0" applyFont="1" applyFill="1" applyAlignment="1" applyProtection="1">
      <alignment horizontal="right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top" wrapText="1"/>
      <protection locked="0"/>
    </xf>
    <xf numFmtId="0" fontId="5" fillId="2" borderId="3" xfId="0" applyFont="1" applyFill="1" applyBorder="1" applyAlignment="1" applyProtection="1">
      <alignment horizontal="center" vertical="top" wrapText="1"/>
      <protection locked="0"/>
    </xf>
    <xf numFmtId="0" fontId="6" fillId="2" borderId="23" xfId="0" applyFont="1" applyFill="1" applyBorder="1" applyAlignment="1">
      <alignment horizontal="center" vertical="top" wrapText="1"/>
    </xf>
    <xf numFmtId="0" fontId="6" fillId="2" borderId="24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center" vertical="top" wrapText="1"/>
    </xf>
    <xf numFmtId="0" fontId="6" fillId="2" borderId="26" xfId="0" applyFont="1" applyFill="1" applyBorder="1" applyAlignment="1">
      <alignment horizontal="center" vertical="top" wrapText="1"/>
    </xf>
    <xf numFmtId="0" fontId="6" fillId="2" borderId="27" xfId="0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center" vertical="top" wrapText="1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12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left" vertical="top"/>
      <protection locked="0"/>
    </xf>
    <xf numFmtId="0" fontId="5" fillId="2" borderId="12" xfId="0" applyFont="1" applyFill="1" applyBorder="1" applyAlignment="1" applyProtection="1">
      <alignment horizontal="left" vertical="top"/>
      <protection locked="0"/>
    </xf>
    <xf numFmtId="167" fontId="6" fillId="2" borderId="21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9" xfId="0" applyFont="1" applyFill="1" applyBorder="1" applyAlignment="1" applyProtection="1">
      <alignment horizontal="center" vertical="top" wrapText="1"/>
      <protection locked="0"/>
    </xf>
    <xf numFmtId="0" fontId="6" fillId="2" borderId="16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top" wrapText="1"/>
    </xf>
    <xf numFmtId="0" fontId="5" fillId="2" borderId="37" xfId="0" applyFont="1" applyFill="1" applyBorder="1" applyAlignment="1" applyProtection="1">
      <alignment horizontal="left"/>
      <protection locked="0"/>
    </xf>
    <xf numFmtId="0" fontId="5" fillId="2" borderId="42" xfId="0" applyFont="1" applyFill="1" applyBorder="1" applyAlignment="1" applyProtection="1">
      <alignment horizontal="left"/>
      <protection locked="0"/>
    </xf>
    <xf numFmtId="0" fontId="8" fillId="2" borderId="14" xfId="0" applyFont="1" applyFill="1" applyBorder="1" applyAlignment="1">
      <alignment horizontal="left" vertical="top" wrapText="1"/>
    </xf>
    <xf numFmtId="0" fontId="12" fillId="2" borderId="14" xfId="0" applyFont="1" applyFill="1" applyBorder="1" applyAlignment="1">
      <alignment horizontal="left" vertical="top" wrapText="1"/>
    </xf>
    <xf numFmtId="0" fontId="5" fillId="2" borderId="13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 applyProtection="1">
      <alignment horizontal="left"/>
      <protection locked="0"/>
    </xf>
    <xf numFmtId="0" fontId="6" fillId="2" borderId="14" xfId="0" applyFont="1" applyFill="1" applyBorder="1" applyAlignment="1" applyProtection="1">
      <alignment horizontal="left" vertical="top"/>
      <protection locked="0"/>
    </xf>
    <xf numFmtId="0" fontId="6" fillId="2" borderId="19" xfId="0" applyFont="1" applyFill="1" applyBorder="1" applyAlignment="1" applyProtection="1">
      <alignment horizontal="left" vertical="top" wrapText="1"/>
      <protection locked="0"/>
    </xf>
    <xf numFmtId="167" fontId="3" fillId="2" borderId="14" xfId="0" applyNumberFormat="1" applyFont="1" applyFill="1" applyBorder="1" applyAlignment="1" applyProtection="1">
      <alignment horizontal="center" vertical="top" wrapText="1"/>
      <protection locked="0"/>
    </xf>
    <xf numFmtId="167" fontId="3" fillId="2" borderId="16" xfId="0" applyNumberFormat="1" applyFont="1" applyFill="1" applyBorder="1" applyAlignment="1" applyProtection="1">
      <alignment horizontal="center" vertical="top" wrapText="1"/>
      <protection locked="0"/>
    </xf>
    <xf numFmtId="167" fontId="3" fillId="2" borderId="19" xfId="0" applyNumberFormat="1" applyFont="1" applyFill="1" applyBorder="1" applyAlignment="1" applyProtection="1">
      <alignment horizontal="center" vertical="top" wrapText="1"/>
      <protection locked="0"/>
    </xf>
    <xf numFmtId="167" fontId="3" fillId="2" borderId="17" xfId="0" applyNumberFormat="1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Alignment="1"/>
    <xf numFmtId="0" fontId="6" fillId="2" borderId="14" xfId="0" applyFont="1" applyFill="1" applyBorder="1" applyAlignment="1" applyProtection="1">
      <alignment horizontal="center" vertical="top" wrapText="1"/>
      <protection locked="0"/>
    </xf>
    <xf numFmtId="0" fontId="6" fillId="2" borderId="29" xfId="0" applyFont="1" applyFill="1" applyBorder="1" applyAlignment="1">
      <alignment horizontal="left" vertical="top" wrapText="1"/>
    </xf>
    <xf numFmtId="0" fontId="6" fillId="2" borderId="33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left" vertical="top" wrapText="1"/>
    </xf>
    <xf numFmtId="0" fontId="6" fillId="2" borderId="17" xfId="0" applyFont="1" applyFill="1" applyBorder="1" applyAlignment="1">
      <alignment horizontal="left" vertical="top" wrapText="1"/>
    </xf>
    <xf numFmtId="167" fontId="6" fillId="2" borderId="14" xfId="0" applyNumberFormat="1" applyFont="1" applyFill="1" applyBorder="1" applyAlignment="1" applyProtection="1">
      <alignment horizontal="center" vertical="top" wrapText="1"/>
      <protection locked="0"/>
    </xf>
    <xf numFmtId="167" fontId="6" fillId="2" borderId="16" xfId="0" applyNumberFormat="1" applyFont="1" applyFill="1" applyBorder="1" applyAlignment="1" applyProtection="1">
      <alignment horizontal="center" vertical="top" wrapText="1"/>
      <protection locked="0"/>
    </xf>
    <xf numFmtId="167" fontId="6" fillId="2" borderId="17" xfId="0" applyNumberFormat="1" applyFont="1" applyFill="1" applyBorder="1" applyAlignment="1" applyProtection="1">
      <alignment horizontal="center" vertical="top" wrapText="1"/>
      <protection locked="0"/>
    </xf>
    <xf numFmtId="167" fontId="6" fillId="2" borderId="16" xfId="0" applyNumberFormat="1" applyFont="1" applyFill="1" applyBorder="1" applyAlignment="1">
      <alignment horizontal="center" vertical="top" wrapText="1"/>
    </xf>
    <xf numFmtId="167" fontId="6" fillId="2" borderId="17" xfId="0" applyNumberFormat="1" applyFont="1" applyFill="1" applyBorder="1" applyAlignment="1">
      <alignment horizontal="center" vertical="top" wrapText="1"/>
    </xf>
    <xf numFmtId="0" fontId="6" fillId="2" borderId="47" xfId="0" applyFont="1" applyFill="1" applyBorder="1" applyAlignment="1">
      <alignment horizontal="left" vertical="top" wrapText="1"/>
    </xf>
    <xf numFmtId="0" fontId="6" fillId="2" borderId="39" xfId="0" applyFont="1" applyFill="1" applyBorder="1" applyAlignment="1">
      <alignment horizontal="left" vertical="top" wrapText="1"/>
    </xf>
    <xf numFmtId="0" fontId="6" fillId="2" borderId="14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top" wrapText="1"/>
    </xf>
    <xf numFmtId="0" fontId="5" fillId="2" borderId="33" xfId="0" applyFont="1" applyFill="1" applyBorder="1" applyAlignment="1">
      <alignment horizontal="center" vertical="top" wrapText="1"/>
    </xf>
    <xf numFmtId="0" fontId="5" fillId="2" borderId="55" xfId="0" applyFont="1" applyFill="1" applyBorder="1" applyAlignment="1">
      <alignment horizontal="center" vertical="top" wrapText="1"/>
    </xf>
    <xf numFmtId="0" fontId="3" fillId="2" borderId="35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45" xfId="0" applyFont="1" applyFill="1" applyBorder="1" applyAlignment="1">
      <alignment horizontal="left" vertical="top" wrapText="1"/>
    </xf>
    <xf numFmtId="167" fontId="3" fillId="2" borderId="4" xfId="0" applyNumberFormat="1" applyFont="1" applyFill="1" applyBorder="1" applyAlignment="1" applyProtection="1">
      <alignment horizontal="center" vertical="top" wrapText="1"/>
      <protection locked="0"/>
    </xf>
    <xf numFmtId="167" fontId="3" fillId="2" borderId="6" xfId="0" applyNumberFormat="1" applyFont="1" applyFill="1" applyBorder="1" applyAlignment="1" applyProtection="1">
      <alignment horizontal="center" vertical="top" wrapText="1"/>
      <protection locked="0"/>
    </xf>
    <xf numFmtId="167" fontId="3" fillId="2" borderId="12" xfId="0" applyNumberFormat="1" applyFont="1" applyFill="1" applyBorder="1" applyAlignment="1" applyProtection="1">
      <alignment horizontal="center" vertical="top" wrapText="1"/>
      <protection locked="0"/>
    </xf>
    <xf numFmtId="167" fontId="3" fillId="2" borderId="4" xfId="0" applyNumberFormat="1" applyFont="1" applyFill="1" applyBorder="1" applyAlignment="1">
      <alignment horizontal="center" vertical="top" wrapText="1"/>
    </xf>
    <xf numFmtId="167" fontId="3" fillId="2" borderId="6" xfId="0" applyNumberFormat="1" applyFont="1" applyFill="1" applyBorder="1" applyAlignment="1">
      <alignment horizontal="center" vertical="top" wrapText="1"/>
    </xf>
    <xf numFmtId="167" fontId="3" fillId="2" borderId="12" xfId="0" applyNumberFormat="1" applyFont="1" applyFill="1" applyBorder="1" applyAlignment="1">
      <alignment horizontal="center" vertical="top" wrapText="1"/>
    </xf>
    <xf numFmtId="167" fontId="3" fillId="2" borderId="38" xfId="0" applyNumberFormat="1" applyFont="1" applyFill="1" applyBorder="1" applyAlignment="1" applyProtection="1">
      <alignment horizontal="center" vertical="top" wrapText="1"/>
      <protection locked="0"/>
    </xf>
    <xf numFmtId="167" fontId="3" fillId="2" borderId="20" xfId="0" applyNumberFormat="1" applyFont="1" applyFill="1" applyBorder="1" applyAlignment="1" applyProtection="1">
      <alignment horizontal="center" vertical="top" wrapText="1"/>
      <protection locked="0"/>
    </xf>
    <xf numFmtId="167" fontId="3" fillId="2" borderId="11" xfId="0" applyNumberFormat="1" applyFont="1" applyFill="1" applyBorder="1" applyAlignment="1" applyProtection="1">
      <alignment horizontal="center" vertical="top" wrapText="1"/>
      <protection locked="0"/>
    </xf>
    <xf numFmtId="167" fontId="3" fillId="2" borderId="50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6" fillId="2" borderId="29" xfId="0" applyFont="1" applyFill="1" applyBorder="1" applyAlignment="1" applyProtection="1">
      <alignment horizontal="left" vertical="top" wrapText="1"/>
      <protection locked="0"/>
    </xf>
    <xf numFmtId="0" fontId="5" fillId="2" borderId="33" xfId="0" applyFont="1" applyFill="1" applyBorder="1" applyAlignment="1" applyProtection="1">
      <alignment horizontal="left" vertical="top" wrapText="1"/>
      <protection locked="0"/>
    </xf>
    <xf numFmtId="0" fontId="5" fillId="2" borderId="22" xfId="0" applyFont="1" applyFill="1" applyBorder="1" applyAlignment="1" applyProtection="1">
      <alignment horizontal="left" vertical="top" wrapText="1"/>
      <protection locked="0"/>
    </xf>
    <xf numFmtId="0" fontId="6" fillId="2" borderId="11" xfId="0" applyFont="1" applyFill="1" applyBorder="1" applyAlignment="1">
      <alignment horizontal="left" vertical="top" wrapText="1"/>
    </xf>
    <xf numFmtId="167" fontId="3" fillId="2" borderId="14" xfId="0" applyNumberFormat="1" applyFont="1" applyFill="1" applyBorder="1" applyAlignment="1">
      <alignment horizontal="center" vertical="top" wrapText="1"/>
    </xf>
    <xf numFmtId="167" fontId="3" fillId="2" borderId="14" xfId="0" applyNumberFormat="1" applyFont="1" applyFill="1" applyBorder="1" applyAlignment="1" applyProtection="1">
      <alignment horizontal="left" vertical="top" wrapText="1"/>
      <protection locked="0"/>
    </xf>
    <xf numFmtId="167" fontId="3" fillId="2" borderId="14" xfId="0" applyNumberFormat="1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center" vertical="top" wrapText="1"/>
    </xf>
    <xf numFmtId="0" fontId="6" fillId="2" borderId="48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4"/>
  <sheetViews>
    <sheetView topLeftCell="A76" zoomScale="80" zoomScaleNormal="80" zoomScaleSheetLayoutView="50" workbookViewId="0">
      <selection activeCell="J1" sqref="J1:M1"/>
    </sheetView>
  </sheetViews>
  <sheetFormatPr defaultColWidth="9.125" defaultRowHeight="15.75" x14ac:dyDescent="0.25"/>
  <cols>
    <col min="1" max="1" width="5.25" style="32" customWidth="1"/>
    <col min="2" max="2" width="39.75" style="32" customWidth="1"/>
    <col min="3" max="3" width="11.875" style="32" customWidth="1"/>
    <col min="4" max="4" width="22.25" style="32" customWidth="1"/>
    <col min="5" max="5" width="19.25" style="32" customWidth="1"/>
    <col min="6" max="6" width="14.625" style="32" customWidth="1"/>
    <col min="7" max="7" width="13.75" style="32" customWidth="1"/>
    <col min="8" max="9" width="13.625" style="32" customWidth="1"/>
    <col min="10" max="11" width="13.5" style="32" customWidth="1"/>
    <col min="12" max="12" width="17.125" style="32" customWidth="1"/>
    <col min="13" max="13" width="28.875" style="32" customWidth="1"/>
    <col min="14" max="14" width="20.125" style="32" customWidth="1"/>
    <col min="15" max="22" width="9.125" style="32"/>
    <col min="23" max="23" width="11.375" style="32" bestFit="1" customWidth="1"/>
    <col min="24" max="16384" width="9.125" style="32"/>
  </cols>
  <sheetData>
    <row r="1" spans="1:17" ht="73.5" customHeight="1" x14ac:dyDescent="0.25">
      <c r="J1" s="291" t="s">
        <v>179</v>
      </c>
      <c r="K1" s="291"/>
      <c r="L1" s="291"/>
      <c r="M1" s="291"/>
      <c r="N1" s="131"/>
      <c r="O1" s="131"/>
      <c r="P1" s="131"/>
      <c r="Q1" s="131"/>
    </row>
    <row r="2" spans="1:17" ht="19.5" customHeight="1" x14ac:dyDescent="0.25">
      <c r="A2" s="33"/>
      <c r="B2" s="33"/>
      <c r="C2" s="33"/>
      <c r="D2" s="33"/>
      <c r="E2" s="33"/>
      <c r="F2" s="33"/>
      <c r="G2" s="33"/>
      <c r="H2" s="34"/>
      <c r="I2" s="34"/>
      <c r="J2" s="292" t="s">
        <v>0</v>
      </c>
      <c r="K2" s="292"/>
      <c r="L2" s="292"/>
      <c r="M2" s="292"/>
    </row>
    <row r="3" spans="1:17" ht="56.45" customHeight="1" thickBot="1" x14ac:dyDescent="0.3">
      <c r="A3" s="293" t="s">
        <v>167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</row>
    <row r="4" spans="1:17" ht="29.25" customHeight="1" x14ac:dyDescent="0.25">
      <c r="A4" s="294" t="s">
        <v>1</v>
      </c>
      <c r="B4" s="296" t="s">
        <v>58</v>
      </c>
      <c r="C4" s="296" t="s">
        <v>59</v>
      </c>
      <c r="D4" s="296" t="s">
        <v>2</v>
      </c>
      <c r="E4" s="296" t="s">
        <v>98</v>
      </c>
      <c r="F4" s="296" t="s">
        <v>60</v>
      </c>
      <c r="G4" s="297" t="s">
        <v>61</v>
      </c>
      <c r="H4" s="298"/>
      <c r="I4" s="298"/>
      <c r="J4" s="298"/>
      <c r="K4" s="299"/>
      <c r="L4" s="296" t="s">
        <v>3</v>
      </c>
      <c r="M4" s="300" t="s">
        <v>62</v>
      </c>
    </row>
    <row r="5" spans="1:17" ht="99" customHeight="1" x14ac:dyDescent="0.25">
      <c r="A5" s="295"/>
      <c r="B5" s="240"/>
      <c r="C5" s="240"/>
      <c r="D5" s="240"/>
      <c r="E5" s="240"/>
      <c r="F5" s="240"/>
      <c r="G5" s="140">
        <v>2017</v>
      </c>
      <c r="H5" s="140">
        <v>2018</v>
      </c>
      <c r="I5" s="140">
        <v>2019</v>
      </c>
      <c r="J5" s="140">
        <v>2020</v>
      </c>
      <c r="K5" s="140">
        <v>2021</v>
      </c>
      <c r="L5" s="240"/>
      <c r="M5" s="301"/>
    </row>
    <row r="6" spans="1:17" s="38" customFormat="1" ht="16.149999999999999" customHeight="1" x14ac:dyDescent="0.25">
      <c r="A6" s="35">
        <v>1</v>
      </c>
      <c r="B6" s="35">
        <v>2</v>
      </c>
      <c r="C6" s="36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7">
        <v>12</v>
      </c>
      <c r="M6" s="37">
        <v>13</v>
      </c>
    </row>
    <row r="7" spans="1:17" ht="30" customHeight="1" x14ac:dyDescent="0.25">
      <c r="A7" s="233" t="s">
        <v>4</v>
      </c>
      <c r="B7" s="236" t="s">
        <v>102</v>
      </c>
      <c r="C7" s="238" t="s">
        <v>70</v>
      </c>
      <c r="D7" s="39" t="s">
        <v>5</v>
      </c>
      <c r="E7" s="142">
        <f>SUM(E8:E13)</f>
        <v>71537.790000000008</v>
      </c>
      <c r="F7" s="142">
        <f>SUM(G7:K7)</f>
        <v>198907.30225000001</v>
      </c>
      <c r="G7" s="142">
        <f>G8+G10+G13+G12</f>
        <v>9274.7029999999995</v>
      </c>
      <c r="H7" s="142">
        <f>H8+H10+H13+H12</f>
        <v>20522.5</v>
      </c>
      <c r="I7" s="142">
        <f>I8+I10+I13+I12</f>
        <v>136550.09925</v>
      </c>
      <c r="J7" s="142">
        <f>J8+J10+J13+J12</f>
        <v>16280</v>
      </c>
      <c r="K7" s="142">
        <f>K8+K10+K13+K12</f>
        <v>16280</v>
      </c>
      <c r="L7" s="241"/>
      <c r="M7" s="244"/>
    </row>
    <row r="8" spans="1:17" s="27" customFormat="1" ht="39.6" customHeight="1" x14ac:dyDescent="0.25">
      <c r="A8" s="234"/>
      <c r="B8" s="221"/>
      <c r="C8" s="239"/>
      <c r="D8" s="40" t="s">
        <v>90</v>
      </c>
      <c r="E8" s="143">
        <f>E21</f>
        <v>48890.37</v>
      </c>
      <c r="F8" s="142">
        <f>SUM(G8:K8)</f>
        <v>0</v>
      </c>
      <c r="G8" s="142">
        <v>0</v>
      </c>
      <c r="H8" s="142">
        <v>0</v>
      </c>
      <c r="I8" s="142">
        <v>0</v>
      </c>
      <c r="J8" s="142">
        <v>0</v>
      </c>
      <c r="K8" s="142">
        <v>0</v>
      </c>
      <c r="L8" s="242"/>
      <c r="M8" s="245"/>
    </row>
    <row r="9" spans="1:17" s="27" customFormat="1" ht="70.150000000000006" customHeight="1" x14ac:dyDescent="0.25">
      <c r="A9" s="234"/>
      <c r="B9" s="221"/>
      <c r="C9" s="239"/>
      <c r="D9" s="40" t="s">
        <v>55</v>
      </c>
      <c r="E9" s="143">
        <f>E20</f>
        <v>8039</v>
      </c>
      <c r="F9" s="247" t="s">
        <v>91</v>
      </c>
      <c r="G9" s="248"/>
      <c r="H9" s="248"/>
      <c r="I9" s="248"/>
      <c r="J9" s="248"/>
      <c r="K9" s="249"/>
      <c r="L9" s="242"/>
      <c r="M9" s="245"/>
    </row>
    <row r="10" spans="1:17" s="27" customFormat="1" ht="33" customHeight="1" x14ac:dyDescent="0.25">
      <c r="A10" s="234"/>
      <c r="B10" s="221"/>
      <c r="C10" s="239"/>
      <c r="D10" s="17" t="s">
        <v>54</v>
      </c>
      <c r="E10" s="144">
        <f>E14+E17+E19+E22</f>
        <v>14608.42</v>
      </c>
      <c r="F10" s="145">
        <f>SUM(G10:K10)</f>
        <v>82974.475489999997</v>
      </c>
      <c r="G10" s="146">
        <f>G14+G17+G19</f>
        <v>9077.6</v>
      </c>
      <c r="H10" s="146">
        <f>H14+H17+H19</f>
        <v>20272.5</v>
      </c>
      <c r="I10" s="146">
        <f>I14+I17+I19+I22</f>
        <v>21064.375489999999</v>
      </c>
      <c r="J10" s="146">
        <f>J14+J17+J19</f>
        <v>16280</v>
      </c>
      <c r="K10" s="146">
        <f>K14+K17+K19</f>
        <v>16280</v>
      </c>
      <c r="L10" s="242"/>
      <c r="M10" s="245"/>
    </row>
    <row r="11" spans="1:17" s="27" customFormat="1" ht="81.75" customHeight="1" x14ac:dyDescent="0.25">
      <c r="A11" s="234"/>
      <c r="B11" s="221"/>
      <c r="C11" s="239"/>
      <c r="D11" s="114" t="s">
        <v>135</v>
      </c>
      <c r="E11" s="147">
        <v>0</v>
      </c>
      <c r="F11" s="147">
        <f>SUM(G11:K11)</f>
        <v>5321.5897800000002</v>
      </c>
      <c r="G11" s="147">
        <f>G19</f>
        <v>0</v>
      </c>
      <c r="H11" s="147">
        <f t="shared" ref="H11:K11" si="0">H19</f>
        <v>0</v>
      </c>
      <c r="I11" s="147">
        <f>I15+I18</f>
        <v>5321.5897800000002</v>
      </c>
      <c r="J11" s="147">
        <f t="shared" si="0"/>
        <v>0</v>
      </c>
      <c r="K11" s="147">
        <f t="shared" si="0"/>
        <v>0</v>
      </c>
      <c r="L11" s="243"/>
      <c r="M11" s="245"/>
    </row>
    <row r="12" spans="1:17" s="27" customFormat="1" ht="92.25" customHeight="1" x14ac:dyDescent="0.25">
      <c r="A12" s="234"/>
      <c r="B12" s="221"/>
      <c r="C12" s="239"/>
      <c r="D12" s="133" t="s">
        <v>152</v>
      </c>
      <c r="E12" s="147">
        <v>0</v>
      </c>
      <c r="F12" s="147">
        <f>SUM(G12:K12)</f>
        <v>115485.72375999999</v>
      </c>
      <c r="G12" s="147">
        <f t="shared" ref="G12:K12" si="1">G23</f>
        <v>0</v>
      </c>
      <c r="H12" s="147">
        <f t="shared" si="1"/>
        <v>0</v>
      </c>
      <c r="I12" s="147">
        <f>I23+I26</f>
        <v>115485.72375999999</v>
      </c>
      <c r="J12" s="147">
        <f t="shared" si="1"/>
        <v>0</v>
      </c>
      <c r="K12" s="147">
        <f t="shared" si="1"/>
        <v>0</v>
      </c>
      <c r="L12" s="243"/>
      <c r="M12" s="245"/>
    </row>
    <row r="13" spans="1:17" s="27" customFormat="1" ht="84.6" customHeight="1" x14ac:dyDescent="0.25">
      <c r="A13" s="235"/>
      <c r="B13" s="237"/>
      <c r="C13" s="240"/>
      <c r="D13" s="113" t="s">
        <v>83</v>
      </c>
      <c r="E13" s="148">
        <v>0</v>
      </c>
      <c r="F13" s="149">
        <f>SUM(G13:K13)</f>
        <v>447.10300000000001</v>
      </c>
      <c r="G13" s="145">
        <f>G24+G16</f>
        <v>197.10300000000001</v>
      </c>
      <c r="H13" s="145">
        <f>H24+H16</f>
        <v>250</v>
      </c>
      <c r="I13" s="145">
        <f>I24+I16</f>
        <v>0</v>
      </c>
      <c r="J13" s="145">
        <f>J24+J16</f>
        <v>0</v>
      </c>
      <c r="K13" s="145">
        <f>K24+K16</f>
        <v>0</v>
      </c>
      <c r="L13" s="242"/>
      <c r="M13" s="246"/>
    </row>
    <row r="14" spans="1:17" s="27" customFormat="1" ht="71.25" customHeight="1" x14ac:dyDescent="0.25">
      <c r="A14" s="266" t="s">
        <v>6</v>
      </c>
      <c r="B14" s="268" t="s">
        <v>138</v>
      </c>
      <c r="C14" s="210" t="s">
        <v>70</v>
      </c>
      <c r="D14" s="41" t="s">
        <v>54</v>
      </c>
      <c r="E14" s="150">
        <v>9078</v>
      </c>
      <c r="F14" s="151">
        <f t="shared" ref="F14:F19" si="2">SUM(G14:K14)</f>
        <v>70809</v>
      </c>
      <c r="G14" s="152">
        <v>7677.6</v>
      </c>
      <c r="H14" s="152">
        <f>9270-1410+4010+3000-213</f>
        <v>14657</v>
      </c>
      <c r="I14" s="152">
        <f>14870-838.1+I15</f>
        <v>18734.400000000001</v>
      </c>
      <c r="J14" s="152">
        <v>14870</v>
      </c>
      <c r="K14" s="153">
        <v>14870</v>
      </c>
      <c r="L14" s="264" t="s">
        <v>120</v>
      </c>
      <c r="M14" s="284" t="s">
        <v>71</v>
      </c>
    </row>
    <row r="15" spans="1:17" s="27" customFormat="1" ht="84" customHeight="1" x14ac:dyDescent="0.25">
      <c r="A15" s="254"/>
      <c r="B15" s="230"/>
      <c r="C15" s="231"/>
      <c r="D15" s="129" t="s">
        <v>135</v>
      </c>
      <c r="E15" s="154">
        <v>0</v>
      </c>
      <c r="F15" s="154">
        <f>SUM(G15:K15)</f>
        <v>4702.5</v>
      </c>
      <c r="G15" s="154">
        <v>0</v>
      </c>
      <c r="H15" s="154">
        <v>0</v>
      </c>
      <c r="I15" s="154">
        <f>5000-297.5</f>
        <v>4702.5</v>
      </c>
      <c r="J15" s="154">
        <v>0</v>
      </c>
      <c r="K15" s="155">
        <v>0</v>
      </c>
      <c r="L15" s="264"/>
      <c r="M15" s="285"/>
    </row>
    <row r="16" spans="1:17" s="27" customFormat="1" ht="50.45" customHeight="1" x14ac:dyDescent="0.25">
      <c r="A16" s="269" t="s">
        <v>7</v>
      </c>
      <c r="B16" s="269" t="s">
        <v>73</v>
      </c>
      <c r="C16" s="271" t="s">
        <v>70</v>
      </c>
      <c r="D16" s="129" t="s">
        <v>126</v>
      </c>
      <c r="E16" s="156">
        <v>0</v>
      </c>
      <c r="F16" s="157">
        <f t="shared" si="2"/>
        <v>350</v>
      </c>
      <c r="G16" s="154">
        <v>100</v>
      </c>
      <c r="H16" s="154">
        <v>250</v>
      </c>
      <c r="I16" s="154">
        <v>0</v>
      </c>
      <c r="J16" s="154">
        <v>0</v>
      </c>
      <c r="K16" s="155">
        <v>0</v>
      </c>
      <c r="L16" s="264" t="s">
        <v>120</v>
      </c>
      <c r="M16" s="141" t="s">
        <v>136</v>
      </c>
    </row>
    <row r="17" spans="1:13" s="27" customFormat="1" ht="31.5" x14ac:dyDescent="0.25">
      <c r="A17" s="253"/>
      <c r="B17" s="253"/>
      <c r="C17" s="272"/>
      <c r="D17" s="129" t="s">
        <v>57</v>
      </c>
      <c r="E17" s="158">
        <v>4200</v>
      </c>
      <c r="F17" s="159">
        <f t="shared" si="2"/>
        <v>12091.50049</v>
      </c>
      <c r="G17" s="160">
        <v>1400</v>
      </c>
      <c r="H17" s="160">
        <f>1410+4216-10.5</f>
        <v>5615.5</v>
      </c>
      <c r="I17" s="160">
        <f>1410-104.7+174.1+I18+157.51071</f>
        <v>2256.0004899999999</v>
      </c>
      <c r="J17" s="160">
        <v>1410</v>
      </c>
      <c r="K17" s="161">
        <v>1410</v>
      </c>
      <c r="L17" s="264"/>
      <c r="M17" s="210" t="s">
        <v>178</v>
      </c>
    </row>
    <row r="18" spans="1:13" s="27" customFormat="1" ht="129.75" customHeight="1" x14ac:dyDescent="0.25">
      <c r="A18" s="270"/>
      <c r="B18" s="270"/>
      <c r="C18" s="273"/>
      <c r="D18" s="129" t="s">
        <v>135</v>
      </c>
      <c r="E18" s="154">
        <v>0</v>
      </c>
      <c r="F18" s="154">
        <f>SUM(G18:K18)</f>
        <v>619.08978000000002</v>
      </c>
      <c r="G18" s="154">
        <v>0</v>
      </c>
      <c r="H18" s="154">
        <v>0</v>
      </c>
      <c r="I18" s="154">
        <v>619.08978000000002</v>
      </c>
      <c r="J18" s="154">
        <v>0</v>
      </c>
      <c r="K18" s="155">
        <v>0</v>
      </c>
      <c r="L18" s="264"/>
      <c r="M18" s="265"/>
    </row>
    <row r="19" spans="1:13" s="27" customFormat="1" ht="81" customHeight="1" x14ac:dyDescent="0.25">
      <c r="A19" s="43" t="s">
        <v>8</v>
      </c>
      <c r="B19" s="43" t="s">
        <v>9</v>
      </c>
      <c r="C19" s="126" t="s">
        <v>70</v>
      </c>
      <c r="D19" s="44" t="s">
        <v>57</v>
      </c>
      <c r="E19" s="162">
        <v>2</v>
      </c>
      <c r="F19" s="163">
        <f t="shared" si="2"/>
        <v>0</v>
      </c>
      <c r="G19" s="162">
        <v>0</v>
      </c>
      <c r="H19" s="162">
        <v>0</v>
      </c>
      <c r="I19" s="162">
        <v>0</v>
      </c>
      <c r="J19" s="162">
        <v>0</v>
      </c>
      <c r="K19" s="162">
        <v>0</v>
      </c>
      <c r="L19" s="126" t="s">
        <v>122</v>
      </c>
      <c r="M19" s="45" t="s">
        <v>72</v>
      </c>
    </row>
    <row r="20" spans="1:13" s="27" customFormat="1" ht="71.25" customHeight="1" x14ac:dyDescent="0.25">
      <c r="A20" s="232" t="s">
        <v>10</v>
      </c>
      <c r="B20" s="290" t="s">
        <v>168</v>
      </c>
      <c r="C20" s="255" t="s">
        <v>70</v>
      </c>
      <c r="D20" s="20" t="s">
        <v>55</v>
      </c>
      <c r="E20" s="160">
        <v>8039</v>
      </c>
      <c r="F20" s="258" t="s">
        <v>91</v>
      </c>
      <c r="G20" s="259"/>
      <c r="H20" s="259"/>
      <c r="I20" s="259"/>
      <c r="J20" s="259"/>
      <c r="K20" s="260"/>
      <c r="L20" s="251" t="s">
        <v>121</v>
      </c>
      <c r="M20" s="210" t="s">
        <v>147</v>
      </c>
    </row>
    <row r="21" spans="1:13" s="27" customFormat="1" ht="36" customHeight="1" x14ac:dyDescent="0.25">
      <c r="A21" s="232"/>
      <c r="B21" s="278"/>
      <c r="C21" s="256"/>
      <c r="D21" s="6" t="s">
        <v>90</v>
      </c>
      <c r="E21" s="164">
        <v>48890.37</v>
      </c>
      <c r="F21" s="165">
        <f>SUM(G21:K21)</f>
        <v>0</v>
      </c>
      <c r="G21" s="166">
        <v>0</v>
      </c>
      <c r="H21" s="166">
        <v>0</v>
      </c>
      <c r="I21" s="166">
        <v>0</v>
      </c>
      <c r="J21" s="166">
        <v>0</v>
      </c>
      <c r="K21" s="166">
        <v>0</v>
      </c>
      <c r="L21" s="251"/>
      <c r="M21" s="211"/>
    </row>
    <row r="22" spans="1:13" s="27" customFormat="1" ht="32.450000000000003" customHeight="1" x14ac:dyDescent="0.25">
      <c r="A22" s="232"/>
      <c r="B22" s="278"/>
      <c r="C22" s="256"/>
      <c r="D22" s="130" t="s">
        <v>57</v>
      </c>
      <c r="E22" s="167">
        <v>1328.42</v>
      </c>
      <c r="F22" s="168">
        <f>SUM(G22:K22)</f>
        <v>73.974999999999909</v>
      </c>
      <c r="G22" s="169">
        <v>0</v>
      </c>
      <c r="H22" s="169">
        <v>0</v>
      </c>
      <c r="I22" s="169">
        <f>1990-1916.025</f>
        <v>73.974999999999909</v>
      </c>
      <c r="J22" s="169">
        <v>0</v>
      </c>
      <c r="K22" s="169">
        <v>0</v>
      </c>
      <c r="L22" s="252"/>
      <c r="M22" s="211"/>
    </row>
    <row r="23" spans="1:13" s="27" customFormat="1" ht="117" customHeight="1" x14ac:dyDescent="0.25">
      <c r="A23" s="232"/>
      <c r="B23" s="279"/>
      <c r="C23" s="257"/>
      <c r="D23" s="130" t="s">
        <v>152</v>
      </c>
      <c r="E23" s="170">
        <v>0</v>
      </c>
      <c r="F23" s="168">
        <f>SUM(G23:K23)</f>
        <v>92900</v>
      </c>
      <c r="G23" s="170">
        <v>0</v>
      </c>
      <c r="H23" s="170">
        <v>0</v>
      </c>
      <c r="I23" s="170">
        <f>92900</f>
        <v>92900</v>
      </c>
      <c r="J23" s="170">
        <v>0</v>
      </c>
      <c r="K23" s="170">
        <v>0</v>
      </c>
      <c r="L23" s="128" t="s">
        <v>146</v>
      </c>
      <c r="M23" s="129" t="s">
        <v>159</v>
      </c>
    </row>
    <row r="24" spans="1:13" s="27" customFormat="1" ht="135.75" customHeight="1" x14ac:dyDescent="0.25">
      <c r="A24" s="46" t="s">
        <v>108</v>
      </c>
      <c r="B24" s="47" t="s">
        <v>109</v>
      </c>
      <c r="C24" s="6" t="s">
        <v>70</v>
      </c>
      <c r="D24" s="6" t="s">
        <v>83</v>
      </c>
      <c r="E24" s="156">
        <v>0</v>
      </c>
      <c r="F24" s="157">
        <f>SUM(G24:K24)</f>
        <v>97.102999999999994</v>
      </c>
      <c r="G24" s="156">
        <v>97.102999999999994</v>
      </c>
      <c r="H24" s="156">
        <v>0</v>
      </c>
      <c r="I24" s="156">
        <v>0</v>
      </c>
      <c r="J24" s="156">
        <v>0</v>
      </c>
      <c r="K24" s="156">
        <v>0</v>
      </c>
      <c r="L24" s="128" t="s">
        <v>143</v>
      </c>
      <c r="M24" s="129" t="s">
        <v>130</v>
      </c>
    </row>
    <row r="25" spans="1:13" s="27" customFormat="1" ht="84.75" customHeight="1" x14ac:dyDescent="0.25">
      <c r="A25" s="207" t="s">
        <v>158</v>
      </c>
      <c r="B25" s="278" t="s">
        <v>161</v>
      </c>
      <c r="C25" s="256" t="s">
        <v>70</v>
      </c>
      <c r="D25" s="15" t="s">
        <v>55</v>
      </c>
      <c r="E25" s="160">
        <v>0</v>
      </c>
      <c r="F25" s="261" t="s">
        <v>91</v>
      </c>
      <c r="G25" s="262"/>
      <c r="H25" s="262"/>
      <c r="I25" s="262"/>
      <c r="J25" s="262"/>
      <c r="K25" s="263"/>
      <c r="L25" s="48" t="s">
        <v>121</v>
      </c>
      <c r="M25" s="117"/>
    </row>
    <row r="26" spans="1:13" s="27" customFormat="1" ht="119.25" customHeight="1" x14ac:dyDescent="0.25">
      <c r="A26" s="232"/>
      <c r="B26" s="279"/>
      <c r="C26" s="257"/>
      <c r="D26" s="6" t="s">
        <v>152</v>
      </c>
      <c r="E26" s="170">
        <v>0</v>
      </c>
      <c r="F26" s="171">
        <f>SUM(G26:K26)</f>
        <v>22585.723760000001</v>
      </c>
      <c r="G26" s="170">
        <v>0</v>
      </c>
      <c r="H26" s="170">
        <v>0</v>
      </c>
      <c r="I26" s="170">
        <f>22814-228.27624</f>
        <v>22585.723760000001</v>
      </c>
      <c r="J26" s="170">
        <v>0</v>
      </c>
      <c r="K26" s="170">
        <v>0</v>
      </c>
      <c r="L26" s="128" t="s">
        <v>146</v>
      </c>
      <c r="M26" s="129" t="s">
        <v>160</v>
      </c>
    </row>
    <row r="27" spans="1:13" s="27" customFormat="1" ht="30.75" customHeight="1" x14ac:dyDescent="0.25">
      <c r="A27" s="226" t="s">
        <v>11</v>
      </c>
      <c r="B27" s="274" t="s">
        <v>170</v>
      </c>
      <c r="C27" s="276" t="s">
        <v>70</v>
      </c>
      <c r="D27" s="49" t="s">
        <v>12</v>
      </c>
      <c r="E27" s="172">
        <f>SUM(E28:E33)</f>
        <v>491607.58000000007</v>
      </c>
      <c r="F27" s="172">
        <f>SUM(G27:K27)</f>
        <v>2495504.5841600001</v>
      </c>
      <c r="G27" s="172">
        <f t="shared" ref="G27:K27" si="3">SUM(G28:G33)</f>
        <v>499955.61</v>
      </c>
      <c r="H27" s="172">
        <f>H28+H31+H32+H33+H30</f>
        <v>521806.86599999998</v>
      </c>
      <c r="I27" s="172">
        <f>I28+I31+I32+I33+I30</f>
        <v>514700.10815999995</v>
      </c>
      <c r="J27" s="172">
        <f t="shared" si="3"/>
        <v>479521</v>
      </c>
      <c r="K27" s="172">
        <f t="shared" si="3"/>
        <v>479521</v>
      </c>
      <c r="L27" s="253"/>
      <c r="M27" s="229"/>
    </row>
    <row r="28" spans="1:13" s="27" customFormat="1" ht="36" customHeight="1" x14ac:dyDescent="0.25">
      <c r="A28" s="226"/>
      <c r="B28" s="274"/>
      <c r="C28" s="276"/>
      <c r="D28" s="138" t="s">
        <v>54</v>
      </c>
      <c r="E28" s="173">
        <f>E34+E36+E39</f>
        <v>466986.93000000005</v>
      </c>
      <c r="F28" s="165">
        <f>SUM(G28:K28)</f>
        <v>2351505.89616</v>
      </c>
      <c r="G28" s="173">
        <f>G34+G36+G39</f>
        <v>478820.3</v>
      </c>
      <c r="H28" s="173">
        <f>H34+H36+H39</f>
        <v>487631.73</v>
      </c>
      <c r="I28" s="173">
        <f>I34+I36+I39+I54</f>
        <v>483478.66615999996</v>
      </c>
      <c r="J28" s="173">
        <f>J34+J36+J39</f>
        <v>450787.6</v>
      </c>
      <c r="K28" s="173">
        <f>K34+K36+K39</f>
        <v>450787.6</v>
      </c>
      <c r="L28" s="253"/>
      <c r="M28" s="229"/>
    </row>
    <row r="29" spans="1:13" s="27" customFormat="1" ht="78.75" x14ac:dyDescent="0.25">
      <c r="A29" s="226"/>
      <c r="B29" s="274"/>
      <c r="C29" s="276"/>
      <c r="D29" s="114" t="s">
        <v>135</v>
      </c>
      <c r="E29" s="173">
        <v>0</v>
      </c>
      <c r="F29" s="165">
        <f t="shared" ref="F29:F33" si="4">SUM(G29:K29)</f>
        <v>41801.410219999998</v>
      </c>
      <c r="G29" s="173">
        <f>G40</f>
        <v>0</v>
      </c>
      <c r="H29" s="173">
        <f t="shared" ref="H29:K29" si="5">H40</f>
        <v>35000</v>
      </c>
      <c r="I29" s="173">
        <f t="shared" si="5"/>
        <v>6801.4102199999998</v>
      </c>
      <c r="J29" s="173">
        <f t="shared" si="5"/>
        <v>0</v>
      </c>
      <c r="K29" s="173">
        <f t="shared" si="5"/>
        <v>0</v>
      </c>
      <c r="L29" s="253"/>
      <c r="M29" s="229"/>
    </row>
    <row r="30" spans="1:13" s="27" customFormat="1" ht="83.45" customHeight="1" x14ac:dyDescent="0.25">
      <c r="A30" s="226"/>
      <c r="B30" s="274"/>
      <c r="C30" s="276"/>
      <c r="D30" s="138" t="s">
        <v>83</v>
      </c>
      <c r="E30" s="173">
        <f>E37+E42</f>
        <v>9870.630000000001</v>
      </c>
      <c r="F30" s="165">
        <f t="shared" si="4"/>
        <v>5723</v>
      </c>
      <c r="G30" s="165">
        <v>0</v>
      </c>
      <c r="H30" s="165">
        <f>H42</f>
        <v>5723</v>
      </c>
      <c r="I30" s="165">
        <f>I42</f>
        <v>0</v>
      </c>
      <c r="J30" s="165">
        <f t="shared" ref="J30:K30" si="6">J42</f>
        <v>0</v>
      </c>
      <c r="K30" s="165">
        <f t="shared" si="6"/>
        <v>0</v>
      </c>
      <c r="L30" s="253"/>
      <c r="M30" s="229"/>
    </row>
    <row r="31" spans="1:13" s="27" customFormat="1" ht="36.75" customHeight="1" x14ac:dyDescent="0.25">
      <c r="A31" s="226"/>
      <c r="B31" s="274"/>
      <c r="C31" s="276"/>
      <c r="D31" s="114" t="s">
        <v>132</v>
      </c>
      <c r="E31" s="174">
        <v>0</v>
      </c>
      <c r="F31" s="175">
        <f>SUM(G31:K31)</f>
        <v>1090.3699999999999</v>
      </c>
      <c r="G31" s="174">
        <v>0</v>
      </c>
      <c r="H31" s="174">
        <f>H41</f>
        <v>631</v>
      </c>
      <c r="I31" s="174">
        <f>I56</f>
        <v>459.37</v>
      </c>
      <c r="J31" s="174">
        <f t="shared" ref="J31:K31" si="7">J41</f>
        <v>0</v>
      </c>
      <c r="K31" s="174">
        <f t="shared" si="7"/>
        <v>0</v>
      </c>
      <c r="L31" s="253"/>
      <c r="M31" s="229"/>
    </row>
    <row r="32" spans="1:13" s="27" customFormat="1" ht="36.75" customHeight="1" x14ac:dyDescent="0.25">
      <c r="A32" s="226"/>
      <c r="B32" s="274"/>
      <c r="C32" s="276"/>
      <c r="D32" s="114" t="s">
        <v>162</v>
      </c>
      <c r="E32" s="174">
        <v>0</v>
      </c>
      <c r="F32" s="175">
        <f t="shared" si="4"/>
        <v>1378.07</v>
      </c>
      <c r="G32" s="174">
        <v>0</v>
      </c>
      <c r="H32" s="174">
        <f>H55</f>
        <v>0</v>
      </c>
      <c r="I32" s="174">
        <f>I55</f>
        <v>1378.07</v>
      </c>
      <c r="J32" s="174">
        <f t="shared" ref="J32:K32" si="8">J55</f>
        <v>0</v>
      </c>
      <c r="K32" s="174">
        <f t="shared" si="8"/>
        <v>0</v>
      </c>
      <c r="L32" s="253"/>
      <c r="M32" s="229"/>
    </row>
    <row r="33" spans="1:14" s="27" customFormat="1" ht="35.450000000000003" customHeight="1" x14ac:dyDescent="0.25">
      <c r="A33" s="227"/>
      <c r="B33" s="275"/>
      <c r="C33" s="277"/>
      <c r="D33" s="113" t="s">
        <v>19</v>
      </c>
      <c r="E33" s="176">
        <f>E35+E43</f>
        <v>14750.02</v>
      </c>
      <c r="F33" s="177">
        <f t="shared" si="4"/>
        <v>135807.24799999999</v>
      </c>
      <c r="G33" s="176">
        <f>G35+G43</f>
        <v>21135.31</v>
      </c>
      <c r="H33" s="176">
        <f>H35+H43</f>
        <v>27821.135999999999</v>
      </c>
      <c r="I33" s="176">
        <f>I35+I43</f>
        <v>29384.002</v>
      </c>
      <c r="J33" s="176">
        <f>J35+J43</f>
        <v>28733.4</v>
      </c>
      <c r="K33" s="176">
        <f>K35+K43</f>
        <v>28733.4</v>
      </c>
      <c r="L33" s="254"/>
      <c r="M33" s="230"/>
    </row>
    <row r="34" spans="1:14" s="27" customFormat="1" ht="50.45" customHeight="1" x14ac:dyDescent="0.25">
      <c r="A34" s="253" t="s">
        <v>13</v>
      </c>
      <c r="B34" s="253" t="s">
        <v>105</v>
      </c>
      <c r="C34" s="50" t="s">
        <v>70</v>
      </c>
      <c r="D34" s="119" t="s">
        <v>57</v>
      </c>
      <c r="E34" s="178">
        <v>454461.03</v>
      </c>
      <c r="F34" s="179">
        <f>G34+H34+I34+J34+K34</f>
        <v>2283526.6800000002</v>
      </c>
      <c r="G34" s="178">
        <v>471272.2</v>
      </c>
      <c r="H34" s="178">
        <f>455923.3-3000-386-291.57</f>
        <v>452245.73</v>
      </c>
      <c r="I34" s="178">
        <f>455653.3-1107.9-867.6-678+6264-393.1-437.15</f>
        <v>458433.55</v>
      </c>
      <c r="J34" s="178">
        <f>451895.5-1107.9</f>
        <v>450787.6</v>
      </c>
      <c r="K34" s="178">
        <f>451895.5-1107.9</f>
        <v>450787.6</v>
      </c>
      <c r="L34" s="214" t="s">
        <v>122</v>
      </c>
      <c r="M34" s="127" t="s">
        <v>42</v>
      </c>
    </row>
    <row r="35" spans="1:14" s="27" customFormat="1" ht="36" customHeight="1" x14ac:dyDescent="0.25">
      <c r="A35" s="270"/>
      <c r="B35" s="270"/>
      <c r="C35" s="50" t="s">
        <v>70</v>
      </c>
      <c r="D35" s="125" t="s">
        <v>20</v>
      </c>
      <c r="E35" s="178">
        <v>13390.588</v>
      </c>
      <c r="F35" s="180">
        <f>G35+H35+I35+J35+K35</f>
        <v>129735.80799999999</v>
      </c>
      <c r="G35" s="178">
        <f>21135.31-1161.81</f>
        <v>19973.5</v>
      </c>
      <c r="H35" s="178">
        <f>27821.136-1909.894</f>
        <v>25911.241999999998</v>
      </c>
      <c r="I35" s="178">
        <v>28320.065999999999</v>
      </c>
      <c r="J35" s="178">
        <v>27765.5</v>
      </c>
      <c r="K35" s="178">
        <v>27765.5</v>
      </c>
      <c r="L35" s="215"/>
      <c r="M35" s="129"/>
    </row>
    <row r="36" spans="1:14" s="27" customFormat="1" ht="43.9" customHeight="1" x14ac:dyDescent="0.25">
      <c r="A36" s="51" t="s">
        <v>14</v>
      </c>
      <c r="B36" s="125" t="s">
        <v>75</v>
      </c>
      <c r="C36" s="50" t="s">
        <v>70</v>
      </c>
      <c r="D36" s="129" t="s">
        <v>57</v>
      </c>
      <c r="E36" s="181">
        <v>6606</v>
      </c>
      <c r="F36" s="175">
        <f>G36+H36+I36+J36+K36</f>
        <v>7262</v>
      </c>
      <c r="G36" s="182">
        <f>6857.8+404.2</f>
        <v>7262</v>
      </c>
      <c r="H36" s="182">
        <v>0</v>
      </c>
      <c r="I36" s="182">
        <v>0</v>
      </c>
      <c r="J36" s="182">
        <v>0</v>
      </c>
      <c r="K36" s="182">
        <v>0</v>
      </c>
      <c r="L36" s="52" t="s">
        <v>122</v>
      </c>
      <c r="M36" s="116"/>
    </row>
    <row r="37" spans="1:14" s="27" customFormat="1" ht="90.6" customHeight="1" x14ac:dyDescent="0.25">
      <c r="A37" s="53" t="s">
        <v>15</v>
      </c>
      <c r="B37" s="129" t="s">
        <v>82</v>
      </c>
      <c r="C37" s="123" t="s">
        <v>70</v>
      </c>
      <c r="D37" s="129" t="s">
        <v>83</v>
      </c>
      <c r="E37" s="154">
        <v>700</v>
      </c>
      <c r="F37" s="174">
        <v>0</v>
      </c>
      <c r="G37" s="154">
        <v>0</v>
      </c>
      <c r="H37" s="154">
        <v>0</v>
      </c>
      <c r="I37" s="154">
        <v>0</v>
      </c>
      <c r="J37" s="154">
        <v>0</v>
      </c>
      <c r="K37" s="154">
        <v>0</v>
      </c>
      <c r="L37" s="52" t="s">
        <v>123</v>
      </c>
      <c r="M37" s="129"/>
    </row>
    <row r="38" spans="1:14" s="27" customFormat="1" ht="22.15" customHeight="1" x14ac:dyDescent="0.25">
      <c r="A38" s="286" t="s">
        <v>80</v>
      </c>
      <c r="B38" s="272" t="s">
        <v>149</v>
      </c>
      <c r="C38" s="256" t="s">
        <v>70</v>
      </c>
      <c r="D38" s="119" t="s">
        <v>16</v>
      </c>
      <c r="E38" s="183">
        <f>SUM(E39:E43)</f>
        <v>16449.962</v>
      </c>
      <c r="F38" s="184">
        <f>G38+H38+I38+J38+K38</f>
        <v>72040.186159999997</v>
      </c>
      <c r="G38" s="184">
        <f>SUM(G39:G43)</f>
        <v>1447.9099999999999</v>
      </c>
      <c r="H38" s="184">
        <f>SUM(H39:H43)-35000</f>
        <v>43649.894</v>
      </c>
      <c r="I38" s="184">
        <f>I39+I43+I42+I41</f>
        <v>25006.582160000002</v>
      </c>
      <c r="J38" s="184">
        <f>SUM(J39:J43)</f>
        <v>967.9</v>
      </c>
      <c r="K38" s="184">
        <f>SUM(K39:K43)</f>
        <v>967.9</v>
      </c>
      <c r="L38" s="304" t="s">
        <v>122</v>
      </c>
      <c r="M38" s="229" t="s">
        <v>17</v>
      </c>
      <c r="N38" s="54"/>
    </row>
    <row r="39" spans="1:14" s="27" customFormat="1" ht="37.9" customHeight="1" x14ac:dyDescent="0.25">
      <c r="A39" s="286"/>
      <c r="B39" s="272"/>
      <c r="C39" s="256"/>
      <c r="D39" s="129" t="s">
        <v>57</v>
      </c>
      <c r="E39" s="183">
        <f>E44+E48+E51</f>
        <v>5919.9</v>
      </c>
      <c r="F39" s="184">
        <f t="shared" ref="F39:F43" si="9">SUM(G39:K39)</f>
        <v>59614.746159999995</v>
      </c>
      <c r="G39" s="183">
        <f>G44+G48+G51</f>
        <v>286.10000000000002</v>
      </c>
      <c r="H39" s="183">
        <f>H44+H48+H51</f>
        <v>35386</v>
      </c>
      <c r="I39" s="183">
        <f>I44+I48+I51</f>
        <v>23942.64616</v>
      </c>
      <c r="J39" s="183">
        <f>J44+J48+J51</f>
        <v>0</v>
      </c>
      <c r="K39" s="183">
        <f>K44+K48+K51</f>
        <v>0</v>
      </c>
      <c r="L39" s="304"/>
      <c r="M39" s="229"/>
      <c r="N39" s="54"/>
    </row>
    <row r="40" spans="1:14" s="27" customFormat="1" ht="84.6" customHeight="1" x14ac:dyDescent="0.25">
      <c r="A40" s="286"/>
      <c r="B40" s="272"/>
      <c r="C40" s="256"/>
      <c r="D40" s="129" t="s">
        <v>135</v>
      </c>
      <c r="E40" s="154">
        <v>0</v>
      </c>
      <c r="F40" s="154">
        <f t="shared" si="9"/>
        <v>41801.410219999998</v>
      </c>
      <c r="G40" s="154">
        <v>0</v>
      </c>
      <c r="H40" s="154">
        <f>35000</f>
        <v>35000</v>
      </c>
      <c r="I40" s="154">
        <f>I49</f>
        <v>6801.4102199999998</v>
      </c>
      <c r="J40" s="154">
        <v>0</v>
      </c>
      <c r="K40" s="154">
        <v>0</v>
      </c>
      <c r="L40" s="304"/>
      <c r="M40" s="229"/>
    </row>
    <row r="41" spans="1:14" s="27" customFormat="1" ht="25.9" customHeight="1" x14ac:dyDescent="0.25">
      <c r="A41" s="286"/>
      <c r="B41" s="272"/>
      <c r="C41" s="256"/>
      <c r="D41" s="129" t="s">
        <v>132</v>
      </c>
      <c r="E41" s="154">
        <v>0</v>
      </c>
      <c r="F41" s="182">
        <f t="shared" si="9"/>
        <v>631</v>
      </c>
      <c r="G41" s="154">
        <v>0</v>
      </c>
      <c r="H41" s="154">
        <f>H46</f>
        <v>631</v>
      </c>
      <c r="I41" s="154">
        <f>I46</f>
        <v>0</v>
      </c>
      <c r="J41" s="154">
        <f t="shared" ref="J41" si="10">J46</f>
        <v>0</v>
      </c>
      <c r="K41" s="154">
        <v>0</v>
      </c>
      <c r="L41" s="304"/>
      <c r="M41" s="229"/>
    </row>
    <row r="42" spans="1:14" s="27" customFormat="1" ht="82.15" customHeight="1" x14ac:dyDescent="0.25">
      <c r="A42" s="286"/>
      <c r="B42" s="272"/>
      <c r="C42" s="256"/>
      <c r="D42" s="129" t="s">
        <v>83</v>
      </c>
      <c r="E42" s="183">
        <f>E45+E50</f>
        <v>9170.630000000001</v>
      </c>
      <c r="F42" s="154">
        <f t="shared" si="9"/>
        <v>5723</v>
      </c>
      <c r="G42" s="183">
        <f>G45+G50</f>
        <v>0</v>
      </c>
      <c r="H42" s="183">
        <f>H45+H50</f>
        <v>5723</v>
      </c>
      <c r="I42" s="183">
        <f>I45+I50</f>
        <v>0</v>
      </c>
      <c r="J42" s="183">
        <f>J45+J50</f>
        <v>0</v>
      </c>
      <c r="K42" s="183">
        <f>K45+K50</f>
        <v>0</v>
      </c>
      <c r="L42" s="304"/>
      <c r="M42" s="229"/>
    </row>
    <row r="43" spans="1:14" s="27" customFormat="1" ht="31.15" customHeight="1" x14ac:dyDescent="0.25">
      <c r="A43" s="287"/>
      <c r="B43" s="273"/>
      <c r="C43" s="257"/>
      <c r="D43" s="6" t="s">
        <v>31</v>
      </c>
      <c r="E43" s="152">
        <f>E47</f>
        <v>1359.432</v>
      </c>
      <c r="F43" s="152">
        <f t="shared" si="9"/>
        <v>6071.4399999999987</v>
      </c>
      <c r="G43" s="152">
        <f>G47</f>
        <v>1161.81</v>
      </c>
      <c r="H43" s="152">
        <f>H47</f>
        <v>1909.894</v>
      </c>
      <c r="I43" s="152">
        <f t="shared" ref="I43:K43" si="11">I47</f>
        <v>1063.9359999999999</v>
      </c>
      <c r="J43" s="152">
        <f t="shared" si="11"/>
        <v>967.9</v>
      </c>
      <c r="K43" s="152">
        <f t="shared" si="11"/>
        <v>967.9</v>
      </c>
      <c r="L43" s="305"/>
      <c r="M43" s="230"/>
    </row>
    <row r="44" spans="1:14" s="27" customFormat="1" ht="33" customHeight="1" x14ac:dyDescent="0.25">
      <c r="A44" s="213" t="s">
        <v>84</v>
      </c>
      <c r="B44" s="211" t="s">
        <v>18</v>
      </c>
      <c r="C44" s="211" t="s">
        <v>70</v>
      </c>
      <c r="D44" s="119" t="s">
        <v>57</v>
      </c>
      <c r="E44" s="185">
        <v>1454.78</v>
      </c>
      <c r="F44" s="186">
        <f>G44+H44+I44+J44+K44</f>
        <v>1153.548</v>
      </c>
      <c r="G44" s="185">
        <v>286.10000000000002</v>
      </c>
      <c r="H44" s="185">
        <v>386</v>
      </c>
      <c r="I44" s="154">
        <f>506-24.552</f>
        <v>481.44799999999998</v>
      </c>
      <c r="J44" s="185">
        <v>0</v>
      </c>
      <c r="K44" s="185">
        <v>0</v>
      </c>
      <c r="L44" s="288" t="s">
        <v>122</v>
      </c>
      <c r="M44" s="211" t="s">
        <v>163</v>
      </c>
    </row>
    <row r="45" spans="1:14" s="27" customFormat="1" ht="85.5" customHeight="1" x14ac:dyDescent="0.25">
      <c r="A45" s="280"/>
      <c r="B45" s="211"/>
      <c r="C45" s="211"/>
      <c r="D45" s="129" t="s">
        <v>83</v>
      </c>
      <c r="E45" s="154">
        <v>1242</v>
      </c>
      <c r="F45" s="152">
        <f>G45+H45+I45+J45+K45</f>
        <v>600</v>
      </c>
      <c r="G45" s="154">
        <v>0</v>
      </c>
      <c r="H45" s="154">
        <v>600</v>
      </c>
      <c r="I45" s="154">
        <v>0</v>
      </c>
      <c r="J45" s="154">
        <v>0</v>
      </c>
      <c r="K45" s="154">
        <v>0</v>
      </c>
      <c r="L45" s="288"/>
      <c r="M45" s="211"/>
    </row>
    <row r="46" spans="1:14" s="27" customFormat="1" ht="33" customHeight="1" x14ac:dyDescent="0.25">
      <c r="A46" s="280"/>
      <c r="B46" s="211"/>
      <c r="C46" s="211"/>
      <c r="D46" s="129" t="s">
        <v>132</v>
      </c>
      <c r="E46" s="154">
        <v>0</v>
      </c>
      <c r="F46" s="182">
        <f>SUM(G46:K46)</f>
        <v>631</v>
      </c>
      <c r="G46" s="154">
        <v>0</v>
      </c>
      <c r="H46" s="154">
        <v>631</v>
      </c>
      <c r="I46" s="154">
        <v>0</v>
      </c>
      <c r="J46" s="154">
        <v>0</v>
      </c>
      <c r="K46" s="154">
        <v>0</v>
      </c>
      <c r="L46" s="288"/>
      <c r="M46" s="211"/>
    </row>
    <row r="47" spans="1:14" s="27" customFormat="1" ht="33" customHeight="1" x14ac:dyDescent="0.25">
      <c r="A47" s="280"/>
      <c r="B47" s="231"/>
      <c r="C47" s="231"/>
      <c r="D47" s="129" t="s">
        <v>19</v>
      </c>
      <c r="E47" s="187">
        <v>1359.432</v>
      </c>
      <c r="F47" s="152">
        <f>G47+H47+I47+J47+K47</f>
        <v>6071.4399999999987</v>
      </c>
      <c r="G47" s="152">
        <v>1161.81</v>
      </c>
      <c r="H47" s="153">
        <v>1909.894</v>
      </c>
      <c r="I47" s="154">
        <v>1063.9359999999999</v>
      </c>
      <c r="J47" s="154">
        <v>967.9</v>
      </c>
      <c r="K47" s="154">
        <v>967.9</v>
      </c>
      <c r="L47" s="289"/>
      <c r="M47" s="231"/>
    </row>
    <row r="48" spans="1:14" s="27" customFormat="1" ht="33" customHeight="1" x14ac:dyDescent="0.25">
      <c r="A48" s="281" t="s">
        <v>85</v>
      </c>
      <c r="B48" s="210" t="s">
        <v>169</v>
      </c>
      <c r="C48" s="210" t="s">
        <v>70</v>
      </c>
      <c r="D48" s="129" t="s">
        <v>57</v>
      </c>
      <c r="E48" s="154">
        <v>1216.82</v>
      </c>
      <c r="F48" s="188">
        <f>G48+H48+I48+J48+K48</f>
        <v>23461.19816</v>
      </c>
      <c r="G48" s="154">
        <v>0</v>
      </c>
      <c r="H48" s="154">
        <v>0</v>
      </c>
      <c r="I48" s="154">
        <f>600.7+I49+9588.313+678+6093.198-300.42306</f>
        <v>23461.19816</v>
      </c>
      <c r="J48" s="154">
        <v>0</v>
      </c>
      <c r="K48" s="154">
        <v>0</v>
      </c>
      <c r="L48" s="212" t="s">
        <v>122</v>
      </c>
      <c r="M48" s="210" t="s">
        <v>165</v>
      </c>
    </row>
    <row r="49" spans="1:13" s="27" customFormat="1" ht="82.5" customHeight="1" x14ac:dyDescent="0.25">
      <c r="A49" s="282"/>
      <c r="B49" s="211"/>
      <c r="C49" s="211"/>
      <c r="D49" s="129" t="s">
        <v>135</v>
      </c>
      <c r="E49" s="154">
        <v>0</v>
      </c>
      <c r="F49" s="154">
        <f>SUM(G49:K49)</f>
        <v>6801.4102199999998</v>
      </c>
      <c r="G49" s="154">
        <v>0</v>
      </c>
      <c r="H49" s="154">
        <v>0</v>
      </c>
      <c r="I49" s="154">
        <f>2558+10103.4-5538.4-321.58978</f>
        <v>6801.4102199999998</v>
      </c>
      <c r="J49" s="154">
        <v>0</v>
      </c>
      <c r="K49" s="154">
        <v>0</v>
      </c>
      <c r="L49" s="250"/>
      <c r="M49" s="211"/>
    </row>
    <row r="50" spans="1:13" s="27" customFormat="1" ht="83.45" customHeight="1" x14ac:dyDescent="0.25">
      <c r="A50" s="283"/>
      <c r="B50" s="231"/>
      <c r="C50" s="231"/>
      <c r="D50" s="141" t="s">
        <v>83</v>
      </c>
      <c r="E50" s="154">
        <v>7928.63</v>
      </c>
      <c r="F50" s="152">
        <f>G50+H50+I50+J50+K50</f>
        <v>5123</v>
      </c>
      <c r="G50" s="154">
        <v>0</v>
      </c>
      <c r="H50" s="154">
        <f>4823+300</f>
        <v>5123</v>
      </c>
      <c r="I50" s="154">
        <v>0</v>
      </c>
      <c r="J50" s="154">
        <v>0</v>
      </c>
      <c r="K50" s="154">
        <v>0</v>
      </c>
      <c r="L50" s="213"/>
      <c r="M50" s="231"/>
    </row>
    <row r="51" spans="1:13" s="27" customFormat="1" ht="39.6" customHeight="1" x14ac:dyDescent="0.25">
      <c r="A51" s="212" t="s">
        <v>86</v>
      </c>
      <c r="B51" s="210" t="s">
        <v>81</v>
      </c>
      <c r="C51" s="210" t="s">
        <v>70</v>
      </c>
      <c r="D51" s="141" t="s">
        <v>128</v>
      </c>
      <c r="E51" s="154">
        <v>3248.3</v>
      </c>
      <c r="F51" s="154">
        <f>SUM(G51:K51)</f>
        <v>35000</v>
      </c>
      <c r="G51" s="154">
        <v>0</v>
      </c>
      <c r="H51" s="154">
        <f>35000</f>
        <v>35000</v>
      </c>
      <c r="I51" s="154">
        <v>0</v>
      </c>
      <c r="J51" s="154">
        <v>0</v>
      </c>
      <c r="K51" s="154">
        <v>0</v>
      </c>
      <c r="L51" s="212" t="s">
        <v>122</v>
      </c>
      <c r="M51" s="210" t="s">
        <v>125</v>
      </c>
    </row>
    <row r="52" spans="1:13" s="27" customFormat="1" ht="85.5" customHeight="1" x14ac:dyDescent="0.25">
      <c r="A52" s="213"/>
      <c r="B52" s="231"/>
      <c r="C52" s="231"/>
      <c r="D52" s="129" t="s">
        <v>135</v>
      </c>
      <c r="E52" s="154">
        <v>0</v>
      </c>
      <c r="F52" s="154">
        <f>SUM(G52:K52)</f>
        <v>35000</v>
      </c>
      <c r="G52" s="154">
        <v>0</v>
      </c>
      <c r="H52" s="154">
        <f>35000</f>
        <v>35000</v>
      </c>
      <c r="I52" s="154">
        <v>0</v>
      </c>
      <c r="J52" s="154">
        <v>0</v>
      </c>
      <c r="K52" s="154">
        <v>0</v>
      </c>
      <c r="L52" s="213"/>
      <c r="M52" s="231"/>
    </row>
    <row r="53" spans="1:13" s="27" customFormat="1" ht="35.25" customHeight="1" x14ac:dyDescent="0.25">
      <c r="A53" s="212" t="s">
        <v>173</v>
      </c>
      <c r="B53" s="210" t="s">
        <v>174</v>
      </c>
      <c r="C53" s="210" t="s">
        <v>70</v>
      </c>
      <c r="D53" s="119" t="s">
        <v>12</v>
      </c>
      <c r="E53" s="185">
        <v>0</v>
      </c>
      <c r="F53" s="189">
        <f>SUM(G53:K53)</f>
        <v>2939.91</v>
      </c>
      <c r="G53" s="185">
        <f>SUM(G54:G56)</f>
        <v>0</v>
      </c>
      <c r="H53" s="185">
        <f t="shared" ref="H53:K53" si="12">SUM(H54:H56)</f>
        <v>0</v>
      </c>
      <c r="I53" s="185">
        <f t="shared" si="12"/>
        <v>2939.91</v>
      </c>
      <c r="J53" s="185">
        <f t="shared" si="12"/>
        <v>0</v>
      </c>
      <c r="K53" s="185">
        <f t="shared" si="12"/>
        <v>0</v>
      </c>
      <c r="L53" s="212" t="s">
        <v>122</v>
      </c>
      <c r="M53" s="210" t="s">
        <v>172</v>
      </c>
    </row>
    <row r="54" spans="1:13" s="27" customFormat="1" ht="36" customHeight="1" x14ac:dyDescent="0.25">
      <c r="A54" s="250"/>
      <c r="B54" s="231"/>
      <c r="C54" s="211"/>
      <c r="D54" s="119" t="s">
        <v>57</v>
      </c>
      <c r="E54" s="185">
        <v>0</v>
      </c>
      <c r="F54" s="186">
        <f>G54+H54+I54+J54+K54</f>
        <v>1102.47</v>
      </c>
      <c r="G54" s="185">
        <v>0</v>
      </c>
      <c r="H54" s="185">
        <v>0</v>
      </c>
      <c r="I54" s="154">
        <f>1102.47</f>
        <v>1102.47</v>
      </c>
      <c r="J54" s="185">
        <v>0</v>
      </c>
      <c r="K54" s="185">
        <v>0</v>
      </c>
      <c r="L54" s="250"/>
      <c r="M54" s="211"/>
    </row>
    <row r="55" spans="1:13" s="27" customFormat="1" ht="63" customHeight="1" x14ac:dyDescent="0.25">
      <c r="A55" s="250"/>
      <c r="B55" s="210" t="s">
        <v>171</v>
      </c>
      <c r="C55" s="211"/>
      <c r="D55" s="129" t="s">
        <v>162</v>
      </c>
      <c r="E55" s="154">
        <v>0</v>
      </c>
      <c r="F55" s="182">
        <f>SUM(G55:K55)</f>
        <v>1378.07</v>
      </c>
      <c r="G55" s="154">
        <v>0</v>
      </c>
      <c r="H55" s="154">
        <v>0</v>
      </c>
      <c r="I55" s="154">
        <v>1378.07</v>
      </c>
      <c r="J55" s="154">
        <v>0</v>
      </c>
      <c r="K55" s="154">
        <v>0</v>
      </c>
      <c r="L55" s="250"/>
      <c r="M55" s="211"/>
    </row>
    <row r="56" spans="1:13" s="27" customFormat="1" ht="27.75" customHeight="1" x14ac:dyDescent="0.25">
      <c r="A56" s="213"/>
      <c r="B56" s="231"/>
      <c r="C56" s="231"/>
      <c r="D56" s="129" t="s">
        <v>132</v>
      </c>
      <c r="E56" s="154">
        <v>0</v>
      </c>
      <c r="F56" s="182">
        <f>SUM(G56:K56)</f>
        <v>459.37</v>
      </c>
      <c r="G56" s="154">
        <v>0</v>
      </c>
      <c r="H56" s="154">
        <v>0</v>
      </c>
      <c r="I56" s="154">
        <v>459.37</v>
      </c>
      <c r="J56" s="154">
        <v>0</v>
      </c>
      <c r="K56" s="154">
        <v>0</v>
      </c>
      <c r="L56" s="213"/>
      <c r="M56" s="231"/>
    </row>
    <row r="57" spans="1:13" s="56" customFormat="1" ht="31.5" customHeight="1" x14ac:dyDescent="0.25">
      <c r="A57" s="316" t="s">
        <v>21</v>
      </c>
      <c r="B57" s="219" t="s">
        <v>151</v>
      </c>
      <c r="C57" s="308" t="s">
        <v>70</v>
      </c>
      <c r="D57" s="55" t="s">
        <v>22</v>
      </c>
      <c r="E57" s="190">
        <f t="shared" ref="E57:K57" si="13">SUM(E58:E58)</f>
        <v>11037</v>
      </c>
      <c r="F57" s="190">
        <f>SUM(G57:K57)</f>
        <v>70835.070000000007</v>
      </c>
      <c r="G57" s="190">
        <f t="shared" si="13"/>
        <v>11233.9</v>
      </c>
      <c r="H57" s="190">
        <f t="shared" si="13"/>
        <v>15399.77</v>
      </c>
      <c r="I57" s="190">
        <f>SUM(I58:I58)</f>
        <v>16585.400000000001</v>
      </c>
      <c r="J57" s="190">
        <f t="shared" si="13"/>
        <v>13808</v>
      </c>
      <c r="K57" s="190">
        <f t="shared" si="13"/>
        <v>13808</v>
      </c>
      <c r="L57" s="314"/>
      <c r="M57" s="310"/>
    </row>
    <row r="58" spans="1:13" s="56" customFormat="1" ht="50.45" customHeight="1" x14ac:dyDescent="0.25">
      <c r="A58" s="316"/>
      <c r="B58" s="317"/>
      <c r="C58" s="309"/>
      <c r="D58" s="138" t="s">
        <v>54</v>
      </c>
      <c r="E58" s="191">
        <f>E60+E62+E64+E65</f>
        <v>11037</v>
      </c>
      <c r="F58" s="191">
        <f>SUM(G58:K58)</f>
        <v>70835.070000000007</v>
      </c>
      <c r="G58" s="191">
        <f>G60+G62+G64+G65</f>
        <v>11233.9</v>
      </c>
      <c r="H58" s="191">
        <f>H60+H62+H64+H65</f>
        <v>15399.77</v>
      </c>
      <c r="I58" s="191">
        <f>I60+I62+I64+I65</f>
        <v>16585.400000000001</v>
      </c>
      <c r="J58" s="191">
        <f>J60+J62+J64+J65</f>
        <v>13808</v>
      </c>
      <c r="K58" s="191">
        <f>K60+K62+K64+K65</f>
        <v>13808</v>
      </c>
      <c r="L58" s="315"/>
      <c r="M58" s="311"/>
    </row>
    <row r="59" spans="1:13" s="56" customFormat="1" ht="78.75" x14ac:dyDescent="0.25">
      <c r="A59" s="316"/>
      <c r="B59" s="220"/>
      <c r="C59" s="139"/>
      <c r="D59" s="114" t="s">
        <v>135</v>
      </c>
      <c r="E59" s="192">
        <v>0</v>
      </c>
      <c r="F59" s="192">
        <f>SUM(G59:K59)</f>
        <v>538.4</v>
      </c>
      <c r="G59" s="192">
        <f>G61</f>
        <v>0</v>
      </c>
      <c r="H59" s="192">
        <f t="shared" ref="H59:K59" si="14">H61</f>
        <v>0</v>
      </c>
      <c r="I59" s="192">
        <f t="shared" si="14"/>
        <v>538.4</v>
      </c>
      <c r="J59" s="192">
        <f t="shared" si="14"/>
        <v>0</v>
      </c>
      <c r="K59" s="192">
        <f t="shared" si="14"/>
        <v>0</v>
      </c>
      <c r="L59" s="136"/>
      <c r="M59" s="134"/>
    </row>
    <row r="60" spans="1:13" s="27" customFormat="1" ht="85.5" customHeight="1" x14ac:dyDescent="0.25">
      <c r="A60" s="132" t="s">
        <v>23</v>
      </c>
      <c r="B60" s="122" t="s">
        <v>24</v>
      </c>
      <c r="C60" s="307" t="s">
        <v>70</v>
      </c>
      <c r="D60" s="42" t="s">
        <v>57</v>
      </c>
      <c r="E60" s="193">
        <v>9856</v>
      </c>
      <c r="F60" s="179">
        <f t="shared" ref="F60:F66" si="15">G60+H60+I60+J60+K60</f>
        <v>65256.048540000003</v>
      </c>
      <c r="G60" s="193">
        <v>10874.9</v>
      </c>
      <c r="H60" s="193">
        <f>10926-50+2788.1-111+291.57-1693</f>
        <v>12151.67</v>
      </c>
      <c r="I60" s="193">
        <f>14158-54.47+I61+219-25.63-21.82146</f>
        <v>14813.478540000002</v>
      </c>
      <c r="J60" s="193">
        <v>13708</v>
      </c>
      <c r="K60" s="193">
        <v>13708</v>
      </c>
      <c r="L60" s="57" t="s">
        <v>122</v>
      </c>
      <c r="M60" s="127" t="s">
        <v>76</v>
      </c>
    </row>
    <row r="61" spans="1:13" s="27" customFormat="1" ht="93.6" customHeight="1" x14ac:dyDescent="0.25">
      <c r="A61" s="132"/>
      <c r="B61" s="122"/>
      <c r="C61" s="207"/>
      <c r="D61" s="129" t="s">
        <v>135</v>
      </c>
      <c r="E61" s="154">
        <v>0</v>
      </c>
      <c r="F61" s="154">
        <f>SUM(G61:K61)</f>
        <v>538.4</v>
      </c>
      <c r="G61" s="154">
        <v>0</v>
      </c>
      <c r="H61" s="154">
        <v>0</v>
      </c>
      <c r="I61" s="154">
        <v>538.4</v>
      </c>
      <c r="J61" s="154">
        <v>0</v>
      </c>
      <c r="K61" s="154">
        <v>0</v>
      </c>
      <c r="L61" s="57"/>
      <c r="M61" s="127"/>
    </row>
    <row r="62" spans="1:13" s="27" customFormat="1" ht="46.9" customHeight="1" x14ac:dyDescent="0.25">
      <c r="A62" s="22" t="s">
        <v>25</v>
      </c>
      <c r="B62" s="58" t="s">
        <v>26</v>
      </c>
      <c r="C62" s="129" t="s">
        <v>70</v>
      </c>
      <c r="D62" s="129" t="s">
        <v>57</v>
      </c>
      <c r="E62" s="181">
        <v>181</v>
      </c>
      <c r="F62" s="178">
        <f t="shared" si="15"/>
        <v>991.92146000000002</v>
      </c>
      <c r="G62" s="182">
        <f>G63</f>
        <v>359</v>
      </c>
      <c r="H62" s="182">
        <f>H63</f>
        <v>161</v>
      </c>
      <c r="I62" s="182">
        <f>I63</f>
        <v>271.92145999999997</v>
      </c>
      <c r="J62" s="182">
        <f t="shared" ref="J62:K62" si="16">J63</f>
        <v>100</v>
      </c>
      <c r="K62" s="182">
        <f t="shared" si="16"/>
        <v>100</v>
      </c>
      <c r="L62" s="302" t="s">
        <v>122</v>
      </c>
      <c r="M62" s="268" t="s">
        <v>17</v>
      </c>
    </row>
    <row r="63" spans="1:13" s="27" customFormat="1" ht="46.9" customHeight="1" x14ac:dyDescent="0.25">
      <c r="A63" s="22" t="s">
        <v>77</v>
      </c>
      <c r="B63" s="59" t="s">
        <v>47</v>
      </c>
      <c r="C63" s="129" t="s">
        <v>70</v>
      </c>
      <c r="D63" s="129" t="s">
        <v>57</v>
      </c>
      <c r="E63" s="154">
        <v>181</v>
      </c>
      <c r="F63" s="174">
        <f t="shared" si="15"/>
        <v>991.92146000000002</v>
      </c>
      <c r="G63" s="181">
        <v>359</v>
      </c>
      <c r="H63" s="194">
        <f>50+111</f>
        <v>161</v>
      </c>
      <c r="I63" s="182">
        <f>170+54.47+25.63+21.82146</f>
        <v>271.92145999999997</v>
      </c>
      <c r="J63" s="182">
        <v>100</v>
      </c>
      <c r="K63" s="182">
        <v>100</v>
      </c>
      <c r="L63" s="303"/>
      <c r="M63" s="229"/>
    </row>
    <row r="64" spans="1:13" s="27" customFormat="1" ht="99.6" customHeight="1" x14ac:dyDescent="0.25">
      <c r="A64" s="60" t="s">
        <v>27</v>
      </c>
      <c r="B64" s="45" t="s">
        <v>74</v>
      </c>
      <c r="C64" s="129" t="s">
        <v>70</v>
      </c>
      <c r="D64" s="129" t="s">
        <v>57</v>
      </c>
      <c r="E64" s="154">
        <v>1000</v>
      </c>
      <c r="F64" s="189">
        <f t="shared" si="15"/>
        <v>3910.8</v>
      </c>
      <c r="G64" s="154">
        <v>0</v>
      </c>
      <c r="H64" s="154">
        <f>1872.3+267+271.5</f>
        <v>2410.8000000000002</v>
      </c>
      <c r="I64" s="154">
        <v>1500</v>
      </c>
      <c r="J64" s="154">
        <v>0</v>
      </c>
      <c r="K64" s="154">
        <v>0</v>
      </c>
      <c r="L64" s="129" t="s">
        <v>122</v>
      </c>
      <c r="M64" s="116" t="s">
        <v>78</v>
      </c>
    </row>
    <row r="65" spans="1:23" s="27" customFormat="1" ht="118.15" customHeight="1" x14ac:dyDescent="0.25">
      <c r="A65" s="118" t="s">
        <v>117</v>
      </c>
      <c r="B65" s="120" t="s">
        <v>119</v>
      </c>
      <c r="C65" s="119" t="s">
        <v>70</v>
      </c>
      <c r="D65" s="129" t="s">
        <v>57</v>
      </c>
      <c r="E65" s="154">
        <v>0</v>
      </c>
      <c r="F65" s="189">
        <f t="shared" si="15"/>
        <v>676.3</v>
      </c>
      <c r="G65" s="185">
        <v>0</v>
      </c>
      <c r="H65" s="185">
        <f>636.3+40</f>
        <v>676.3</v>
      </c>
      <c r="I65" s="185">
        <v>0</v>
      </c>
      <c r="J65" s="185">
        <v>0</v>
      </c>
      <c r="K65" s="185">
        <v>0</v>
      </c>
      <c r="L65" s="129" t="s">
        <v>122</v>
      </c>
      <c r="M65" s="129" t="s">
        <v>118</v>
      </c>
    </row>
    <row r="66" spans="1:23" s="27" customFormat="1" ht="41.45" customHeight="1" x14ac:dyDescent="0.25">
      <c r="A66" s="226">
        <v>4</v>
      </c>
      <c r="B66" s="221" t="s">
        <v>106</v>
      </c>
      <c r="C66" s="220" t="s">
        <v>70</v>
      </c>
      <c r="D66" s="23" t="s">
        <v>12</v>
      </c>
      <c r="E66" s="195">
        <f>SUM(E67:E67)</f>
        <v>2895.77</v>
      </c>
      <c r="F66" s="195">
        <f t="shared" si="15"/>
        <v>11731.944</v>
      </c>
      <c r="G66" s="195">
        <f>SUM(G67:G67)</f>
        <v>2582</v>
      </c>
      <c r="H66" s="195">
        <f>SUM(H67:H67)</f>
        <v>1853</v>
      </c>
      <c r="I66" s="195">
        <f>SUM(I67:I67)</f>
        <v>3278.944</v>
      </c>
      <c r="J66" s="195">
        <f>SUM(J67:J67)</f>
        <v>2009</v>
      </c>
      <c r="K66" s="195">
        <f>SUM(K67:K67)</f>
        <v>2009</v>
      </c>
      <c r="L66" s="206"/>
      <c r="M66" s="206"/>
    </row>
    <row r="67" spans="1:23" s="27" customFormat="1" ht="45" customHeight="1" x14ac:dyDescent="0.25">
      <c r="A67" s="227"/>
      <c r="B67" s="221"/>
      <c r="C67" s="228"/>
      <c r="D67" s="61" t="s">
        <v>57</v>
      </c>
      <c r="E67" s="174">
        <f>E68</f>
        <v>2895.77</v>
      </c>
      <c r="F67" s="174">
        <f>SUM(G67:K67)</f>
        <v>11731.944</v>
      </c>
      <c r="G67" s="174">
        <f>G68</f>
        <v>2582</v>
      </c>
      <c r="H67" s="174">
        <f>H68</f>
        <v>1853</v>
      </c>
      <c r="I67" s="174">
        <f>I68+I69+I70</f>
        <v>3278.944</v>
      </c>
      <c r="J67" s="174">
        <f>J68</f>
        <v>2009</v>
      </c>
      <c r="K67" s="174">
        <f>K68</f>
        <v>2009</v>
      </c>
      <c r="L67" s="207"/>
      <c r="M67" s="207"/>
    </row>
    <row r="68" spans="1:23" s="27" customFormat="1" ht="70.900000000000006" customHeight="1" x14ac:dyDescent="0.25">
      <c r="A68" s="24" t="s">
        <v>43</v>
      </c>
      <c r="B68" s="129" t="s">
        <v>107</v>
      </c>
      <c r="C68" s="129" t="s">
        <v>70</v>
      </c>
      <c r="D68" s="129" t="s">
        <v>57</v>
      </c>
      <c r="E68" s="154">
        <f>1576.1+1319.67</f>
        <v>2895.77</v>
      </c>
      <c r="F68" s="174">
        <f>SUM(G68:K68)</f>
        <v>11465.1</v>
      </c>
      <c r="G68" s="154">
        <v>2582</v>
      </c>
      <c r="H68" s="154">
        <v>1853</v>
      </c>
      <c r="I68" s="154">
        <f>2144.5+867.6</f>
        <v>3012.1</v>
      </c>
      <c r="J68" s="154">
        <v>2009</v>
      </c>
      <c r="K68" s="154">
        <v>2009</v>
      </c>
      <c r="L68" s="129" t="s">
        <v>122</v>
      </c>
      <c r="M68" s="129" t="s">
        <v>52</v>
      </c>
    </row>
    <row r="69" spans="1:23" s="27" customFormat="1" ht="156.75" customHeight="1" x14ac:dyDescent="0.25">
      <c r="A69" s="25" t="s">
        <v>87</v>
      </c>
      <c r="B69" s="116" t="s">
        <v>89</v>
      </c>
      <c r="C69" s="116" t="s">
        <v>70</v>
      </c>
      <c r="D69" s="116" t="s">
        <v>57</v>
      </c>
      <c r="E69" s="196">
        <v>0</v>
      </c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16" t="s">
        <v>122</v>
      </c>
      <c r="M69" s="116" t="s">
        <v>88</v>
      </c>
    </row>
    <row r="70" spans="1:23" s="27" customFormat="1" ht="63" customHeight="1" x14ac:dyDescent="0.25">
      <c r="A70" s="26" t="s">
        <v>137</v>
      </c>
      <c r="B70" s="116" t="s">
        <v>144</v>
      </c>
      <c r="C70" s="116" t="s">
        <v>70</v>
      </c>
      <c r="D70" s="116" t="s">
        <v>57</v>
      </c>
      <c r="E70" s="154">
        <v>0</v>
      </c>
      <c r="F70" s="154">
        <f>SUM(G70:K70)</f>
        <v>266.84399999999999</v>
      </c>
      <c r="G70" s="154">
        <v>0</v>
      </c>
      <c r="H70" s="154">
        <v>0</v>
      </c>
      <c r="I70" s="196">
        <f>270-3.156</f>
        <v>266.84399999999999</v>
      </c>
      <c r="J70" s="196">
        <v>0</v>
      </c>
      <c r="K70" s="196">
        <v>0</v>
      </c>
      <c r="L70" s="115"/>
      <c r="M70" s="116" t="s">
        <v>142</v>
      </c>
    </row>
    <row r="71" spans="1:23" s="27" customFormat="1" ht="31.5" customHeight="1" x14ac:dyDescent="0.25">
      <c r="A71" s="222" t="s">
        <v>44</v>
      </c>
      <c r="B71" s="219" t="s">
        <v>79</v>
      </c>
      <c r="C71" s="219" t="s">
        <v>70</v>
      </c>
      <c r="D71" s="114" t="s">
        <v>12</v>
      </c>
      <c r="E71" s="197">
        <f>E72</f>
        <v>2500</v>
      </c>
      <c r="F71" s="197">
        <f t="shared" ref="F71:K72" si="17">F72</f>
        <v>0</v>
      </c>
      <c r="G71" s="197">
        <f t="shared" si="17"/>
        <v>0</v>
      </c>
      <c r="H71" s="197">
        <f t="shared" si="17"/>
        <v>0</v>
      </c>
      <c r="I71" s="197">
        <f t="shared" si="17"/>
        <v>0</v>
      </c>
      <c r="J71" s="197">
        <f t="shared" si="17"/>
        <v>0</v>
      </c>
      <c r="K71" s="197">
        <f t="shared" si="17"/>
        <v>0</v>
      </c>
      <c r="L71" s="208"/>
      <c r="M71" s="206"/>
    </row>
    <row r="72" spans="1:23" s="27" customFormat="1" ht="51" customHeight="1" x14ac:dyDescent="0.25">
      <c r="A72" s="223"/>
      <c r="B72" s="220"/>
      <c r="C72" s="220"/>
      <c r="D72" s="114" t="s">
        <v>57</v>
      </c>
      <c r="E72" s="174">
        <f>E73</f>
        <v>2500</v>
      </c>
      <c r="F72" s="174">
        <f>F73</f>
        <v>0</v>
      </c>
      <c r="G72" s="174">
        <f t="shared" si="17"/>
        <v>0</v>
      </c>
      <c r="H72" s="174">
        <f t="shared" si="17"/>
        <v>0</v>
      </c>
      <c r="I72" s="174">
        <f t="shared" si="17"/>
        <v>0</v>
      </c>
      <c r="J72" s="174">
        <f t="shared" si="17"/>
        <v>0</v>
      </c>
      <c r="K72" s="174">
        <f t="shared" si="17"/>
        <v>0</v>
      </c>
      <c r="L72" s="209"/>
      <c r="M72" s="207"/>
    </row>
    <row r="73" spans="1:23" s="27" customFormat="1" ht="120.75" customHeight="1" x14ac:dyDescent="0.25">
      <c r="A73" s="28" t="s">
        <v>45</v>
      </c>
      <c r="B73" s="129" t="s">
        <v>51</v>
      </c>
      <c r="C73" s="129"/>
      <c r="D73" s="129" t="s">
        <v>57</v>
      </c>
      <c r="E73" s="154">
        <v>2500</v>
      </c>
      <c r="F73" s="174">
        <f t="shared" ref="F73:F78" si="18">SUM(G73:K73)</f>
        <v>0</v>
      </c>
      <c r="G73" s="154">
        <v>0</v>
      </c>
      <c r="H73" s="154">
        <v>0</v>
      </c>
      <c r="I73" s="154">
        <v>0</v>
      </c>
      <c r="J73" s="154">
        <v>0</v>
      </c>
      <c r="K73" s="154">
        <v>0</v>
      </c>
      <c r="L73" s="129" t="s">
        <v>122</v>
      </c>
      <c r="M73" s="129" t="s">
        <v>69</v>
      </c>
    </row>
    <row r="74" spans="1:23" s="27" customFormat="1" ht="24.6" customHeight="1" x14ac:dyDescent="0.25">
      <c r="A74" s="224" t="s">
        <v>112</v>
      </c>
      <c r="B74" s="224" t="s">
        <v>134</v>
      </c>
      <c r="C74" s="224" t="s">
        <v>110</v>
      </c>
      <c r="D74" s="2" t="s">
        <v>111</v>
      </c>
      <c r="E74" s="198">
        <f>E75</f>
        <v>0</v>
      </c>
      <c r="F74" s="199">
        <f t="shared" si="18"/>
        <v>62568.753290000001</v>
      </c>
      <c r="G74" s="198">
        <f>G75</f>
        <v>0</v>
      </c>
      <c r="H74" s="198">
        <f>H75</f>
        <v>15089.984</v>
      </c>
      <c r="I74" s="198">
        <f>I75</f>
        <v>16659.76929</v>
      </c>
      <c r="J74" s="198">
        <f>J75</f>
        <v>15409.5</v>
      </c>
      <c r="K74" s="198">
        <f>K75</f>
        <v>15409.5</v>
      </c>
      <c r="L74" s="204"/>
      <c r="M74" s="312"/>
    </row>
    <row r="75" spans="1:23" s="27" customFormat="1" ht="36.6" customHeight="1" x14ac:dyDescent="0.25">
      <c r="A75" s="225"/>
      <c r="B75" s="225"/>
      <c r="C75" s="224"/>
      <c r="D75" s="2" t="s">
        <v>54</v>
      </c>
      <c r="E75" s="198">
        <f>SUM(E76:E78)</f>
        <v>0</v>
      </c>
      <c r="F75" s="199">
        <f t="shared" si="18"/>
        <v>62568.753290000001</v>
      </c>
      <c r="G75" s="198">
        <f>SUM(G76:G78)</f>
        <v>0</v>
      </c>
      <c r="H75" s="198">
        <f>SUM(H76:H78)</f>
        <v>15089.984</v>
      </c>
      <c r="I75" s="198">
        <f>SUM(I76:I78)</f>
        <v>16659.76929</v>
      </c>
      <c r="J75" s="198">
        <f>SUM(J76:J78)</f>
        <v>15409.5</v>
      </c>
      <c r="K75" s="198">
        <f>SUM(K76:K78)</f>
        <v>15409.5</v>
      </c>
      <c r="L75" s="205"/>
      <c r="M75" s="313"/>
    </row>
    <row r="76" spans="1:23" s="27" customFormat="1" ht="36.6" customHeight="1" x14ac:dyDescent="0.25">
      <c r="A76" s="4" t="s">
        <v>113</v>
      </c>
      <c r="B76" s="6" t="s">
        <v>175</v>
      </c>
      <c r="C76" s="6" t="s">
        <v>70</v>
      </c>
      <c r="D76" s="5" t="s">
        <v>54</v>
      </c>
      <c r="E76" s="200">
        <v>0</v>
      </c>
      <c r="F76" s="198">
        <f t="shared" si="18"/>
        <v>61666.753290000008</v>
      </c>
      <c r="G76" s="200">
        <v>0</v>
      </c>
      <c r="H76" s="200">
        <f>13516.4+1007.073-315+308.911</f>
        <v>14517.384</v>
      </c>
      <c r="I76" s="200">
        <f>15332.8+1130.3-159.67+437.15-203.905-52.90571</f>
        <v>16483.76929</v>
      </c>
      <c r="J76" s="200">
        <v>15332.8</v>
      </c>
      <c r="K76" s="200">
        <v>15332.8</v>
      </c>
      <c r="L76" s="3" t="s">
        <v>122</v>
      </c>
      <c r="M76" s="135"/>
    </row>
    <row r="77" spans="1:23" s="27" customFormat="1" ht="37.9" customHeight="1" x14ac:dyDescent="0.25">
      <c r="A77" s="4" t="s">
        <v>114</v>
      </c>
      <c r="B77" s="6" t="s">
        <v>176</v>
      </c>
      <c r="C77" s="6" t="s">
        <v>70</v>
      </c>
      <c r="D77" s="5" t="s">
        <v>54</v>
      </c>
      <c r="E77" s="200">
        <v>0</v>
      </c>
      <c r="F77" s="198">
        <f t="shared" si="18"/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v>0</v>
      </c>
      <c r="L77" s="3" t="s">
        <v>122</v>
      </c>
      <c r="M77" s="135"/>
    </row>
    <row r="78" spans="1:23" s="27" customFormat="1" ht="40.9" customHeight="1" x14ac:dyDescent="0.25">
      <c r="A78" s="4" t="s">
        <v>115</v>
      </c>
      <c r="B78" s="6" t="s">
        <v>177</v>
      </c>
      <c r="C78" s="6" t="s">
        <v>70</v>
      </c>
      <c r="D78" s="5" t="s">
        <v>57</v>
      </c>
      <c r="E78" s="200">
        <v>0</v>
      </c>
      <c r="F78" s="198">
        <f t="shared" si="18"/>
        <v>902.00000000000011</v>
      </c>
      <c r="G78" s="200">
        <v>0</v>
      </c>
      <c r="H78" s="200">
        <v>572.6</v>
      </c>
      <c r="I78" s="200">
        <f>76.7+99.3</f>
        <v>176</v>
      </c>
      <c r="J78" s="200">
        <v>76.7</v>
      </c>
      <c r="K78" s="200">
        <v>76.7</v>
      </c>
      <c r="L78" s="3" t="s">
        <v>122</v>
      </c>
      <c r="M78" s="135"/>
    </row>
    <row r="79" spans="1:23" s="27" customFormat="1" ht="28.15" customHeight="1" x14ac:dyDescent="0.25">
      <c r="A79" s="216" t="s">
        <v>28</v>
      </c>
      <c r="B79" s="217"/>
      <c r="C79" s="217"/>
      <c r="D79" s="218"/>
      <c r="E79" s="145">
        <f t="shared" ref="E79:G79" si="19">SUM(E80:E87)</f>
        <v>579578.14000000013</v>
      </c>
      <c r="F79" s="145">
        <f>SUM(F80:F87)-F81</f>
        <v>2839547.6537000001</v>
      </c>
      <c r="G79" s="145">
        <f t="shared" si="19"/>
        <v>523046.21299999999</v>
      </c>
      <c r="H79" s="145">
        <f>H80+H87+H84+H85</f>
        <v>574672.12000000011</v>
      </c>
      <c r="I79" s="145">
        <f>I80+I87+I84+I85+I82+I83</f>
        <v>687774.32069999981</v>
      </c>
      <c r="J79" s="145">
        <f t="shared" ref="J79:K79" si="20">J80+J87+J84+J85</f>
        <v>527027.5</v>
      </c>
      <c r="K79" s="145">
        <f t="shared" si="20"/>
        <v>527027.5</v>
      </c>
      <c r="L79" s="121"/>
      <c r="M79" s="127"/>
    </row>
    <row r="80" spans="1:23" s="27" customFormat="1" ht="42" customHeight="1" x14ac:dyDescent="0.25">
      <c r="A80" s="224" t="s">
        <v>70</v>
      </c>
      <c r="B80" s="224"/>
      <c r="C80" s="224"/>
      <c r="D80" s="113" t="s">
        <v>54</v>
      </c>
      <c r="E80" s="147">
        <f>E10+E28+E58+E67+E72+E75</f>
        <v>498028.12000000005</v>
      </c>
      <c r="F80" s="147">
        <f>SUM(G80:K80)</f>
        <v>2579616.13894</v>
      </c>
      <c r="G80" s="147">
        <f>G10+G28+G58+G67+G72+G75</f>
        <v>501713.8</v>
      </c>
      <c r="H80" s="147">
        <f>H10+H28+H58+H67+H72+H75</f>
        <v>540246.98400000005</v>
      </c>
      <c r="I80" s="147">
        <f>I10+I28+I58+I67+I75</f>
        <v>541067.15493999992</v>
      </c>
      <c r="J80" s="147">
        <f>J10+J28+J58+J67+J72+J75</f>
        <v>498294.1</v>
      </c>
      <c r="K80" s="147">
        <f>K10+K28+K58+K67+K72+K75</f>
        <v>498294.1</v>
      </c>
      <c r="L80" s="137"/>
      <c r="M80" s="124"/>
      <c r="S80" s="62"/>
      <c r="T80" s="62"/>
      <c r="U80" s="62"/>
      <c r="V80" s="62"/>
      <c r="W80" s="62"/>
    </row>
    <row r="81" spans="1:23" s="27" customFormat="1" ht="83.25" customHeight="1" x14ac:dyDescent="0.25">
      <c r="A81" s="224"/>
      <c r="B81" s="224"/>
      <c r="C81" s="224"/>
      <c r="D81" s="114" t="s">
        <v>127</v>
      </c>
      <c r="E81" s="147">
        <v>0</v>
      </c>
      <c r="F81" s="147">
        <f t="shared" ref="F81:F85" si="21">SUM(G81:K81)</f>
        <v>47661.4</v>
      </c>
      <c r="G81" s="147">
        <v>0</v>
      </c>
      <c r="H81" s="147">
        <v>35000</v>
      </c>
      <c r="I81" s="147">
        <f>I11+I29+I59</f>
        <v>12661.4</v>
      </c>
      <c r="J81" s="147">
        <v>0</v>
      </c>
      <c r="K81" s="147">
        <v>0</v>
      </c>
      <c r="L81" s="137"/>
      <c r="M81" s="124"/>
      <c r="S81" s="63"/>
      <c r="T81" s="63"/>
      <c r="U81" s="63"/>
      <c r="V81" s="63"/>
      <c r="W81" s="64"/>
    </row>
    <row r="82" spans="1:23" s="27" customFormat="1" ht="79.150000000000006" customHeight="1" x14ac:dyDescent="0.25">
      <c r="A82" s="224"/>
      <c r="B82" s="224"/>
      <c r="C82" s="224"/>
      <c r="D82" s="133" t="s">
        <v>152</v>
      </c>
      <c r="E82" s="147">
        <v>0</v>
      </c>
      <c r="F82" s="147">
        <f t="shared" si="21"/>
        <v>115485.72375999999</v>
      </c>
      <c r="G82" s="147">
        <f t="shared" ref="G82:H82" si="22">G92</f>
        <v>0</v>
      </c>
      <c r="H82" s="147">
        <f t="shared" si="22"/>
        <v>0</v>
      </c>
      <c r="I82" s="147">
        <f>I12</f>
        <v>115485.72375999999</v>
      </c>
      <c r="J82" s="147">
        <f>J12</f>
        <v>0</v>
      </c>
      <c r="K82" s="147">
        <f>K12</f>
        <v>0</v>
      </c>
      <c r="L82" s="65"/>
      <c r="M82" s="118"/>
    </row>
    <row r="83" spans="1:23" s="27" customFormat="1" ht="47.25" x14ac:dyDescent="0.25">
      <c r="A83" s="224"/>
      <c r="B83" s="224"/>
      <c r="C83" s="224"/>
      <c r="D83" s="133" t="s">
        <v>162</v>
      </c>
      <c r="E83" s="147">
        <v>0</v>
      </c>
      <c r="F83" s="147">
        <f t="shared" si="21"/>
        <v>1378.07</v>
      </c>
      <c r="G83" s="147">
        <f>G32</f>
        <v>0</v>
      </c>
      <c r="H83" s="147">
        <f t="shared" ref="H83:K83" si="23">H32</f>
        <v>0</v>
      </c>
      <c r="I83" s="147">
        <f t="shared" si="23"/>
        <v>1378.07</v>
      </c>
      <c r="J83" s="147">
        <f t="shared" si="23"/>
        <v>0</v>
      </c>
      <c r="K83" s="147">
        <f t="shared" si="23"/>
        <v>0</v>
      </c>
      <c r="L83" s="65"/>
      <c r="M83" s="118"/>
    </row>
    <row r="84" spans="1:23" s="27" customFormat="1" ht="31.15" customHeight="1" x14ac:dyDescent="0.25">
      <c r="A84" s="224"/>
      <c r="B84" s="224"/>
      <c r="C84" s="224"/>
      <c r="D84" s="133" t="s">
        <v>90</v>
      </c>
      <c r="E84" s="148">
        <f>E8</f>
        <v>48890.37</v>
      </c>
      <c r="F84" s="145">
        <f t="shared" si="21"/>
        <v>1090.3699999999999</v>
      </c>
      <c r="G84" s="148">
        <v>0</v>
      </c>
      <c r="H84" s="148">
        <f>H31</f>
        <v>631</v>
      </c>
      <c r="I84" s="148">
        <f t="shared" ref="I84:K84" si="24">I31</f>
        <v>459.37</v>
      </c>
      <c r="J84" s="148">
        <f t="shared" si="24"/>
        <v>0</v>
      </c>
      <c r="K84" s="148">
        <f t="shared" si="24"/>
        <v>0</v>
      </c>
      <c r="L84" s="65"/>
      <c r="M84" s="118"/>
    </row>
    <row r="85" spans="1:23" s="27" customFormat="1" ht="80.45" customHeight="1" x14ac:dyDescent="0.25">
      <c r="A85" s="224"/>
      <c r="B85" s="224"/>
      <c r="C85" s="224"/>
      <c r="D85" s="133" t="s">
        <v>83</v>
      </c>
      <c r="E85" s="147">
        <f>E9+E30</f>
        <v>17909.63</v>
      </c>
      <c r="F85" s="146">
        <f t="shared" si="21"/>
        <v>6170.1030000000001</v>
      </c>
      <c r="G85" s="147">
        <v>197.10300000000001</v>
      </c>
      <c r="H85" s="147">
        <f>H30+H13</f>
        <v>5973</v>
      </c>
      <c r="I85" s="147">
        <f>I30+I13</f>
        <v>0</v>
      </c>
      <c r="J85" s="147">
        <f>J30+J13</f>
        <v>0</v>
      </c>
      <c r="K85" s="147">
        <f>K30+K13</f>
        <v>0</v>
      </c>
      <c r="L85" s="137"/>
      <c r="M85" s="124"/>
    </row>
    <row r="86" spans="1:23" s="27" customFormat="1" ht="66" customHeight="1" x14ac:dyDescent="0.25">
      <c r="A86" s="224"/>
      <c r="B86" s="224"/>
      <c r="C86" s="224"/>
      <c r="D86" s="114" t="s">
        <v>55</v>
      </c>
      <c r="E86" s="143">
        <f>E91</f>
        <v>0</v>
      </c>
      <c r="F86" s="306" t="s">
        <v>91</v>
      </c>
      <c r="G86" s="248"/>
      <c r="H86" s="248"/>
      <c r="I86" s="248"/>
      <c r="J86" s="248"/>
      <c r="K86" s="249"/>
      <c r="L86" s="137"/>
      <c r="M86" s="124"/>
    </row>
    <row r="87" spans="1:23" s="27" customFormat="1" ht="30.6" customHeight="1" x14ac:dyDescent="0.25">
      <c r="A87" s="224"/>
      <c r="B87" s="224"/>
      <c r="C87" s="224"/>
      <c r="D87" s="113" t="s">
        <v>56</v>
      </c>
      <c r="E87" s="147">
        <f>E33</f>
        <v>14750.02</v>
      </c>
      <c r="F87" s="147">
        <f>SUM(G87:K87)</f>
        <v>135807.24799999999</v>
      </c>
      <c r="G87" s="147">
        <f>G33</f>
        <v>21135.31</v>
      </c>
      <c r="H87" s="147">
        <f>H33</f>
        <v>27821.135999999999</v>
      </c>
      <c r="I87" s="147">
        <f>I33</f>
        <v>29384.002</v>
      </c>
      <c r="J87" s="147">
        <f>J33</f>
        <v>28733.4</v>
      </c>
      <c r="K87" s="147">
        <f>K33</f>
        <v>28733.4</v>
      </c>
      <c r="L87" s="137"/>
      <c r="M87" s="124"/>
      <c r="N87" s="63"/>
      <c r="O87" s="63"/>
      <c r="P87" s="63"/>
    </row>
    <row r="88" spans="1:23" ht="92.25" customHeight="1" x14ac:dyDescent="0.25">
      <c r="A88" s="267" t="s">
        <v>154</v>
      </c>
      <c r="B88" s="267"/>
      <c r="C88" s="267"/>
      <c r="D88" s="267"/>
      <c r="E88" s="267"/>
      <c r="F88" s="267"/>
      <c r="G88" s="267"/>
      <c r="H88" s="267"/>
      <c r="I88" s="267"/>
      <c r="J88" s="267"/>
      <c r="K88" s="267"/>
      <c r="L88" s="267"/>
      <c r="M88" s="267"/>
    </row>
    <row r="89" spans="1:23" ht="30" customHeight="1" x14ac:dyDescent="0.25">
      <c r="A89" s="267"/>
      <c r="B89" s="267"/>
      <c r="C89" s="267"/>
      <c r="D89" s="267"/>
      <c r="E89" s="267"/>
      <c r="F89" s="267"/>
      <c r="G89" s="267"/>
      <c r="H89" s="267"/>
      <c r="I89" s="267"/>
      <c r="J89" s="267"/>
      <c r="K89" s="267"/>
      <c r="L89" s="267"/>
    </row>
    <row r="90" spans="1:23" ht="24.75" customHeight="1" x14ac:dyDescent="0.25">
      <c r="B90" s="267"/>
      <c r="C90" s="267"/>
      <c r="D90" s="267"/>
      <c r="E90" s="267"/>
      <c r="F90" s="267"/>
      <c r="G90" s="267"/>
      <c r="H90" s="267"/>
      <c r="I90" s="267"/>
      <c r="J90" s="267"/>
      <c r="K90" s="267"/>
      <c r="L90" s="267"/>
      <c r="M90" s="267"/>
    </row>
    <row r="94" spans="1:23" x14ac:dyDescent="0.25">
      <c r="I94" s="66"/>
      <c r="J94" s="66"/>
    </row>
  </sheetData>
  <mergeCells count="101">
    <mergeCell ref="B90:M90"/>
    <mergeCell ref="A80:C87"/>
    <mergeCell ref="B34:B35"/>
    <mergeCell ref="L62:L63"/>
    <mergeCell ref="M62:M63"/>
    <mergeCell ref="C48:C50"/>
    <mergeCell ref="M38:M43"/>
    <mergeCell ref="L38:L43"/>
    <mergeCell ref="M44:M47"/>
    <mergeCell ref="B44:B47"/>
    <mergeCell ref="B48:B50"/>
    <mergeCell ref="F86:K86"/>
    <mergeCell ref="C60:C61"/>
    <mergeCell ref="C57:C58"/>
    <mergeCell ref="A34:A35"/>
    <mergeCell ref="M57:M58"/>
    <mergeCell ref="A89:L89"/>
    <mergeCell ref="M74:M75"/>
    <mergeCell ref="L57:L58"/>
    <mergeCell ref="A57:A59"/>
    <mergeCell ref="B57:B59"/>
    <mergeCell ref="A53:A56"/>
    <mergeCell ref="L51:L52"/>
    <mergeCell ref="M51:M52"/>
    <mergeCell ref="J1:M1"/>
    <mergeCell ref="J2:M2"/>
    <mergeCell ref="A3:M3"/>
    <mergeCell ref="A4:A5"/>
    <mergeCell ref="B4:B5"/>
    <mergeCell ref="C4:C5"/>
    <mergeCell ref="D4:D5"/>
    <mergeCell ref="E4:E5"/>
    <mergeCell ref="F4:F5"/>
    <mergeCell ref="G4:K4"/>
    <mergeCell ref="L4:L5"/>
    <mergeCell ref="M4:M5"/>
    <mergeCell ref="A88:M88"/>
    <mergeCell ref="B14:B15"/>
    <mergeCell ref="C14:C15"/>
    <mergeCell ref="B16:B18"/>
    <mergeCell ref="A16:A18"/>
    <mergeCell ref="C16:C18"/>
    <mergeCell ref="B55:B56"/>
    <mergeCell ref="L48:L50"/>
    <mergeCell ref="A27:A33"/>
    <mergeCell ref="B27:B33"/>
    <mergeCell ref="C27:C33"/>
    <mergeCell ref="A25:A26"/>
    <mergeCell ref="B25:B26"/>
    <mergeCell ref="C25:C26"/>
    <mergeCell ref="M48:M50"/>
    <mergeCell ref="A44:A47"/>
    <mergeCell ref="A48:A50"/>
    <mergeCell ref="M14:M15"/>
    <mergeCell ref="A38:A43"/>
    <mergeCell ref="B38:B43"/>
    <mergeCell ref="C38:C43"/>
    <mergeCell ref="L44:L47"/>
    <mergeCell ref="L14:L15"/>
    <mergeCell ref="B20:B23"/>
    <mergeCell ref="A7:A13"/>
    <mergeCell ref="B7:B13"/>
    <mergeCell ref="C7:C13"/>
    <mergeCell ref="L7:L13"/>
    <mergeCell ref="M7:M13"/>
    <mergeCell ref="F9:K9"/>
    <mergeCell ref="L53:L56"/>
    <mergeCell ref="M53:M56"/>
    <mergeCell ref="B53:B54"/>
    <mergeCell ref="C53:C56"/>
    <mergeCell ref="L20:L22"/>
    <mergeCell ref="L27:L33"/>
    <mergeCell ref="C20:C23"/>
    <mergeCell ref="F20:K20"/>
    <mergeCell ref="F25:K25"/>
    <mergeCell ref="L16:L18"/>
    <mergeCell ref="M17:M18"/>
    <mergeCell ref="A14:A15"/>
    <mergeCell ref="L74:L75"/>
    <mergeCell ref="L66:L67"/>
    <mergeCell ref="M66:M67"/>
    <mergeCell ref="L71:L72"/>
    <mergeCell ref="M71:M72"/>
    <mergeCell ref="M20:M22"/>
    <mergeCell ref="A51:A52"/>
    <mergeCell ref="L34:L35"/>
    <mergeCell ref="A79:D79"/>
    <mergeCell ref="C71:C72"/>
    <mergeCell ref="B66:B67"/>
    <mergeCell ref="A71:A72"/>
    <mergeCell ref="B71:B72"/>
    <mergeCell ref="A74:A75"/>
    <mergeCell ref="B74:B75"/>
    <mergeCell ref="C74:C75"/>
    <mergeCell ref="A66:A67"/>
    <mergeCell ref="C66:C67"/>
    <mergeCell ref="M27:M33"/>
    <mergeCell ref="B51:B52"/>
    <mergeCell ref="A20:A23"/>
    <mergeCell ref="C51:C52"/>
    <mergeCell ref="C44:C47"/>
  </mergeCells>
  <phoneticPr fontId="2" type="noConversion"/>
  <pageMargins left="0.39370078740157483" right="0.39370078740157483" top="0.35433070866141736" bottom="0.39370078740157483" header="0.11811023622047245" footer="0.11811023622047245"/>
  <pageSetup paperSize="9" scale="56" fitToHeight="7" orientation="landscape" r:id="rId1"/>
  <rowBreaks count="3" manualBreakCount="3">
    <brk id="15" max="12" man="1"/>
    <brk id="24" max="12" man="1"/>
    <brk id="3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view="pageBreakPreview" zoomScale="70" zoomScaleNormal="80" zoomScaleSheetLayoutView="70" workbookViewId="0">
      <selection activeCell="J1" sqref="J1:P1"/>
    </sheetView>
  </sheetViews>
  <sheetFormatPr defaultRowHeight="14.25" x14ac:dyDescent="0.2"/>
  <cols>
    <col min="1" max="1" width="3.875" style="9" customWidth="1"/>
    <col min="2" max="2" width="14.625" style="9" customWidth="1"/>
    <col min="3" max="3" width="15" style="9" customWidth="1"/>
    <col min="4" max="4" width="13.25" style="9" customWidth="1"/>
    <col min="5" max="6" width="12.875" style="9" customWidth="1"/>
    <col min="7" max="8" width="13.875" style="9" customWidth="1"/>
    <col min="9" max="9" width="33.5" style="9" customWidth="1"/>
    <col min="10" max="10" width="6.75" style="9" customWidth="1"/>
    <col min="11" max="11" width="13.375" style="9" customWidth="1"/>
    <col min="12" max="12" width="10.875" style="9" customWidth="1"/>
    <col min="13" max="13" width="10.125" style="9" customWidth="1"/>
    <col min="14" max="14" width="10" style="9" customWidth="1"/>
    <col min="15" max="15" width="9.875" style="9" customWidth="1"/>
    <col min="16" max="16" width="9.75" style="9" customWidth="1"/>
    <col min="17" max="16384" width="9" style="9"/>
  </cols>
  <sheetData>
    <row r="1" spans="1:16" ht="83.45" customHeight="1" x14ac:dyDescent="0.2">
      <c r="A1" s="67"/>
      <c r="B1" s="67"/>
      <c r="C1" s="67"/>
      <c r="D1" s="67"/>
      <c r="E1" s="67"/>
      <c r="F1" s="67"/>
      <c r="G1" s="67"/>
      <c r="H1" s="67"/>
      <c r="I1" s="67"/>
      <c r="J1" s="352" t="s">
        <v>180</v>
      </c>
      <c r="K1" s="352"/>
      <c r="L1" s="352"/>
      <c r="M1" s="352"/>
      <c r="N1" s="352"/>
      <c r="O1" s="352"/>
      <c r="P1" s="352"/>
    </row>
    <row r="2" spans="1:16" ht="56.25" customHeight="1" x14ac:dyDescent="0.25">
      <c r="A2" s="353" t="s">
        <v>63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</row>
    <row r="3" spans="1:16" ht="38.25" customHeight="1" x14ac:dyDescent="0.2">
      <c r="A3" s="354" t="s">
        <v>29</v>
      </c>
      <c r="B3" s="355" t="s">
        <v>64</v>
      </c>
      <c r="C3" s="355" t="s">
        <v>150</v>
      </c>
      <c r="D3" s="355"/>
      <c r="E3" s="355"/>
      <c r="F3" s="355"/>
      <c r="G3" s="355"/>
      <c r="H3" s="355"/>
      <c r="I3" s="355" t="s">
        <v>65</v>
      </c>
      <c r="J3" s="355" t="s">
        <v>66</v>
      </c>
      <c r="K3" s="355" t="s">
        <v>103</v>
      </c>
      <c r="L3" s="355" t="s">
        <v>67</v>
      </c>
      <c r="M3" s="355"/>
      <c r="N3" s="355"/>
      <c r="O3" s="355"/>
      <c r="P3" s="355"/>
    </row>
    <row r="4" spans="1:16" ht="127.9" customHeight="1" x14ac:dyDescent="0.2">
      <c r="A4" s="354"/>
      <c r="B4" s="355"/>
      <c r="C4" s="16" t="s">
        <v>68</v>
      </c>
      <c r="D4" s="16" t="s">
        <v>152</v>
      </c>
      <c r="E4" s="16" t="s">
        <v>30</v>
      </c>
      <c r="F4" s="16" t="s">
        <v>162</v>
      </c>
      <c r="G4" s="16" t="s">
        <v>92</v>
      </c>
      <c r="H4" s="16" t="s">
        <v>31</v>
      </c>
      <c r="I4" s="355"/>
      <c r="J4" s="355"/>
      <c r="K4" s="355"/>
      <c r="L4" s="16">
        <v>2017</v>
      </c>
      <c r="M4" s="16">
        <v>2018</v>
      </c>
      <c r="N4" s="16">
        <v>2019</v>
      </c>
      <c r="O4" s="16">
        <v>2020</v>
      </c>
      <c r="P4" s="16">
        <v>2021</v>
      </c>
    </row>
    <row r="5" spans="1:16" ht="15.75" x14ac:dyDescent="0.2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  <c r="L5" s="29">
        <v>12</v>
      </c>
      <c r="M5" s="29">
        <v>13</v>
      </c>
      <c r="N5" s="29">
        <v>14</v>
      </c>
      <c r="O5" s="29">
        <v>15</v>
      </c>
      <c r="P5" s="29">
        <v>16</v>
      </c>
    </row>
    <row r="6" spans="1:16" ht="42" customHeight="1" x14ac:dyDescent="0.2">
      <c r="A6" s="354">
        <v>1</v>
      </c>
      <c r="B6" s="357" t="s">
        <v>102</v>
      </c>
      <c r="C6" s="358"/>
      <c r="D6" s="358"/>
      <c r="E6" s="358"/>
      <c r="F6" s="358"/>
      <c r="G6" s="358"/>
      <c r="H6" s="358"/>
      <c r="I6" s="359"/>
      <c r="J6" s="68" t="s">
        <v>37</v>
      </c>
      <c r="K6" s="68">
        <v>34.5</v>
      </c>
      <c r="L6" s="68">
        <v>36.5</v>
      </c>
      <c r="M6" s="68">
        <v>38.5</v>
      </c>
      <c r="N6" s="68">
        <v>39</v>
      </c>
      <c r="O6" s="68">
        <v>39.5</v>
      </c>
      <c r="P6" s="68">
        <v>40</v>
      </c>
    </row>
    <row r="7" spans="1:16" ht="47.25" x14ac:dyDescent="0.2">
      <c r="A7" s="354"/>
      <c r="B7" s="356"/>
      <c r="C7" s="318">
        <f>'прил.1 на 2019 год'!F10</f>
        <v>82974.475489999997</v>
      </c>
      <c r="D7" s="318">
        <f>'прил.1 на 2019 год'!F12</f>
        <v>115485.72375999999</v>
      </c>
      <c r="E7" s="318">
        <v>0</v>
      </c>
      <c r="F7" s="318">
        <v>0</v>
      </c>
      <c r="G7" s="319">
        <f>'прил.1 на 2019 год'!F13</f>
        <v>447.10300000000001</v>
      </c>
      <c r="H7" s="318">
        <v>0</v>
      </c>
      <c r="I7" s="69" t="s">
        <v>53</v>
      </c>
      <c r="J7" s="70" t="s">
        <v>48</v>
      </c>
      <c r="K7" s="70">
        <v>109</v>
      </c>
      <c r="L7" s="70">
        <v>116.8</v>
      </c>
      <c r="M7" s="70">
        <v>118</v>
      </c>
      <c r="N7" s="70">
        <v>122</v>
      </c>
      <c r="O7" s="70">
        <v>125</v>
      </c>
      <c r="P7" s="70">
        <v>128</v>
      </c>
    </row>
    <row r="8" spans="1:16" ht="53.25" customHeight="1" x14ac:dyDescent="0.2">
      <c r="A8" s="354"/>
      <c r="B8" s="356"/>
      <c r="C8" s="318"/>
      <c r="D8" s="318"/>
      <c r="E8" s="318"/>
      <c r="F8" s="318"/>
      <c r="G8" s="320"/>
      <c r="H8" s="318"/>
      <c r="I8" s="71" t="s">
        <v>32</v>
      </c>
      <c r="J8" s="72" t="s">
        <v>33</v>
      </c>
      <c r="K8" s="72">
        <v>84</v>
      </c>
      <c r="L8" s="72">
        <v>83</v>
      </c>
      <c r="M8" s="72">
        <v>83</v>
      </c>
      <c r="N8" s="72">
        <v>85</v>
      </c>
      <c r="O8" s="72">
        <v>86</v>
      </c>
      <c r="P8" s="72">
        <v>88</v>
      </c>
    </row>
    <row r="9" spans="1:16" ht="78" customHeight="1" x14ac:dyDescent="0.2">
      <c r="A9" s="354"/>
      <c r="B9" s="356"/>
      <c r="C9" s="318"/>
      <c r="D9" s="318"/>
      <c r="E9" s="318"/>
      <c r="F9" s="318"/>
      <c r="G9" s="320"/>
      <c r="H9" s="318"/>
      <c r="I9" s="73" t="s">
        <v>34</v>
      </c>
      <c r="J9" s="13" t="s">
        <v>35</v>
      </c>
      <c r="K9" s="13">
        <v>89</v>
      </c>
      <c r="L9" s="72">
        <v>110</v>
      </c>
      <c r="M9" s="72">
        <v>115</v>
      </c>
      <c r="N9" s="72">
        <v>118</v>
      </c>
      <c r="O9" s="72">
        <v>120</v>
      </c>
      <c r="P9" s="72">
        <v>122</v>
      </c>
    </row>
    <row r="10" spans="1:16" ht="39.6" customHeight="1" x14ac:dyDescent="0.2">
      <c r="A10" s="354"/>
      <c r="B10" s="356"/>
      <c r="C10" s="318"/>
      <c r="D10" s="318"/>
      <c r="E10" s="318"/>
      <c r="F10" s="318"/>
      <c r="G10" s="320"/>
      <c r="H10" s="318"/>
      <c r="I10" s="74" t="s">
        <v>36</v>
      </c>
      <c r="J10" s="13" t="s">
        <v>33</v>
      </c>
      <c r="K10" s="13">
        <v>2367</v>
      </c>
      <c r="L10" s="72">
        <v>2400</v>
      </c>
      <c r="M10" s="72">
        <v>2500</v>
      </c>
      <c r="N10" s="72">
        <v>2550</v>
      </c>
      <c r="O10" s="72">
        <v>2600</v>
      </c>
      <c r="P10" s="72">
        <v>2650</v>
      </c>
    </row>
    <row r="11" spans="1:16" ht="78.75" x14ac:dyDescent="0.2">
      <c r="A11" s="354"/>
      <c r="B11" s="356"/>
      <c r="C11" s="318"/>
      <c r="D11" s="318"/>
      <c r="E11" s="318"/>
      <c r="F11" s="318"/>
      <c r="G11" s="320"/>
      <c r="H11" s="318"/>
      <c r="I11" s="75" t="s">
        <v>50</v>
      </c>
      <c r="J11" s="76" t="s">
        <v>35</v>
      </c>
      <c r="K11" s="76">
        <v>0</v>
      </c>
      <c r="L11" s="76">
        <v>5</v>
      </c>
      <c r="M11" s="76">
        <v>5</v>
      </c>
      <c r="N11" s="76">
        <v>5</v>
      </c>
      <c r="O11" s="76">
        <v>5</v>
      </c>
      <c r="P11" s="76">
        <v>5</v>
      </c>
    </row>
    <row r="12" spans="1:16" ht="104.25" customHeight="1" x14ac:dyDescent="0.2">
      <c r="A12" s="354"/>
      <c r="B12" s="356"/>
      <c r="C12" s="318"/>
      <c r="D12" s="318"/>
      <c r="E12" s="318"/>
      <c r="F12" s="318"/>
      <c r="G12" s="320"/>
      <c r="H12" s="318"/>
      <c r="I12" s="18" t="s">
        <v>49</v>
      </c>
      <c r="J12" s="13" t="s">
        <v>37</v>
      </c>
      <c r="K12" s="77">
        <v>13.85</v>
      </c>
      <c r="L12" s="77">
        <v>15.47</v>
      </c>
      <c r="M12" s="13">
        <v>15.87</v>
      </c>
      <c r="N12" s="13">
        <v>16.07</v>
      </c>
      <c r="O12" s="77">
        <v>16.47</v>
      </c>
      <c r="P12" s="13">
        <v>16.87</v>
      </c>
    </row>
    <row r="13" spans="1:16" ht="20.45" customHeight="1" x14ac:dyDescent="0.2">
      <c r="A13" s="354"/>
      <c r="B13" s="356"/>
      <c r="C13" s="318"/>
      <c r="D13" s="318"/>
      <c r="E13" s="318"/>
      <c r="F13" s="318"/>
      <c r="G13" s="320"/>
      <c r="H13" s="318"/>
      <c r="I13" s="78" t="s">
        <v>93</v>
      </c>
      <c r="J13" s="79" t="s">
        <v>37</v>
      </c>
      <c r="K13" s="80">
        <v>25.3</v>
      </c>
      <c r="L13" s="81">
        <v>27.5</v>
      </c>
      <c r="M13" s="82">
        <v>27.5</v>
      </c>
      <c r="N13" s="82">
        <v>27.9</v>
      </c>
      <c r="O13" s="81">
        <v>28.5</v>
      </c>
      <c r="P13" s="82">
        <v>29.5</v>
      </c>
    </row>
    <row r="14" spans="1:16" ht="36.6" customHeight="1" x14ac:dyDescent="0.2">
      <c r="A14" s="354"/>
      <c r="B14" s="356"/>
      <c r="C14" s="318"/>
      <c r="D14" s="318"/>
      <c r="E14" s="318"/>
      <c r="F14" s="318"/>
      <c r="G14" s="320"/>
      <c r="H14" s="318"/>
      <c r="I14" s="21" t="s">
        <v>94</v>
      </c>
      <c r="J14" s="83" t="s">
        <v>37</v>
      </c>
      <c r="K14" s="68">
        <v>43.8</v>
      </c>
      <c r="L14" s="84">
        <v>44.88</v>
      </c>
      <c r="M14" s="85">
        <v>45.28</v>
      </c>
      <c r="N14" s="85">
        <v>45.48</v>
      </c>
      <c r="O14" s="84">
        <v>45.88</v>
      </c>
      <c r="P14" s="85">
        <v>46.28</v>
      </c>
    </row>
    <row r="15" spans="1:16" ht="23.45" customHeight="1" x14ac:dyDescent="0.2">
      <c r="A15" s="354"/>
      <c r="B15" s="356"/>
      <c r="C15" s="318"/>
      <c r="D15" s="318"/>
      <c r="E15" s="318"/>
      <c r="F15" s="318"/>
      <c r="G15" s="320"/>
      <c r="H15" s="318"/>
      <c r="I15" s="10" t="s">
        <v>95</v>
      </c>
      <c r="J15" s="83" t="s">
        <v>37</v>
      </c>
      <c r="K15" s="68">
        <v>13.8</v>
      </c>
      <c r="L15" s="68">
        <v>15.4</v>
      </c>
      <c r="M15" s="83">
        <v>15.4</v>
      </c>
      <c r="N15" s="83">
        <v>15.6</v>
      </c>
      <c r="O15" s="68">
        <v>15.8</v>
      </c>
      <c r="P15" s="83">
        <v>16</v>
      </c>
    </row>
    <row r="16" spans="1:16" ht="67.5" customHeight="1" x14ac:dyDescent="0.2">
      <c r="A16" s="354"/>
      <c r="B16" s="356"/>
      <c r="C16" s="318"/>
      <c r="D16" s="318"/>
      <c r="E16" s="318"/>
      <c r="F16" s="318"/>
      <c r="G16" s="320"/>
      <c r="H16" s="318"/>
      <c r="I16" s="42" t="s">
        <v>99</v>
      </c>
      <c r="J16" s="13" t="s">
        <v>38</v>
      </c>
      <c r="K16" s="86">
        <v>58644.3</v>
      </c>
      <c r="L16" s="87">
        <v>48236</v>
      </c>
      <c r="M16" s="88">
        <v>56498.5</v>
      </c>
      <c r="N16" s="88">
        <v>56498.5</v>
      </c>
      <c r="O16" s="88">
        <v>56498.5</v>
      </c>
      <c r="P16" s="88">
        <v>56498.5</v>
      </c>
    </row>
    <row r="17" spans="1:16" ht="37.9" customHeight="1" x14ac:dyDescent="0.2">
      <c r="A17" s="354"/>
      <c r="B17" s="356"/>
      <c r="C17" s="318"/>
      <c r="D17" s="318"/>
      <c r="E17" s="318"/>
      <c r="F17" s="318"/>
      <c r="G17" s="320"/>
      <c r="H17" s="318"/>
      <c r="I17" s="89" t="s">
        <v>100</v>
      </c>
      <c r="J17" s="68" t="s">
        <v>37</v>
      </c>
      <c r="K17" s="68">
        <v>78.180000000000007</v>
      </c>
      <c r="L17" s="84">
        <v>79.5</v>
      </c>
      <c r="M17" s="84">
        <v>100</v>
      </c>
      <c r="N17" s="85">
        <v>100</v>
      </c>
      <c r="O17" s="85">
        <v>100</v>
      </c>
      <c r="P17" s="85">
        <v>100</v>
      </c>
    </row>
    <row r="18" spans="1:16" ht="80.45" customHeight="1" x14ac:dyDescent="0.2">
      <c r="A18" s="354"/>
      <c r="B18" s="356"/>
      <c r="C18" s="318"/>
      <c r="D18" s="318"/>
      <c r="E18" s="318"/>
      <c r="F18" s="318"/>
      <c r="G18" s="320"/>
      <c r="H18" s="318"/>
      <c r="I18" s="10" t="s">
        <v>129</v>
      </c>
      <c r="J18" s="90" t="s">
        <v>37</v>
      </c>
      <c r="K18" s="90" t="s">
        <v>46</v>
      </c>
      <c r="L18" s="90" t="s">
        <v>46</v>
      </c>
      <c r="M18" s="90">
        <v>21</v>
      </c>
      <c r="N18" s="90">
        <v>25.3</v>
      </c>
      <c r="O18" s="90">
        <v>28.9</v>
      </c>
      <c r="P18" s="90">
        <v>30</v>
      </c>
    </row>
    <row r="19" spans="1:16" ht="80.45" customHeight="1" x14ac:dyDescent="0.2">
      <c r="A19" s="354"/>
      <c r="B19" s="356"/>
      <c r="C19" s="318"/>
      <c r="D19" s="318"/>
      <c r="E19" s="318"/>
      <c r="F19" s="318"/>
      <c r="G19" s="320"/>
      <c r="H19" s="318"/>
      <c r="I19" s="10" t="s">
        <v>131</v>
      </c>
      <c r="J19" s="90" t="s">
        <v>37</v>
      </c>
      <c r="K19" s="90">
        <v>34.5</v>
      </c>
      <c r="L19" s="90">
        <v>36.5</v>
      </c>
      <c r="M19" s="90">
        <v>38.5</v>
      </c>
      <c r="N19" s="90">
        <v>39</v>
      </c>
      <c r="O19" s="90">
        <v>39.5</v>
      </c>
      <c r="P19" s="90">
        <v>40</v>
      </c>
    </row>
    <row r="20" spans="1:16" ht="69" customHeight="1" x14ac:dyDescent="0.2">
      <c r="A20" s="354"/>
      <c r="B20" s="356"/>
      <c r="C20" s="318"/>
      <c r="D20" s="318"/>
      <c r="E20" s="318"/>
      <c r="F20" s="318"/>
      <c r="G20" s="320"/>
      <c r="H20" s="318"/>
      <c r="I20" s="12" t="s">
        <v>148</v>
      </c>
      <c r="J20" s="13" t="s">
        <v>35</v>
      </c>
      <c r="K20" s="14" t="s">
        <v>46</v>
      </c>
      <c r="L20" s="14" t="s">
        <v>46</v>
      </c>
      <c r="M20" s="14" t="s">
        <v>46</v>
      </c>
      <c r="N20" s="14">
        <v>1</v>
      </c>
      <c r="O20" s="14" t="s">
        <v>46</v>
      </c>
      <c r="P20" s="14" t="s">
        <v>46</v>
      </c>
    </row>
    <row r="21" spans="1:16" ht="81" customHeight="1" x14ac:dyDescent="0.2">
      <c r="A21" s="354"/>
      <c r="B21" s="356"/>
      <c r="C21" s="318"/>
      <c r="D21" s="318"/>
      <c r="E21" s="318"/>
      <c r="F21" s="318"/>
      <c r="G21" s="320"/>
      <c r="H21" s="318"/>
      <c r="I21" s="12" t="s">
        <v>157</v>
      </c>
      <c r="J21" s="13" t="s">
        <v>35</v>
      </c>
      <c r="K21" s="14" t="s">
        <v>46</v>
      </c>
      <c r="L21" s="14" t="s">
        <v>46</v>
      </c>
      <c r="M21" s="14" t="s">
        <v>46</v>
      </c>
      <c r="N21" s="14">
        <v>1</v>
      </c>
      <c r="O21" s="14" t="s">
        <v>46</v>
      </c>
      <c r="P21" s="14" t="s">
        <v>46</v>
      </c>
    </row>
    <row r="22" spans="1:16" ht="36" customHeight="1" x14ac:dyDescent="0.2">
      <c r="A22" s="354"/>
      <c r="B22" s="356"/>
      <c r="C22" s="318"/>
      <c r="D22" s="318"/>
      <c r="E22" s="318"/>
      <c r="F22" s="318"/>
      <c r="G22" s="320"/>
      <c r="H22" s="318"/>
      <c r="I22" s="12" t="s">
        <v>155</v>
      </c>
      <c r="J22" s="13" t="s">
        <v>35</v>
      </c>
      <c r="K22" s="14" t="s">
        <v>46</v>
      </c>
      <c r="L22" s="14" t="s">
        <v>46</v>
      </c>
      <c r="M22" s="14" t="s">
        <v>46</v>
      </c>
      <c r="N22" s="14">
        <v>2</v>
      </c>
      <c r="O22" s="14" t="s">
        <v>46</v>
      </c>
      <c r="P22" s="14" t="s">
        <v>46</v>
      </c>
    </row>
    <row r="23" spans="1:16" ht="50.25" customHeight="1" x14ac:dyDescent="0.2">
      <c r="A23" s="354"/>
      <c r="B23" s="356"/>
      <c r="C23" s="318"/>
      <c r="D23" s="318"/>
      <c r="E23" s="318"/>
      <c r="F23" s="318"/>
      <c r="G23" s="320"/>
      <c r="H23" s="318"/>
      <c r="I23" s="91" t="s">
        <v>156</v>
      </c>
      <c r="J23" s="70" t="s">
        <v>35</v>
      </c>
      <c r="K23" s="92" t="s">
        <v>46</v>
      </c>
      <c r="L23" s="92" t="s">
        <v>46</v>
      </c>
      <c r="M23" s="92" t="s">
        <v>46</v>
      </c>
      <c r="N23" s="92">
        <v>1</v>
      </c>
      <c r="O23" s="92" t="s">
        <v>46</v>
      </c>
      <c r="P23" s="92" t="s">
        <v>46</v>
      </c>
    </row>
    <row r="24" spans="1:16" ht="50.25" customHeight="1" x14ac:dyDescent="0.2">
      <c r="A24" s="354"/>
      <c r="B24" s="356"/>
      <c r="C24" s="318"/>
      <c r="D24" s="318"/>
      <c r="E24" s="318"/>
      <c r="F24" s="318"/>
      <c r="G24" s="321"/>
      <c r="H24" s="318"/>
      <c r="I24" s="93" t="s">
        <v>166</v>
      </c>
      <c r="J24" s="72" t="s">
        <v>37</v>
      </c>
      <c r="K24" s="14" t="s">
        <v>46</v>
      </c>
      <c r="L24" s="14" t="s">
        <v>46</v>
      </c>
      <c r="M24" s="14" t="s">
        <v>46</v>
      </c>
      <c r="N24" s="14">
        <v>50</v>
      </c>
      <c r="O24" s="14">
        <v>50</v>
      </c>
      <c r="P24" s="14">
        <v>50</v>
      </c>
    </row>
    <row r="25" spans="1:16" ht="37.15" customHeight="1" x14ac:dyDescent="0.2">
      <c r="A25" s="94">
        <v>2</v>
      </c>
      <c r="B25" s="333" t="s">
        <v>141</v>
      </c>
      <c r="C25" s="334"/>
      <c r="D25" s="334"/>
      <c r="E25" s="334"/>
      <c r="F25" s="334"/>
      <c r="G25" s="334"/>
      <c r="H25" s="334"/>
      <c r="I25" s="360"/>
      <c r="J25" s="13" t="s">
        <v>37</v>
      </c>
      <c r="K25" s="86">
        <v>25</v>
      </c>
      <c r="L25" s="87">
        <v>28</v>
      </c>
      <c r="M25" s="88">
        <v>30</v>
      </c>
      <c r="N25" s="88">
        <v>32</v>
      </c>
      <c r="O25" s="87">
        <v>33</v>
      </c>
      <c r="P25" s="88">
        <v>35</v>
      </c>
    </row>
    <row r="26" spans="1:16" ht="78" customHeight="1" x14ac:dyDescent="0.2">
      <c r="A26" s="354"/>
      <c r="B26" s="354"/>
      <c r="C26" s="361">
        <f>'прил.1 на 2019 год'!F28</f>
        <v>2351505.89616</v>
      </c>
      <c r="D26" s="361">
        <v>0</v>
      </c>
      <c r="E26" s="362">
        <f>'прил.1 на 2019 год'!F31</f>
        <v>1090.3699999999999</v>
      </c>
      <c r="F26" s="319">
        <f>'прил.1 на 2019 год'!F32</f>
        <v>1378.07</v>
      </c>
      <c r="G26" s="363">
        <f>'прил.1 на 2019 год'!F30</f>
        <v>5723</v>
      </c>
      <c r="H26" s="318">
        <f>'прил.1 на 2019 год'!F33</f>
        <v>135807.24799999999</v>
      </c>
      <c r="I26" s="95" t="s">
        <v>39</v>
      </c>
      <c r="J26" s="72" t="s">
        <v>37</v>
      </c>
      <c r="K26" s="96">
        <v>45.6</v>
      </c>
      <c r="L26" s="97">
        <v>49.5</v>
      </c>
      <c r="M26" s="72">
        <v>49.5</v>
      </c>
      <c r="N26" s="72">
        <v>49.5</v>
      </c>
      <c r="O26" s="97">
        <v>49.5</v>
      </c>
      <c r="P26" s="72">
        <v>49.5</v>
      </c>
    </row>
    <row r="27" spans="1:16" ht="54" customHeight="1" x14ac:dyDescent="0.2">
      <c r="A27" s="354"/>
      <c r="B27" s="354"/>
      <c r="C27" s="361"/>
      <c r="D27" s="361"/>
      <c r="E27" s="362"/>
      <c r="F27" s="320"/>
      <c r="G27" s="363"/>
      <c r="H27" s="318"/>
      <c r="I27" s="98" t="s">
        <v>101</v>
      </c>
      <c r="J27" s="72" t="s">
        <v>33</v>
      </c>
      <c r="K27" s="99">
        <v>1786</v>
      </c>
      <c r="L27" s="99">
        <v>1730</v>
      </c>
      <c r="M27" s="99">
        <v>1840</v>
      </c>
      <c r="N27" s="99">
        <v>1840</v>
      </c>
      <c r="O27" s="99">
        <v>1840</v>
      </c>
      <c r="P27" s="99">
        <v>1840</v>
      </c>
    </row>
    <row r="28" spans="1:16" ht="129" customHeight="1" x14ac:dyDescent="0.2">
      <c r="A28" s="354"/>
      <c r="B28" s="354"/>
      <c r="C28" s="361"/>
      <c r="D28" s="361"/>
      <c r="E28" s="362"/>
      <c r="F28" s="320"/>
      <c r="G28" s="363"/>
      <c r="H28" s="318"/>
      <c r="I28" s="10" t="s">
        <v>133</v>
      </c>
      <c r="J28" s="7" t="s">
        <v>37</v>
      </c>
      <c r="K28" s="8" t="s">
        <v>46</v>
      </c>
      <c r="L28" s="8" t="s">
        <v>46</v>
      </c>
      <c r="M28" s="8">
        <v>100</v>
      </c>
      <c r="N28" s="8" t="s">
        <v>46</v>
      </c>
      <c r="O28" s="8" t="s">
        <v>46</v>
      </c>
      <c r="P28" s="8" t="s">
        <v>46</v>
      </c>
    </row>
    <row r="29" spans="1:16" ht="65.25" customHeight="1" x14ac:dyDescent="0.2">
      <c r="A29" s="354"/>
      <c r="B29" s="354"/>
      <c r="C29" s="361"/>
      <c r="D29" s="361"/>
      <c r="E29" s="362"/>
      <c r="F29" s="321"/>
      <c r="G29" s="363"/>
      <c r="H29" s="318"/>
      <c r="I29" s="10" t="s">
        <v>164</v>
      </c>
      <c r="J29" s="7" t="s">
        <v>35</v>
      </c>
      <c r="K29" s="8" t="s">
        <v>46</v>
      </c>
      <c r="L29" s="8" t="s">
        <v>46</v>
      </c>
      <c r="M29" s="8" t="s">
        <v>46</v>
      </c>
      <c r="N29" s="8">
        <v>2</v>
      </c>
      <c r="O29" s="8" t="s">
        <v>46</v>
      </c>
      <c r="P29" s="8" t="s">
        <v>46</v>
      </c>
    </row>
    <row r="30" spans="1:16" ht="37.15" customHeight="1" x14ac:dyDescent="0.2">
      <c r="A30" s="364">
        <v>3</v>
      </c>
      <c r="B30" s="365" t="s">
        <v>140</v>
      </c>
      <c r="C30" s="366"/>
      <c r="D30" s="367"/>
      <c r="E30" s="367"/>
      <c r="F30" s="367"/>
      <c r="G30" s="367"/>
      <c r="H30" s="367"/>
      <c r="I30" s="368"/>
      <c r="J30" s="13" t="s">
        <v>33</v>
      </c>
      <c r="K30" s="13">
        <v>770</v>
      </c>
      <c r="L30" s="13">
        <v>920</v>
      </c>
      <c r="M30" s="13">
        <v>1015</v>
      </c>
      <c r="N30" s="13">
        <v>1085</v>
      </c>
      <c r="O30" s="13">
        <v>1120</v>
      </c>
      <c r="P30" s="13">
        <v>1180</v>
      </c>
    </row>
    <row r="31" spans="1:16" ht="81.599999999999994" customHeight="1" x14ac:dyDescent="0.2">
      <c r="A31" s="354"/>
      <c r="B31" s="339"/>
      <c r="C31" s="318">
        <f>'прил.1 на 2019 год'!F58</f>
        <v>70835.070000000007</v>
      </c>
      <c r="D31" s="349">
        <v>0</v>
      </c>
      <c r="E31" s="342">
        <v>0</v>
      </c>
      <c r="F31" s="342">
        <v>0</v>
      </c>
      <c r="G31" s="345">
        <v>0</v>
      </c>
      <c r="H31" s="342">
        <v>0</v>
      </c>
      <c r="I31" s="19" t="s">
        <v>40</v>
      </c>
      <c r="J31" s="13" t="s">
        <v>37</v>
      </c>
      <c r="K31" s="13">
        <v>5.0999999999999996</v>
      </c>
      <c r="L31" s="13">
        <v>5</v>
      </c>
      <c r="M31" s="13">
        <v>5.5</v>
      </c>
      <c r="N31" s="13">
        <v>5.5</v>
      </c>
      <c r="O31" s="13">
        <v>6</v>
      </c>
      <c r="P31" s="13">
        <v>6.5</v>
      </c>
    </row>
    <row r="32" spans="1:16" ht="65.45" customHeight="1" x14ac:dyDescent="0.2">
      <c r="A32" s="354"/>
      <c r="B32" s="340"/>
      <c r="C32" s="318"/>
      <c r="D32" s="350"/>
      <c r="E32" s="343"/>
      <c r="F32" s="343"/>
      <c r="G32" s="346"/>
      <c r="H32" s="343"/>
      <c r="I32" s="31" t="s">
        <v>41</v>
      </c>
      <c r="J32" s="79" t="s">
        <v>33</v>
      </c>
      <c r="K32" s="79">
        <v>4</v>
      </c>
      <c r="L32" s="79">
        <v>3</v>
      </c>
      <c r="M32" s="79">
        <v>3</v>
      </c>
      <c r="N32" s="79">
        <v>3</v>
      </c>
      <c r="O32" s="79">
        <v>3</v>
      </c>
      <c r="P32" s="79">
        <v>3</v>
      </c>
    </row>
    <row r="33" spans="1:16" ht="98.45" customHeight="1" x14ac:dyDescent="0.2">
      <c r="A33" s="354"/>
      <c r="B33" s="341"/>
      <c r="C33" s="318"/>
      <c r="D33" s="351"/>
      <c r="E33" s="344"/>
      <c r="F33" s="344"/>
      <c r="G33" s="347"/>
      <c r="H33" s="348"/>
      <c r="I33" s="11" t="s">
        <v>124</v>
      </c>
      <c r="J33" s="90" t="s">
        <v>37</v>
      </c>
      <c r="K33" s="100" t="s">
        <v>46</v>
      </c>
      <c r="L33" s="101">
        <v>55</v>
      </c>
      <c r="M33" s="101">
        <v>64</v>
      </c>
      <c r="N33" s="101">
        <v>66.099999999999994</v>
      </c>
      <c r="O33" s="101">
        <v>68.2</v>
      </c>
      <c r="P33" s="101">
        <v>68.2</v>
      </c>
    </row>
    <row r="34" spans="1:16" ht="41.45" customHeight="1" x14ac:dyDescent="0.2">
      <c r="A34" s="323">
        <v>4</v>
      </c>
      <c r="B34" s="324" t="s">
        <v>139</v>
      </c>
      <c r="C34" s="325"/>
      <c r="D34" s="325"/>
      <c r="E34" s="325"/>
      <c r="F34" s="325"/>
      <c r="G34" s="325"/>
      <c r="H34" s="325"/>
      <c r="I34" s="326"/>
      <c r="J34" s="102" t="s">
        <v>35</v>
      </c>
      <c r="K34" s="102">
        <v>50</v>
      </c>
      <c r="L34" s="103">
        <v>100</v>
      </c>
      <c r="M34" s="103">
        <v>120</v>
      </c>
      <c r="N34" s="103">
        <v>140</v>
      </c>
      <c r="O34" s="103">
        <v>160</v>
      </c>
      <c r="P34" s="103">
        <v>170</v>
      </c>
    </row>
    <row r="35" spans="1:16" ht="126" x14ac:dyDescent="0.2">
      <c r="A35" s="323"/>
      <c r="B35" s="308"/>
      <c r="C35" s="328">
        <f>'прил.1 на 2019 год'!F67</f>
        <v>11731.944</v>
      </c>
      <c r="D35" s="329">
        <v>0</v>
      </c>
      <c r="E35" s="329">
        <v>0</v>
      </c>
      <c r="F35" s="329">
        <v>0</v>
      </c>
      <c r="G35" s="331">
        <v>0</v>
      </c>
      <c r="H35" s="329">
        <v>0</v>
      </c>
      <c r="I35" s="104" t="s">
        <v>97</v>
      </c>
      <c r="J35" s="102" t="s">
        <v>37</v>
      </c>
      <c r="K35" s="102" t="s">
        <v>46</v>
      </c>
      <c r="L35" s="102">
        <v>25</v>
      </c>
      <c r="M35" s="102">
        <v>30</v>
      </c>
      <c r="N35" s="102">
        <v>35</v>
      </c>
      <c r="O35" s="102">
        <v>37</v>
      </c>
      <c r="P35" s="102">
        <v>40</v>
      </c>
    </row>
    <row r="36" spans="1:16" ht="126" x14ac:dyDescent="0.2">
      <c r="A36" s="323"/>
      <c r="B36" s="327"/>
      <c r="C36" s="328"/>
      <c r="D36" s="330"/>
      <c r="E36" s="330"/>
      <c r="F36" s="330"/>
      <c r="G36" s="332"/>
      <c r="H36" s="330"/>
      <c r="I36" s="104" t="s">
        <v>96</v>
      </c>
      <c r="J36" s="102" t="s">
        <v>37</v>
      </c>
      <c r="K36" s="102">
        <v>16</v>
      </c>
      <c r="L36" s="102">
        <v>40</v>
      </c>
      <c r="M36" s="102">
        <v>50</v>
      </c>
      <c r="N36" s="102">
        <v>52</v>
      </c>
      <c r="O36" s="102">
        <v>55</v>
      </c>
      <c r="P36" s="102">
        <v>56</v>
      </c>
    </row>
    <row r="37" spans="1:16" ht="34.9" customHeight="1" x14ac:dyDescent="0.2">
      <c r="A37" s="323">
        <v>5</v>
      </c>
      <c r="B37" s="324" t="s">
        <v>145</v>
      </c>
      <c r="C37" s="325"/>
      <c r="D37" s="325"/>
      <c r="E37" s="325"/>
      <c r="F37" s="325"/>
      <c r="G37" s="325"/>
      <c r="H37" s="325"/>
      <c r="I37" s="326"/>
      <c r="J37" s="102" t="s">
        <v>33</v>
      </c>
      <c r="K37" s="102">
        <v>750</v>
      </c>
      <c r="L37" s="102">
        <v>800</v>
      </c>
      <c r="M37" s="102">
        <v>900</v>
      </c>
      <c r="N37" s="102">
        <v>1000</v>
      </c>
      <c r="O37" s="102">
        <v>1050</v>
      </c>
      <c r="P37" s="102">
        <v>1100</v>
      </c>
    </row>
    <row r="38" spans="1:16" ht="94.5" x14ac:dyDescent="0.2">
      <c r="A38" s="323"/>
      <c r="B38" s="30"/>
      <c r="C38" s="203">
        <v>0</v>
      </c>
      <c r="D38" s="203">
        <v>0</v>
      </c>
      <c r="E38" s="203">
        <v>0</v>
      </c>
      <c r="F38" s="203">
        <v>0</v>
      </c>
      <c r="G38" s="202">
        <v>0</v>
      </c>
      <c r="H38" s="203">
        <v>0</v>
      </c>
      <c r="I38" s="104" t="s">
        <v>104</v>
      </c>
      <c r="J38" s="102" t="s">
        <v>37</v>
      </c>
      <c r="K38" s="102">
        <v>11.2</v>
      </c>
      <c r="L38" s="102">
        <v>12</v>
      </c>
      <c r="M38" s="102">
        <v>15</v>
      </c>
      <c r="N38" s="102">
        <v>18</v>
      </c>
      <c r="O38" s="102">
        <v>20</v>
      </c>
      <c r="P38" s="102">
        <v>22</v>
      </c>
    </row>
    <row r="39" spans="1:16" ht="34.9" customHeight="1" x14ac:dyDescent="0.2">
      <c r="A39" s="105">
        <v>6</v>
      </c>
      <c r="B39" s="333" t="s">
        <v>134</v>
      </c>
      <c r="C39" s="334"/>
      <c r="D39" s="334"/>
      <c r="E39" s="334"/>
      <c r="F39" s="334"/>
      <c r="G39" s="334"/>
      <c r="H39" s="334"/>
      <c r="I39" s="334"/>
      <c r="J39" s="102" t="s">
        <v>116</v>
      </c>
      <c r="K39" s="102" t="s">
        <v>116</v>
      </c>
      <c r="L39" s="102" t="s">
        <v>116</v>
      </c>
      <c r="M39" s="102" t="s">
        <v>116</v>
      </c>
      <c r="N39" s="102" t="s">
        <v>116</v>
      </c>
      <c r="O39" s="102" t="s">
        <v>116</v>
      </c>
      <c r="P39" s="102" t="s">
        <v>116</v>
      </c>
    </row>
    <row r="40" spans="1:16" ht="27" customHeight="1" x14ac:dyDescent="0.2">
      <c r="A40" s="106"/>
      <c r="B40" s="107"/>
      <c r="C40" s="202">
        <f>'прил.1 на 2019 год'!F75</f>
        <v>62568.753290000001</v>
      </c>
      <c r="D40" s="202">
        <v>0</v>
      </c>
      <c r="E40" s="202">
        <v>0</v>
      </c>
      <c r="F40" s="202">
        <v>0</v>
      </c>
      <c r="G40" s="202">
        <v>0</v>
      </c>
      <c r="H40" s="202">
        <v>0</v>
      </c>
      <c r="I40" s="30"/>
      <c r="J40" s="102" t="s">
        <v>116</v>
      </c>
      <c r="K40" s="102" t="s">
        <v>116</v>
      </c>
      <c r="L40" s="102" t="s">
        <v>116</v>
      </c>
      <c r="M40" s="102" t="s">
        <v>116</v>
      </c>
      <c r="N40" s="102" t="s">
        <v>116</v>
      </c>
      <c r="O40" s="102" t="s">
        <v>116</v>
      </c>
      <c r="P40" s="102" t="s">
        <v>116</v>
      </c>
    </row>
    <row r="41" spans="1:16" ht="26.45" customHeight="1" x14ac:dyDescent="0.2">
      <c r="A41" s="335" t="s">
        <v>12</v>
      </c>
      <c r="B41" s="335"/>
      <c r="C41" s="201">
        <f>C31+C26+C7+C38+C35+C40</f>
        <v>2579616.13894</v>
      </c>
      <c r="D41" s="201">
        <f>D31+D26+D7+D38+D35+D40</f>
        <v>115485.72375999999</v>
      </c>
      <c r="E41" s="201">
        <f>E31+E26+E7+E36+E38+E35+E40</f>
        <v>1090.3699999999999</v>
      </c>
      <c r="F41" s="201">
        <f>F31+F26+F7+F36+F38+F35+F40</f>
        <v>1378.07</v>
      </c>
      <c r="G41" s="201">
        <f>G31+G26+G7+G36+G38+G35+G40</f>
        <v>6170.1030000000001</v>
      </c>
      <c r="H41" s="201">
        <f>H31+H26+H7+H36+H38+H35+H40</f>
        <v>135807.24799999999</v>
      </c>
      <c r="I41" s="336"/>
      <c r="J41" s="337"/>
      <c r="K41" s="337"/>
      <c r="L41" s="337"/>
      <c r="M41" s="337"/>
      <c r="N41" s="337"/>
      <c r="O41" s="337"/>
      <c r="P41" s="338"/>
    </row>
    <row r="42" spans="1:16" ht="26.45" customHeight="1" x14ac:dyDescent="0.2">
      <c r="A42" s="108"/>
      <c r="B42" s="108"/>
      <c r="C42" s="109"/>
      <c r="D42" s="109"/>
      <c r="E42" s="109"/>
      <c r="F42" s="109"/>
      <c r="G42" s="109"/>
      <c r="H42" s="109"/>
      <c r="I42" s="110"/>
      <c r="J42" s="110"/>
      <c r="K42" s="110"/>
      <c r="L42" s="110"/>
      <c r="M42" s="110"/>
      <c r="N42" s="110"/>
      <c r="O42" s="110"/>
      <c r="P42" s="110"/>
    </row>
    <row r="43" spans="1:16" ht="15.75" x14ac:dyDescent="0.25">
      <c r="A43" s="1"/>
      <c r="B43" s="1"/>
      <c r="C43" s="111"/>
      <c r="D43" s="111"/>
      <c r="E43" s="111"/>
      <c r="F43" s="111"/>
      <c r="G43" s="111"/>
      <c r="H43" s="1"/>
      <c r="I43" s="1"/>
      <c r="J43" s="1"/>
      <c r="K43" s="1"/>
      <c r="L43" s="1"/>
      <c r="M43" s="1"/>
      <c r="N43" s="1"/>
      <c r="O43" s="1"/>
      <c r="P43" s="1"/>
    </row>
    <row r="44" spans="1:16" ht="15.75" x14ac:dyDescent="0.25">
      <c r="A44" s="1"/>
      <c r="B44" s="322" t="s">
        <v>153</v>
      </c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</row>
    <row r="46" spans="1:16" ht="15" x14ac:dyDescent="0.25">
      <c r="B46" s="112"/>
    </row>
  </sheetData>
  <mergeCells count="51">
    <mergeCell ref="B7:B24"/>
    <mergeCell ref="A6:A24"/>
    <mergeCell ref="C7:C24"/>
    <mergeCell ref="F26:F29"/>
    <mergeCell ref="F31:F33"/>
    <mergeCell ref="B6:I6"/>
    <mergeCell ref="B25:I25"/>
    <mergeCell ref="C26:C29"/>
    <mergeCell ref="B26:B29"/>
    <mergeCell ref="E26:E29"/>
    <mergeCell ref="G26:G29"/>
    <mergeCell ref="H26:H29"/>
    <mergeCell ref="A26:A29"/>
    <mergeCell ref="D26:D29"/>
    <mergeCell ref="A30:A33"/>
    <mergeCell ref="B30:I30"/>
    <mergeCell ref="J1:P1"/>
    <mergeCell ref="A2:P2"/>
    <mergeCell ref="A3:A4"/>
    <mergeCell ref="B3:B4"/>
    <mergeCell ref="C3:H3"/>
    <mergeCell ref="I3:I4"/>
    <mergeCell ref="J3:J4"/>
    <mergeCell ref="K3:K4"/>
    <mergeCell ref="L3:P3"/>
    <mergeCell ref="B31:B33"/>
    <mergeCell ref="C31:C33"/>
    <mergeCell ref="E31:E33"/>
    <mergeCell ref="G31:G33"/>
    <mergeCell ref="H31:H33"/>
    <mergeCell ref="D31:D33"/>
    <mergeCell ref="B44:P44"/>
    <mergeCell ref="A34:A36"/>
    <mergeCell ref="B34:I34"/>
    <mergeCell ref="B35:B36"/>
    <mergeCell ref="C35:C36"/>
    <mergeCell ref="E35:E36"/>
    <mergeCell ref="G35:G36"/>
    <mergeCell ref="H35:H36"/>
    <mergeCell ref="A37:A38"/>
    <mergeCell ref="B37:I37"/>
    <mergeCell ref="B39:I39"/>
    <mergeCell ref="A41:B41"/>
    <mergeCell ref="I41:P41"/>
    <mergeCell ref="D35:D36"/>
    <mergeCell ref="F35:F36"/>
    <mergeCell ref="D7:D24"/>
    <mergeCell ref="E7:E24"/>
    <mergeCell ref="F7:F24"/>
    <mergeCell ref="G7:G24"/>
    <mergeCell ref="H7:H24"/>
  </mergeCells>
  <pageMargins left="0.39370078740157483" right="0.39370078740157483" top="0.39370078740157483" bottom="0.39370078740157483" header="0.31496062992125984" footer="0.31496062992125984"/>
  <pageSetup paperSize="9" scale="6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2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прил.1 на 2019 год</vt:lpstr>
      <vt:lpstr>прил 2</vt:lpstr>
      <vt:lpstr>'прил 2'!Заголовки_для_печати</vt:lpstr>
      <vt:lpstr>'прил.1 на 2019 год'!Заголовки_для_печати</vt:lpstr>
      <vt:lpstr>'прил.1 на 2019 год'!Область_печати</vt:lpstr>
    </vt:vector>
  </TitlesOfParts>
  <Company>KDMKS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</dc:creator>
  <cp:lastModifiedBy>Зиминова Анна Юрьевна</cp:lastModifiedBy>
  <cp:revision>3</cp:revision>
  <cp:lastPrinted>2019-12-26T11:43:32Z</cp:lastPrinted>
  <dcterms:created xsi:type="dcterms:W3CDTF">2015-08-24T11:11:17Z</dcterms:created>
  <dcterms:modified xsi:type="dcterms:W3CDTF">2020-01-14T06:16:21Z</dcterms:modified>
</cp:coreProperties>
</file>