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ПРОГРАММЫ\Муниципальные программы\Программы городского округа\3. Образование\Изменения в МП\16.09.2020\К бюджету\02.11.2020\"/>
    </mc:Choice>
  </mc:AlternateContent>
  <bookViews>
    <workbookView xWindow="0" yWindow="0" windowWidth="24000" windowHeight="9735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1'!$A$33:$M$63</definedName>
    <definedName name="_xlnm._FilterDatabase" localSheetId="1" hidden="1">'Подпрограмма 2'!$A$16:$N$85</definedName>
    <definedName name="_xlnm._FilterDatabase" localSheetId="2" hidden="1">'Подпрограмма 3'!$A$9:$X$72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1'!$A$1:$M$63</definedName>
    <definedName name="_xlnm.Print_Area" localSheetId="1">'Подпрограмма 2'!$A$1:$M$85</definedName>
    <definedName name="_xlnm.Print_Area" localSheetId="2">'Подпрограмма 3'!$A$1:$M$72</definedName>
    <definedName name="_xlnm.Print_Area" localSheetId="3">'Подпрограмма 4'!$A$1:$M$16</definedName>
    <definedName name="_xlnm.Print_Area" localSheetId="4">'Подпрограмма 5'!$A$1:$M$26</definedName>
  </definedNames>
  <calcPr calcId="162913"/>
</workbook>
</file>

<file path=xl/calcChain.xml><?xml version="1.0" encoding="utf-8"?>
<calcChain xmlns="http://schemas.openxmlformats.org/spreadsheetml/2006/main">
  <c r="H30" i="1" l="1"/>
  <c r="H80" i="3" l="1"/>
  <c r="F100" i="2"/>
  <c r="K88" i="2"/>
  <c r="J88" i="2"/>
  <c r="I88" i="2"/>
  <c r="H88" i="2"/>
  <c r="G65" i="1" l="1"/>
  <c r="G39" i="1" l="1"/>
  <c r="G49" i="2"/>
  <c r="G30" i="1"/>
  <c r="K15" i="3" l="1"/>
  <c r="J15" i="3"/>
  <c r="I15" i="3"/>
  <c r="H15" i="3"/>
  <c r="K19" i="2"/>
  <c r="J19" i="2"/>
  <c r="I19" i="2"/>
  <c r="H19" i="2"/>
  <c r="H50" i="2"/>
  <c r="H39" i="1"/>
  <c r="H39" i="2"/>
  <c r="I50" i="2"/>
  <c r="K50" i="2"/>
  <c r="J50" i="2"/>
  <c r="K39" i="1"/>
  <c r="K30" i="1" s="1"/>
  <c r="J39" i="1"/>
  <c r="J30" i="1" s="1"/>
  <c r="I39" i="1"/>
  <c r="H29" i="1"/>
  <c r="I29" i="1"/>
  <c r="J29" i="1"/>
  <c r="K29" i="1"/>
  <c r="G29" i="1"/>
  <c r="E30" i="1"/>
  <c r="I30" i="1"/>
  <c r="F47" i="1"/>
  <c r="F46" i="1"/>
  <c r="F30" i="1" l="1"/>
  <c r="H16" i="2" l="1"/>
  <c r="H85" i="2" s="1"/>
  <c r="H31" i="1" l="1"/>
  <c r="H61" i="1" s="1"/>
  <c r="H19" i="9" s="1"/>
  <c r="H66" i="1" l="1"/>
  <c r="I66" i="1"/>
  <c r="J66" i="1"/>
  <c r="K66" i="1"/>
  <c r="H29" i="3" l="1"/>
  <c r="I29" i="3"/>
  <c r="J29" i="3"/>
  <c r="K29" i="3"/>
  <c r="G29" i="3"/>
  <c r="H33" i="3" l="1"/>
  <c r="G48" i="2"/>
  <c r="K80" i="3" l="1"/>
  <c r="J80" i="3"/>
  <c r="G90" i="2" l="1"/>
  <c r="H87" i="2"/>
  <c r="K16" i="3"/>
  <c r="J16" i="3"/>
  <c r="I16" i="3"/>
  <c r="H16" i="3"/>
  <c r="G23" i="2" l="1"/>
  <c r="G43" i="1"/>
  <c r="G19" i="2" l="1"/>
  <c r="G80" i="2" l="1"/>
  <c r="E36" i="2"/>
  <c r="G37" i="2"/>
  <c r="H37" i="2"/>
  <c r="I37" i="2"/>
  <c r="J37" i="2"/>
  <c r="K37" i="2"/>
  <c r="E37" i="2"/>
  <c r="F37" i="2" l="1"/>
  <c r="F51" i="2"/>
  <c r="G80" i="3" l="1"/>
  <c r="G15" i="3"/>
  <c r="G73" i="2" l="1"/>
  <c r="G35" i="1" l="1"/>
  <c r="F41" i="2" l="1"/>
  <c r="G41" i="2"/>
  <c r="G10" i="9" l="1"/>
  <c r="G11" i="9" l="1"/>
  <c r="G44" i="1"/>
  <c r="G20" i="2" l="1"/>
  <c r="G83" i="2"/>
  <c r="H83" i="2"/>
  <c r="I83" i="2"/>
  <c r="J83" i="2"/>
  <c r="K83" i="2"/>
  <c r="E83" i="2"/>
  <c r="F83" i="2" l="1"/>
  <c r="G16" i="3"/>
  <c r="G21" i="2"/>
  <c r="G41" i="1"/>
  <c r="F23" i="3" l="1"/>
  <c r="G23" i="3"/>
  <c r="H23" i="3"/>
  <c r="I23" i="3"/>
  <c r="J23" i="3"/>
  <c r="K23" i="3"/>
  <c r="E23" i="3"/>
  <c r="E71" i="3" s="1"/>
  <c r="P30" i="3"/>
  <c r="F30" i="3"/>
  <c r="E29" i="3"/>
  <c r="E28" i="3"/>
  <c r="E13" i="3"/>
  <c r="F20" i="3"/>
  <c r="F27" i="1" l="1"/>
  <c r="F26" i="1"/>
  <c r="F68" i="1" l="1"/>
  <c r="F69" i="1"/>
  <c r="G13" i="2"/>
  <c r="G88" i="2" l="1"/>
  <c r="G93" i="2"/>
  <c r="G12" i="2" l="1"/>
  <c r="G65" i="2" l="1"/>
  <c r="G18" i="2"/>
  <c r="G17" i="2"/>
  <c r="G12" i="9"/>
  <c r="G76" i="3"/>
  <c r="G13" i="3"/>
  <c r="G71" i="3" s="1"/>
  <c r="G66" i="1"/>
  <c r="F66" i="1" s="1"/>
  <c r="G40" i="1"/>
  <c r="G16" i="1" l="1"/>
  <c r="G19" i="1" l="1"/>
  <c r="F65" i="1" s="1"/>
  <c r="E39" i="2" l="1"/>
  <c r="E38" i="2"/>
  <c r="I39" i="2"/>
  <c r="J39" i="2"/>
  <c r="K39" i="2"/>
  <c r="F50" i="2"/>
  <c r="K38" i="2"/>
  <c r="G53" i="2"/>
  <c r="G39" i="2" s="1"/>
  <c r="I42" i="2"/>
  <c r="I38" i="2" s="1"/>
  <c r="H42" i="2"/>
  <c r="H38" i="2" s="1"/>
  <c r="G42" i="2"/>
  <c r="G38" i="2" s="1"/>
  <c r="G36" i="2" s="1"/>
  <c r="J13" i="2"/>
  <c r="K13" i="2"/>
  <c r="G11" i="2"/>
  <c r="H11" i="2"/>
  <c r="I11" i="2"/>
  <c r="J11" i="2"/>
  <c r="J80" i="2" s="1"/>
  <c r="K11" i="2"/>
  <c r="K80" i="2" s="1"/>
  <c r="E12" i="2"/>
  <c r="E11" i="2"/>
  <c r="F32" i="2"/>
  <c r="F31" i="2"/>
  <c r="F28" i="2"/>
  <c r="F29" i="2"/>
  <c r="F30" i="2"/>
  <c r="K36" i="2" l="1"/>
  <c r="I36" i="2"/>
  <c r="F53" i="2"/>
  <c r="F52" i="2"/>
  <c r="J38" i="2"/>
  <c r="F38" i="2" s="1"/>
  <c r="F11" i="2"/>
  <c r="F49" i="2"/>
  <c r="J36" i="2" l="1"/>
  <c r="G14" i="2"/>
  <c r="H14" i="2"/>
  <c r="I14" i="2"/>
  <c r="J14" i="2"/>
  <c r="K14" i="2"/>
  <c r="E14" i="2"/>
  <c r="F20" i="2"/>
  <c r="F14" i="2" l="1"/>
  <c r="H12" i="2" l="1"/>
  <c r="G17" i="1"/>
  <c r="G35" i="2"/>
  <c r="G38" i="1"/>
  <c r="H16" i="1"/>
  <c r="I16" i="1"/>
  <c r="J16" i="1"/>
  <c r="K16" i="1"/>
  <c r="I13" i="2" l="1"/>
  <c r="H13" i="2"/>
  <c r="G24" i="2" l="1"/>
  <c r="F13" i="2" s="1"/>
  <c r="G56" i="2" l="1"/>
  <c r="I13" i="3" l="1"/>
  <c r="H13" i="3"/>
  <c r="K21" i="2" l="1"/>
  <c r="J21" i="2"/>
  <c r="I21" i="2"/>
  <c r="H21" i="2"/>
  <c r="K41" i="1"/>
  <c r="J41" i="1"/>
  <c r="I41" i="1"/>
  <c r="H41" i="1"/>
  <c r="K13" i="3" l="1"/>
  <c r="J13" i="3"/>
  <c r="F13" i="3" l="1"/>
  <c r="H38" i="3"/>
  <c r="G79" i="3"/>
  <c r="E55" i="3"/>
  <c r="E54" i="3"/>
  <c r="E53" i="3"/>
  <c r="E69" i="3" s="1"/>
  <c r="E83" i="3" s="1"/>
  <c r="E48" i="3"/>
  <c r="E47" i="3"/>
  <c r="G36" i="3"/>
  <c r="H36" i="3"/>
  <c r="I36" i="3"/>
  <c r="I78" i="3" s="1"/>
  <c r="I35" i="9" s="1"/>
  <c r="J36" i="3"/>
  <c r="J78" i="3" s="1"/>
  <c r="J35" i="9" s="1"/>
  <c r="K36" i="3"/>
  <c r="K78" i="3" s="1"/>
  <c r="K35" i="9" s="1"/>
  <c r="G37" i="3"/>
  <c r="H37" i="3"/>
  <c r="H79" i="3" s="1"/>
  <c r="I37" i="3"/>
  <c r="I79" i="3" s="1"/>
  <c r="J37" i="3"/>
  <c r="K37" i="3"/>
  <c r="K35" i="3" s="1"/>
  <c r="G38" i="3"/>
  <c r="I38" i="3"/>
  <c r="I80" i="3" s="1"/>
  <c r="J38" i="3"/>
  <c r="K38" i="3"/>
  <c r="E38" i="3"/>
  <c r="E37" i="3"/>
  <c r="E79" i="3" s="1"/>
  <c r="E36" i="3"/>
  <c r="E78" i="3" s="1"/>
  <c r="E35" i="3"/>
  <c r="E32" i="3"/>
  <c r="E31" i="3"/>
  <c r="G22" i="3"/>
  <c r="H22" i="3"/>
  <c r="I22" i="3"/>
  <c r="J22" i="3"/>
  <c r="K22" i="3"/>
  <c r="E22" i="3"/>
  <c r="E21" i="3" s="1"/>
  <c r="G14" i="3"/>
  <c r="H14" i="3"/>
  <c r="I14" i="3"/>
  <c r="J14" i="3"/>
  <c r="K14" i="3"/>
  <c r="F39" i="3"/>
  <c r="G62" i="3"/>
  <c r="H62" i="3"/>
  <c r="I62" i="3"/>
  <c r="J62" i="3"/>
  <c r="K62" i="3"/>
  <c r="G63" i="3"/>
  <c r="H63" i="3"/>
  <c r="I63" i="3"/>
  <c r="J63" i="3"/>
  <c r="K63" i="3"/>
  <c r="G64" i="3"/>
  <c r="H64" i="3"/>
  <c r="I64" i="3"/>
  <c r="J64" i="3"/>
  <c r="K64" i="3"/>
  <c r="E64" i="3"/>
  <c r="E63" i="3"/>
  <c r="E62" i="3"/>
  <c r="F27" i="3"/>
  <c r="F26" i="3"/>
  <c r="E59" i="2"/>
  <c r="E58" i="2"/>
  <c r="F19" i="3"/>
  <c r="F18" i="3"/>
  <c r="F17" i="3"/>
  <c r="F27" i="2"/>
  <c r="F25" i="2"/>
  <c r="F38" i="3" l="1"/>
  <c r="H71" i="3"/>
  <c r="H85" i="3" s="1"/>
  <c r="H93" i="3" s="1"/>
  <c r="J35" i="3"/>
  <c r="E82" i="3"/>
  <c r="E35" i="9"/>
  <c r="F37" i="3"/>
  <c r="F22" i="3"/>
  <c r="K79" i="3"/>
  <c r="G78" i="3"/>
  <c r="G35" i="3"/>
  <c r="H78" i="3"/>
  <c r="J79" i="3"/>
  <c r="F79" i="3" s="1"/>
  <c r="F14" i="3"/>
  <c r="F36" i="3"/>
  <c r="I35" i="3"/>
  <c r="F64" i="3"/>
  <c r="F62" i="3"/>
  <c r="F63" i="3"/>
  <c r="F78" i="3" l="1"/>
  <c r="G35" i="9"/>
  <c r="H35" i="9"/>
  <c r="F26" i="2"/>
  <c r="F24" i="2"/>
  <c r="F23" i="2"/>
  <c r="G31" i="1"/>
  <c r="I31" i="1"/>
  <c r="J31" i="1"/>
  <c r="K31" i="1"/>
  <c r="G32" i="1"/>
  <c r="H32" i="1"/>
  <c r="I32" i="1"/>
  <c r="J32" i="1"/>
  <c r="K32" i="1"/>
  <c r="G33" i="1"/>
  <c r="F33" i="1" s="1"/>
  <c r="H33" i="1"/>
  <c r="I33" i="1"/>
  <c r="J33" i="1"/>
  <c r="K33" i="1"/>
  <c r="E29" i="1"/>
  <c r="F35" i="9" l="1"/>
  <c r="F29" i="1"/>
  <c r="K28" i="1"/>
  <c r="I28" i="1"/>
  <c r="H28" i="1"/>
  <c r="F31" i="1"/>
  <c r="J28" i="1"/>
  <c r="G28" i="1"/>
  <c r="F32" i="1"/>
  <c r="F45" i="1"/>
  <c r="F44" i="1"/>
  <c r="F43" i="1"/>
  <c r="F35" i="1"/>
  <c r="F34" i="1"/>
  <c r="F28" i="1" l="1"/>
  <c r="H17" i="1"/>
  <c r="I17" i="1"/>
  <c r="J17" i="1"/>
  <c r="K17" i="1"/>
  <c r="E17" i="1"/>
  <c r="G71" i="2" l="1"/>
  <c r="G70" i="2"/>
  <c r="G55" i="1"/>
  <c r="G54" i="1"/>
  <c r="G51" i="1" l="1"/>
  <c r="G60" i="1" s="1"/>
  <c r="G71" i="1" s="1"/>
  <c r="G50" i="1"/>
  <c r="K12" i="2"/>
  <c r="I12" i="2" l="1"/>
  <c r="J12" i="2"/>
  <c r="K72" i="1"/>
  <c r="H49" i="1"/>
  <c r="H58" i="1" s="1"/>
  <c r="H72" i="1" s="1"/>
  <c r="I49" i="1"/>
  <c r="I58" i="1" s="1"/>
  <c r="I72" i="1" s="1"/>
  <c r="J49" i="1"/>
  <c r="J58" i="1" s="1"/>
  <c r="K49" i="1"/>
  <c r="K58" i="1" s="1"/>
  <c r="G49" i="1"/>
  <c r="G58" i="1" s="1"/>
  <c r="F54" i="1"/>
  <c r="E49" i="1"/>
  <c r="E58" i="1" s="1"/>
  <c r="E72" i="1" s="1"/>
  <c r="F12" i="2" l="1"/>
  <c r="J72" i="1"/>
  <c r="G72" i="1"/>
  <c r="F58" i="1"/>
  <c r="F49" i="1"/>
  <c r="E51" i="1"/>
  <c r="E50" i="1"/>
  <c r="E48" i="1" s="1"/>
  <c r="H50" i="1"/>
  <c r="I50" i="1"/>
  <c r="J50" i="1"/>
  <c r="K50" i="1"/>
  <c r="H51" i="1"/>
  <c r="H60" i="1" s="1"/>
  <c r="I51" i="1"/>
  <c r="J51" i="1"/>
  <c r="J60" i="1" s="1"/>
  <c r="J71" i="1" s="1"/>
  <c r="J81" i="1" s="1"/>
  <c r="K51" i="1"/>
  <c r="F56" i="1"/>
  <c r="F55" i="1"/>
  <c r="H71" i="1" l="1"/>
  <c r="H81" i="1" s="1"/>
  <c r="F72" i="1"/>
  <c r="G48" i="1"/>
  <c r="K48" i="1"/>
  <c r="J48" i="1"/>
  <c r="I48" i="1"/>
  <c r="H48" i="1"/>
  <c r="F48" i="1" l="1"/>
  <c r="F75" i="3" l="1"/>
  <c r="K36" i="9" l="1"/>
  <c r="H37" i="9"/>
  <c r="I37" i="9"/>
  <c r="G38" i="9"/>
  <c r="E38" i="9"/>
  <c r="E37" i="9"/>
  <c r="E36" i="9"/>
  <c r="H32" i="9"/>
  <c r="I32" i="9"/>
  <c r="J32" i="9"/>
  <c r="K32" i="9"/>
  <c r="H33" i="9"/>
  <c r="I33" i="9"/>
  <c r="J33" i="9"/>
  <c r="K33" i="9"/>
  <c r="G33" i="9"/>
  <c r="G32" i="9"/>
  <c r="E33" i="9"/>
  <c r="E32" i="9"/>
  <c r="H77" i="3"/>
  <c r="I77" i="3"/>
  <c r="J77" i="3"/>
  <c r="K77" i="3"/>
  <c r="E77" i="3"/>
  <c r="H82" i="3"/>
  <c r="I82" i="3"/>
  <c r="K82" i="3"/>
  <c r="G81" i="3"/>
  <c r="H36" i="9"/>
  <c r="I36" i="9"/>
  <c r="J36" i="9"/>
  <c r="J37" i="9"/>
  <c r="K37" i="9"/>
  <c r="G82" i="3"/>
  <c r="K92" i="2"/>
  <c r="J92" i="2"/>
  <c r="I92" i="2"/>
  <c r="H92" i="2"/>
  <c r="G92" i="2"/>
  <c r="E92" i="2"/>
  <c r="F91" i="2"/>
  <c r="F90" i="2"/>
  <c r="I87" i="2"/>
  <c r="I30" i="9" s="1"/>
  <c r="J87" i="2"/>
  <c r="J30" i="9" s="1"/>
  <c r="K87" i="2"/>
  <c r="K30" i="9" s="1"/>
  <c r="I29" i="9"/>
  <c r="G87" i="2"/>
  <c r="E88" i="2"/>
  <c r="E29" i="9" s="1"/>
  <c r="E87" i="2"/>
  <c r="K38" i="9" l="1"/>
  <c r="K39" i="9" s="1"/>
  <c r="G34" i="9"/>
  <c r="F32" i="9"/>
  <c r="F33" i="9"/>
  <c r="G37" i="9"/>
  <c r="F37" i="9" s="1"/>
  <c r="H29" i="9"/>
  <c r="I38" i="9"/>
  <c r="I39" i="9" s="1"/>
  <c r="H38" i="9"/>
  <c r="J38" i="9"/>
  <c r="J39" i="9" s="1"/>
  <c r="J82" i="3"/>
  <c r="F82" i="3" s="1"/>
  <c r="F81" i="3"/>
  <c r="J29" i="9"/>
  <c r="J31" i="9" s="1"/>
  <c r="F80" i="3"/>
  <c r="G77" i="3"/>
  <c r="F77" i="3" s="1"/>
  <c r="F76" i="3"/>
  <c r="G29" i="9"/>
  <c r="G36" i="9"/>
  <c r="K89" i="2"/>
  <c r="E89" i="2"/>
  <c r="F87" i="2"/>
  <c r="F88" i="2"/>
  <c r="H89" i="2"/>
  <c r="E30" i="9"/>
  <c r="E31" i="9" s="1"/>
  <c r="H30" i="9"/>
  <c r="J89" i="2"/>
  <c r="K29" i="9"/>
  <c r="K31" i="9" s="1"/>
  <c r="I89" i="2"/>
  <c r="G30" i="9"/>
  <c r="G89" i="2"/>
  <c r="H34" i="9"/>
  <c r="E34" i="9"/>
  <c r="K34" i="9"/>
  <c r="E39" i="9"/>
  <c r="J34" i="9"/>
  <c r="I34" i="9"/>
  <c r="F92" i="2"/>
  <c r="I31" i="9"/>
  <c r="F38" i="9" l="1"/>
  <c r="F36" i="9"/>
  <c r="G39" i="9"/>
  <c r="H39" i="9"/>
  <c r="H31" i="9"/>
  <c r="F30" i="9"/>
  <c r="F29" i="9"/>
  <c r="G31" i="9"/>
  <c r="F34" i="9"/>
  <c r="F89" i="2"/>
  <c r="F39" i="9" l="1"/>
  <c r="F31" i="9"/>
  <c r="H70" i="1"/>
  <c r="I70" i="1"/>
  <c r="J70" i="1"/>
  <c r="K70" i="1"/>
  <c r="G70" i="1"/>
  <c r="E70" i="1"/>
  <c r="H67" i="1"/>
  <c r="I67" i="1"/>
  <c r="J67" i="1"/>
  <c r="K67" i="1"/>
  <c r="G67" i="1"/>
  <c r="F70" i="1" l="1"/>
  <c r="F67" i="1"/>
  <c r="E19" i="2"/>
  <c r="E13" i="2" s="1"/>
  <c r="F39" i="2" l="1"/>
  <c r="H36" i="2"/>
  <c r="F36" i="2" s="1"/>
  <c r="K55" i="2"/>
  <c r="J55" i="2"/>
  <c r="I55" i="2"/>
  <c r="H55" i="2"/>
  <c r="G55" i="2"/>
  <c r="E55" i="2"/>
  <c r="E54" i="2" s="1"/>
  <c r="K16" i="2"/>
  <c r="K15" i="2"/>
  <c r="J16" i="2"/>
  <c r="J15" i="2"/>
  <c r="I16" i="2"/>
  <c r="I15" i="2"/>
  <c r="H15" i="2"/>
  <c r="H10" i="2" s="1"/>
  <c r="G16" i="2"/>
  <c r="G15" i="2"/>
  <c r="G10" i="2" s="1"/>
  <c r="E16" i="2"/>
  <c r="E15" i="2"/>
  <c r="F22" i="2"/>
  <c r="F21" i="2"/>
  <c r="F68" i="2"/>
  <c r="F69" i="2"/>
  <c r="F73" i="2"/>
  <c r="G61" i="1"/>
  <c r="G19" i="9" s="1"/>
  <c r="I61" i="1"/>
  <c r="I19" i="9" s="1"/>
  <c r="J61" i="1"/>
  <c r="J19" i="9" s="1"/>
  <c r="K61" i="1"/>
  <c r="K19" i="9" s="1"/>
  <c r="E31" i="1"/>
  <c r="E39" i="1"/>
  <c r="F42" i="1"/>
  <c r="F40" i="1"/>
  <c r="J10" i="2" l="1"/>
  <c r="K10" i="2"/>
  <c r="I54" i="2"/>
  <c r="J54" i="2"/>
  <c r="K54" i="2"/>
  <c r="G54" i="2"/>
  <c r="I10" i="2"/>
  <c r="H54" i="2"/>
  <c r="E61" i="1"/>
  <c r="E19" i="9" s="1"/>
  <c r="F19" i="9"/>
  <c r="F61" i="1"/>
  <c r="F39" i="1"/>
  <c r="N16" i="9" l="1"/>
  <c r="G15" i="6"/>
  <c r="E16" i="6"/>
  <c r="H9" i="6"/>
  <c r="H8" i="6" s="1"/>
  <c r="I9" i="6"/>
  <c r="I8" i="6" s="1"/>
  <c r="J9" i="6"/>
  <c r="J8" i="6" s="1"/>
  <c r="K9" i="6"/>
  <c r="K15" i="6" s="1"/>
  <c r="G9" i="6"/>
  <c r="G8" i="6"/>
  <c r="E9" i="6"/>
  <c r="E8" i="6" s="1"/>
  <c r="H12" i="6"/>
  <c r="H16" i="6" s="1"/>
  <c r="I12" i="6"/>
  <c r="I11" i="6" s="1"/>
  <c r="J12" i="6"/>
  <c r="J16" i="6" s="1"/>
  <c r="K12" i="6"/>
  <c r="K11" i="6" s="1"/>
  <c r="G12" i="6"/>
  <c r="G16" i="6" s="1"/>
  <c r="E11" i="6"/>
  <c r="E12" i="6"/>
  <c r="N13" i="6"/>
  <c r="P13" i="6" s="1"/>
  <c r="F13" i="6"/>
  <c r="G14" i="6" l="1"/>
  <c r="I16" i="6"/>
  <c r="J11" i="6"/>
  <c r="J15" i="6"/>
  <c r="H11" i="6"/>
  <c r="K8" i="6"/>
  <c r="I15" i="6"/>
  <c r="G11" i="6"/>
  <c r="F11" i="6" s="1"/>
  <c r="E15" i="6"/>
  <c r="E14" i="6" s="1"/>
  <c r="F12" i="6"/>
  <c r="J14" i="6"/>
  <c r="I14" i="6"/>
  <c r="H15" i="6"/>
  <c r="H14" i="6" s="1"/>
  <c r="K16" i="6"/>
  <c r="K14" i="6" s="1"/>
  <c r="H53" i="3"/>
  <c r="H69" i="3" s="1"/>
  <c r="H83" i="3" s="1"/>
  <c r="I53" i="3"/>
  <c r="I69" i="3" s="1"/>
  <c r="I83" i="3" s="1"/>
  <c r="J53" i="3"/>
  <c r="J69" i="3" s="1"/>
  <c r="J83" i="3" s="1"/>
  <c r="K53" i="3"/>
  <c r="K69" i="3" s="1"/>
  <c r="K83" i="3" s="1"/>
  <c r="H54" i="3"/>
  <c r="I54" i="3"/>
  <c r="J54" i="3"/>
  <c r="K54" i="3"/>
  <c r="H55" i="3"/>
  <c r="I55" i="3"/>
  <c r="J55" i="3"/>
  <c r="K55" i="3"/>
  <c r="G55" i="3"/>
  <c r="G54" i="3"/>
  <c r="G53" i="3"/>
  <c r="G69" i="3" s="1"/>
  <c r="H32" i="3"/>
  <c r="I32" i="3"/>
  <c r="J32" i="3"/>
  <c r="K32" i="3"/>
  <c r="G32" i="3"/>
  <c r="E14" i="3"/>
  <c r="E72" i="3" s="1"/>
  <c r="E86" i="3" s="1"/>
  <c r="F41" i="3"/>
  <c r="N40" i="3"/>
  <c r="P40" i="3" s="1"/>
  <c r="F40" i="3"/>
  <c r="G21" i="3"/>
  <c r="P34" i="3"/>
  <c r="F34" i="3"/>
  <c r="P33" i="3"/>
  <c r="F33" i="3"/>
  <c r="F16" i="3"/>
  <c r="P15" i="3"/>
  <c r="F15" i="3"/>
  <c r="K72" i="3"/>
  <c r="K86" i="3" s="1"/>
  <c r="J72" i="3"/>
  <c r="J86" i="3" s="1"/>
  <c r="I72" i="3"/>
  <c r="I86" i="3" s="1"/>
  <c r="H72" i="3"/>
  <c r="H86" i="3" s="1"/>
  <c r="G72" i="3"/>
  <c r="H84" i="2"/>
  <c r="H96" i="2" s="1"/>
  <c r="I84" i="2"/>
  <c r="I96" i="2" s="1"/>
  <c r="J85" i="2"/>
  <c r="J97" i="2" s="1"/>
  <c r="G85" i="2"/>
  <c r="G97" i="2" s="1"/>
  <c r="G84" i="2"/>
  <c r="G96" i="2" s="1"/>
  <c r="E75" i="2"/>
  <c r="E76" i="2"/>
  <c r="H58" i="2"/>
  <c r="H80" i="2" s="1"/>
  <c r="I58" i="2"/>
  <c r="I80" i="2" s="1"/>
  <c r="J58" i="2"/>
  <c r="K58" i="2"/>
  <c r="H59" i="2"/>
  <c r="I59" i="2"/>
  <c r="J59" i="2"/>
  <c r="K59" i="2"/>
  <c r="H60" i="2"/>
  <c r="I60" i="2"/>
  <c r="J60" i="2"/>
  <c r="K60" i="2"/>
  <c r="G60" i="2"/>
  <c r="G59" i="2"/>
  <c r="G58" i="2"/>
  <c r="E60" i="2"/>
  <c r="E80" i="2"/>
  <c r="F63" i="2"/>
  <c r="F72" i="2"/>
  <c r="F67" i="2"/>
  <c r="F66" i="2"/>
  <c r="F65" i="2"/>
  <c r="F64" i="2"/>
  <c r="F62" i="2"/>
  <c r="F61" i="2"/>
  <c r="F56" i="2"/>
  <c r="J84" i="2"/>
  <c r="J96" i="2" s="1"/>
  <c r="K84" i="2"/>
  <c r="K96" i="2" s="1"/>
  <c r="H97" i="2"/>
  <c r="I85" i="2"/>
  <c r="I97" i="2" s="1"/>
  <c r="K85" i="2"/>
  <c r="K97" i="2" s="1"/>
  <c r="E10" i="2"/>
  <c r="H34" i="2"/>
  <c r="I34" i="2"/>
  <c r="J34" i="2"/>
  <c r="K34" i="2"/>
  <c r="G34" i="2"/>
  <c r="K31" i="3" l="1"/>
  <c r="K28" i="3" s="1"/>
  <c r="J31" i="3"/>
  <c r="J28" i="3" s="1"/>
  <c r="I31" i="3"/>
  <c r="I28" i="3" s="1"/>
  <c r="I71" i="3"/>
  <c r="H31" i="3"/>
  <c r="H28" i="3" s="1"/>
  <c r="G31" i="3"/>
  <c r="G83" i="3"/>
  <c r="F83" i="3" s="1"/>
  <c r="F69" i="3"/>
  <c r="H35" i="3"/>
  <c r="F35" i="3" s="1"/>
  <c r="K52" i="3"/>
  <c r="J52" i="3"/>
  <c r="K93" i="2"/>
  <c r="J93" i="2"/>
  <c r="E93" i="2"/>
  <c r="I93" i="2"/>
  <c r="H93" i="2"/>
  <c r="F97" i="2"/>
  <c r="F96" i="2"/>
  <c r="G86" i="3"/>
  <c r="F86" i="3" s="1"/>
  <c r="E82" i="2"/>
  <c r="E95" i="2" s="1"/>
  <c r="J12" i="3"/>
  <c r="F84" i="2"/>
  <c r="G57" i="2"/>
  <c r="F85" i="2"/>
  <c r="I33" i="2"/>
  <c r="H33" i="2"/>
  <c r="G33" i="2"/>
  <c r="K33" i="2"/>
  <c r="J33" i="2"/>
  <c r="H57" i="2"/>
  <c r="K57" i="2"/>
  <c r="E57" i="2"/>
  <c r="J57" i="2"/>
  <c r="I57" i="2"/>
  <c r="F72" i="3"/>
  <c r="H52" i="3"/>
  <c r="E52" i="3"/>
  <c r="G52" i="3"/>
  <c r="I52" i="3"/>
  <c r="H12" i="3"/>
  <c r="G12" i="3"/>
  <c r="H21" i="3"/>
  <c r="K12" i="3"/>
  <c r="K21" i="3"/>
  <c r="E12" i="3"/>
  <c r="J21" i="3"/>
  <c r="I21" i="3"/>
  <c r="F32" i="3"/>
  <c r="I12" i="3"/>
  <c r="F54" i="2"/>
  <c r="F55" i="2"/>
  <c r="K71" i="3" l="1"/>
  <c r="J71" i="3"/>
  <c r="F31" i="3"/>
  <c r="G28" i="3"/>
  <c r="F28" i="3" s="1"/>
  <c r="F29" i="3"/>
  <c r="F21" i="3"/>
  <c r="F93" i="2"/>
  <c r="F12" i="3"/>
  <c r="F71" i="3" l="1"/>
  <c r="F23" i="1"/>
  <c r="F21" i="1"/>
  <c r="F20" i="1"/>
  <c r="F19" i="1"/>
  <c r="F18" i="1"/>
  <c r="I15" i="1" l="1"/>
  <c r="H15" i="1"/>
  <c r="K15" i="1"/>
  <c r="G15" i="1"/>
  <c r="J15" i="1"/>
  <c r="F10" i="9" l="1"/>
  <c r="F11" i="9"/>
  <c r="F12" i="9"/>
  <c r="K9" i="9"/>
  <c r="K14" i="9" s="1"/>
  <c r="K13" i="9" s="1"/>
  <c r="J9" i="9"/>
  <c r="J14" i="9" s="1"/>
  <c r="J13" i="9" s="1"/>
  <c r="I9" i="9"/>
  <c r="I14" i="9" s="1"/>
  <c r="I13" i="9" s="1"/>
  <c r="H9" i="9"/>
  <c r="G9" i="9"/>
  <c r="G14" i="9" s="1"/>
  <c r="G13" i="9" s="1"/>
  <c r="E9" i="9"/>
  <c r="E8" i="9" s="1"/>
  <c r="J8" i="9" l="1"/>
  <c r="K8" i="9"/>
  <c r="G8" i="9"/>
  <c r="F9" i="9"/>
  <c r="I8" i="9"/>
  <c r="H14" i="9"/>
  <c r="H13" i="9" s="1"/>
  <c r="F13" i="9" s="1"/>
  <c r="H8" i="9"/>
  <c r="E14" i="9"/>
  <c r="E13" i="9" s="1"/>
  <c r="F8" i="9" l="1"/>
  <c r="F14" i="9"/>
  <c r="P12" i="9"/>
  <c r="N11" i="9"/>
  <c r="P11" i="9" s="1"/>
  <c r="N10" i="9"/>
  <c r="P10" i="9" s="1"/>
  <c r="K48" i="3"/>
  <c r="K47" i="3"/>
  <c r="J48" i="3"/>
  <c r="J47" i="3"/>
  <c r="I48" i="3"/>
  <c r="I47" i="3"/>
  <c r="H48" i="3"/>
  <c r="H47" i="3"/>
  <c r="H70" i="3" s="1"/>
  <c r="H84" i="3" s="1"/>
  <c r="G48" i="3"/>
  <c r="G47" i="3"/>
  <c r="Q69" i="3"/>
  <c r="P69" i="3"/>
  <c r="O69" i="3"/>
  <c r="N69" i="3"/>
  <c r="K16" i="9"/>
  <c r="K40" i="9" s="1"/>
  <c r="J16" i="9"/>
  <c r="J40" i="9" s="1"/>
  <c r="I16" i="9"/>
  <c r="I40" i="9" s="1"/>
  <c r="H16" i="9"/>
  <c r="H40" i="9" s="1"/>
  <c r="G16" i="9"/>
  <c r="N67" i="3"/>
  <c r="P67" i="3" s="1"/>
  <c r="F67" i="3"/>
  <c r="F66" i="3"/>
  <c r="N65" i="3"/>
  <c r="P65" i="3" s="1"/>
  <c r="F65" i="3"/>
  <c r="F60" i="3"/>
  <c r="N59" i="3"/>
  <c r="P59" i="3" s="1"/>
  <c r="F59" i="3"/>
  <c r="N58" i="3"/>
  <c r="P58" i="3" s="1"/>
  <c r="F58" i="3"/>
  <c r="F57" i="3"/>
  <c r="N56" i="3"/>
  <c r="P56" i="3" s="1"/>
  <c r="F56" i="3"/>
  <c r="G40" i="9" l="1"/>
  <c r="F40" i="9" s="1"/>
  <c r="E16" i="9"/>
  <c r="E40" i="9" s="1"/>
  <c r="E70" i="3"/>
  <c r="E84" i="3" s="1"/>
  <c r="J46" i="3"/>
  <c r="G61" i="3"/>
  <c r="G46" i="3"/>
  <c r="K46" i="3"/>
  <c r="I61" i="3"/>
  <c r="I46" i="3"/>
  <c r="K61" i="3"/>
  <c r="F16" i="6"/>
  <c r="F9" i="6"/>
  <c r="F8" i="6"/>
  <c r="H46" i="3"/>
  <c r="E46" i="3"/>
  <c r="E61" i="3"/>
  <c r="J61" i="3"/>
  <c r="H61" i="3"/>
  <c r="F53" i="3"/>
  <c r="F55" i="3"/>
  <c r="F54" i="3"/>
  <c r="N51" i="3"/>
  <c r="P51" i="3" s="1"/>
  <c r="F51" i="3"/>
  <c r="F50" i="3"/>
  <c r="N49" i="3"/>
  <c r="P49" i="3" s="1"/>
  <c r="F49" i="3"/>
  <c r="K70" i="3"/>
  <c r="K84" i="3" s="1"/>
  <c r="J70" i="3"/>
  <c r="J84" i="3" s="1"/>
  <c r="I70" i="3"/>
  <c r="I84" i="3" s="1"/>
  <c r="P45" i="3"/>
  <c r="F45" i="3"/>
  <c r="P44" i="3"/>
  <c r="F44" i="3"/>
  <c r="F11" i="3"/>
  <c r="F24" i="3"/>
  <c r="F25" i="3"/>
  <c r="F42" i="3"/>
  <c r="F43" i="3"/>
  <c r="F22" i="1"/>
  <c r="F24" i="1"/>
  <c r="F25" i="1"/>
  <c r="F36" i="1"/>
  <c r="F37" i="1"/>
  <c r="F38" i="1"/>
  <c r="F41" i="1"/>
  <c r="F52" i="1"/>
  <c r="F53" i="1"/>
  <c r="F17" i="2"/>
  <c r="F18" i="2"/>
  <c r="F19" i="2"/>
  <c r="F35" i="2"/>
  <c r="F40" i="2"/>
  <c r="F42" i="2"/>
  <c r="F43" i="2"/>
  <c r="F44" i="2"/>
  <c r="F45" i="2"/>
  <c r="F46" i="2"/>
  <c r="F47" i="2"/>
  <c r="F48" i="2"/>
  <c r="F70" i="2"/>
  <c r="F71" i="2"/>
  <c r="F77" i="2"/>
  <c r="F78" i="2"/>
  <c r="E10" i="3"/>
  <c r="N42" i="3"/>
  <c r="P42" i="3" s="1"/>
  <c r="P25" i="3"/>
  <c r="P24" i="3"/>
  <c r="P23" i="3"/>
  <c r="P22" i="3"/>
  <c r="P21" i="3"/>
  <c r="K76" i="2"/>
  <c r="K82" i="2" s="1"/>
  <c r="K95" i="2" s="1"/>
  <c r="K75" i="2"/>
  <c r="K81" i="2" s="1"/>
  <c r="K94" i="2" s="1"/>
  <c r="J76" i="2"/>
  <c r="J82" i="2" s="1"/>
  <c r="J95" i="2" s="1"/>
  <c r="J104" i="2" s="1"/>
  <c r="J75" i="2"/>
  <c r="J81" i="2" s="1"/>
  <c r="J94" i="2" s="1"/>
  <c r="I76" i="2"/>
  <c r="I82" i="2" s="1"/>
  <c r="I95" i="2" s="1"/>
  <c r="I104" i="2" s="1"/>
  <c r="I75" i="2"/>
  <c r="I81" i="2" s="1"/>
  <c r="I94" i="2" s="1"/>
  <c r="H76" i="2"/>
  <c r="H82" i="2" s="1"/>
  <c r="H75" i="2"/>
  <c r="H81" i="2" s="1"/>
  <c r="H94" i="2" s="1"/>
  <c r="G76" i="2"/>
  <c r="G82" i="2" s="1"/>
  <c r="G95" i="2" s="1"/>
  <c r="G75" i="2"/>
  <c r="G81" i="2" s="1"/>
  <c r="G94" i="2" s="1"/>
  <c r="E74" i="2"/>
  <c r="H95" i="2" l="1"/>
  <c r="H104" i="2" s="1"/>
  <c r="H18" i="9"/>
  <c r="E68" i="3"/>
  <c r="E85" i="3"/>
  <c r="E87" i="3" s="1"/>
  <c r="F94" i="2"/>
  <c r="G98" i="2"/>
  <c r="G100" i="2" s="1"/>
  <c r="F16" i="9"/>
  <c r="F82" i="2"/>
  <c r="F81" i="2"/>
  <c r="J79" i="2"/>
  <c r="K79" i="2"/>
  <c r="J74" i="2"/>
  <c r="G79" i="2"/>
  <c r="N18" i="9"/>
  <c r="G70" i="3"/>
  <c r="F61" i="3"/>
  <c r="F52" i="3"/>
  <c r="H74" i="2"/>
  <c r="F76" i="2"/>
  <c r="G74" i="2"/>
  <c r="F75" i="2"/>
  <c r="K74" i="2"/>
  <c r="F14" i="6"/>
  <c r="F15" i="6"/>
  <c r="I74" i="2"/>
  <c r="F95" i="2" l="1"/>
  <c r="G84" i="3"/>
  <c r="F84" i="3" s="1"/>
  <c r="I79" i="2"/>
  <c r="H79" i="2"/>
  <c r="F70" i="3"/>
  <c r="F74" i="2"/>
  <c r="E34" i="2" l="1"/>
  <c r="E81" i="2" s="1"/>
  <c r="E94" i="2" s="1"/>
  <c r="E33" i="2" l="1"/>
  <c r="F34" i="2"/>
  <c r="F33" i="2" l="1"/>
  <c r="F51" i="1"/>
  <c r="N17" i="9" s="1"/>
  <c r="F50" i="1"/>
  <c r="F16" i="1"/>
  <c r="F17" i="1"/>
  <c r="F15" i="1" l="1"/>
  <c r="K10" i="3"/>
  <c r="K85" i="3" s="1"/>
  <c r="J10" i="3"/>
  <c r="J85" i="3" s="1"/>
  <c r="J93" i="3" s="1"/>
  <c r="I10" i="3"/>
  <c r="I85" i="3" s="1"/>
  <c r="I93" i="3" s="1"/>
  <c r="H10" i="3"/>
  <c r="G10" i="3"/>
  <c r="G85" i="3" s="1"/>
  <c r="E9" i="3"/>
  <c r="P11" i="3"/>
  <c r="F85" i="3" l="1"/>
  <c r="G68" i="3"/>
  <c r="H68" i="3"/>
  <c r="H87" i="3"/>
  <c r="H89" i="3" s="1"/>
  <c r="I68" i="3"/>
  <c r="I87" i="3"/>
  <c r="I89" i="3" s="1"/>
  <c r="J68" i="3"/>
  <c r="J87" i="3"/>
  <c r="J89" i="3" s="1"/>
  <c r="K68" i="3"/>
  <c r="K87" i="3"/>
  <c r="K89" i="3" s="1"/>
  <c r="F60" i="2"/>
  <c r="F58" i="2"/>
  <c r="F59" i="2"/>
  <c r="J9" i="3"/>
  <c r="K9" i="3"/>
  <c r="H9" i="3"/>
  <c r="I9" i="3"/>
  <c r="G9" i="3"/>
  <c r="F10" i="3"/>
  <c r="G87" i="3" l="1"/>
  <c r="F87" i="3" s="1"/>
  <c r="F89" i="3" s="1"/>
  <c r="F68" i="3"/>
  <c r="F9" i="3"/>
  <c r="F57" i="2"/>
  <c r="F80" i="2"/>
  <c r="G89" i="3" l="1"/>
  <c r="K63" i="1"/>
  <c r="K62" i="1"/>
  <c r="K60" i="1"/>
  <c r="K59" i="1"/>
  <c r="J63" i="1"/>
  <c r="J62" i="1"/>
  <c r="J59" i="1"/>
  <c r="I63" i="1"/>
  <c r="I62" i="1"/>
  <c r="I20" i="9" s="1"/>
  <c r="I60" i="1"/>
  <c r="I71" i="1" s="1"/>
  <c r="I81" i="1" s="1"/>
  <c r="I59" i="1"/>
  <c r="H63" i="1"/>
  <c r="H62" i="1"/>
  <c r="H20" i="9" s="1"/>
  <c r="H59" i="1"/>
  <c r="H73" i="1" s="1"/>
  <c r="G62" i="1"/>
  <c r="G74" i="1" s="1"/>
  <c r="E60" i="1"/>
  <c r="H57" i="1" l="1"/>
  <c r="J57" i="1"/>
  <c r="I57" i="1"/>
  <c r="K57" i="1"/>
  <c r="E18" i="9"/>
  <c r="E41" i="9" s="1"/>
  <c r="E71" i="1"/>
  <c r="H17" i="9"/>
  <c r="H42" i="9" s="1"/>
  <c r="J18" i="9"/>
  <c r="J41" i="9" s="1"/>
  <c r="J55" i="9" s="1"/>
  <c r="H43" i="9"/>
  <c r="H74" i="1"/>
  <c r="J20" i="9"/>
  <c r="J43" i="9" s="1"/>
  <c r="J74" i="1"/>
  <c r="H21" i="9"/>
  <c r="H44" i="9" s="1"/>
  <c r="H75" i="1"/>
  <c r="J21" i="9"/>
  <c r="J44" i="9" s="1"/>
  <c r="J75" i="1"/>
  <c r="I17" i="9"/>
  <c r="I42" i="9" s="1"/>
  <c r="I73" i="1"/>
  <c r="K17" i="9"/>
  <c r="K42" i="9" s="1"/>
  <c r="K73" i="1"/>
  <c r="J17" i="9"/>
  <c r="J42" i="9" s="1"/>
  <c r="J73" i="1"/>
  <c r="K18" i="9"/>
  <c r="K41" i="9" s="1"/>
  <c r="K71" i="1"/>
  <c r="F71" i="1" s="1"/>
  <c r="I43" i="9"/>
  <c r="I74" i="1"/>
  <c r="K20" i="9"/>
  <c r="K43" i="9" s="1"/>
  <c r="K74" i="1"/>
  <c r="I21" i="9"/>
  <c r="I44" i="9" s="1"/>
  <c r="I75" i="1"/>
  <c r="K21" i="9"/>
  <c r="K44" i="9" s="1"/>
  <c r="K75" i="1"/>
  <c r="I18" i="9"/>
  <c r="G18" i="9"/>
  <c r="G41" i="9" s="1"/>
  <c r="F60" i="1"/>
  <c r="G20" i="9"/>
  <c r="F62" i="1"/>
  <c r="G63" i="1"/>
  <c r="F63" i="1" s="1"/>
  <c r="G59" i="1"/>
  <c r="E16" i="1"/>
  <c r="F74" i="1" l="1"/>
  <c r="J45" i="9"/>
  <c r="K45" i="9"/>
  <c r="G73" i="1"/>
  <c r="F73" i="1" s="1"/>
  <c r="G57" i="1"/>
  <c r="F57" i="1" s="1"/>
  <c r="K15" i="9"/>
  <c r="K47" i="9" s="1"/>
  <c r="J15" i="9"/>
  <c r="J47" i="9" s="1"/>
  <c r="F20" i="9"/>
  <c r="G43" i="9"/>
  <c r="F43" i="9" s="1"/>
  <c r="I15" i="9"/>
  <c r="I47" i="9" s="1"/>
  <c r="I41" i="9"/>
  <c r="H48" i="9"/>
  <c r="H41" i="9"/>
  <c r="H55" i="9" s="1"/>
  <c r="H15" i="9"/>
  <c r="H47" i="9" s="1"/>
  <c r="F18" i="9"/>
  <c r="G17" i="9"/>
  <c r="F59" i="1"/>
  <c r="G21" i="9"/>
  <c r="G44" i="9" s="1"/>
  <c r="F44" i="9" s="1"/>
  <c r="E15" i="1"/>
  <c r="E59" i="1"/>
  <c r="I45" i="9" l="1"/>
  <c r="I55" i="9"/>
  <c r="G15" i="9"/>
  <c r="F15" i="9" s="1"/>
  <c r="H45" i="9"/>
  <c r="F41" i="9"/>
  <c r="E73" i="1"/>
  <c r="F17" i="9"/>
  <c r="G42" i="9"/>
  <c r="F21" i="9"/>
  <c r="E17" i="9"/>
  <c r="E42" i="9" s="1"/>
  <c r="E85" i="2"/>
  <c r="E97" i="2" s="1"/>
  <c r="G47" i="9" l="1"/>
  <c r="G49" i="9" s="1"/>
  <c r="G54" i="9" s="1"/>
  <c r="F42" i="9"/>
  <c r="G45" i="9"/>
  <c r="F45" i="9" s="1"/>
  <c r="G56" i="9"/>
  <c r="G57" i="9" s="1"/>
  <c r="G58" i="9"/>
  <c r="F47" i="9"/>
  <c r="E84" i="2"/>
  <c r="F16" i="2"/>
  <c r="F15" i="2"/>
  <c r="E79" i="2" l="1"/>
  <c r="E96" i="2"/>
  <c r="F10" i="2"/>
  <c r="F79" i="2"/>
  <c r="N20" i="9" s="1"/>
  <c r="E32" i="1"/>
  <c r="E33" i="1"/>
  <c r="E63" i="1" s="1"/>
  <c r="E28" i="1" l="1"/>
  <c r="E21" i="9"/>
  <c r="E44" i="9" s="1"/>
  <c r="E75" i="1"/>
  <c r="E62" i="1"/>
  <c r="E57" i="1" s="1"/>
  <c r="E74" i="1" l="1"/>
  <c r="E76" i="1" s="1"/>
  <c r="E20" i="9"/>
  <c r="E15" i="9" l="1"/>
  <c r="E47" i="9" s="1"/>
  <c r="E43" i="9"/>
  <c r="E45" i="9" s="1"/>
  <c r="N10" i="6"/>
  <c r="P10" i="6" s="1"/>
  <c r="F10" i="6"/>
  <c r="Q72" i="3"/>
  <c r="P72" i="3"/>
  <c r="O72" i="3"/>
  <c r="N72" i="3"/>
  <c r="P71" i="3"/>
  <c r="Q70" i="3"/>
  <c r="P70" i="3"/>
  <c r="O70" i="3"/>
  <c r="N70" i="3"/>
  <c r="N71" i="3" l="1"/>
  <c r="Q71" i="3"/>
  <c r="O71" i="3"/>
  <c r="E67" i="1"/>
  <c r="G75" i="1"/>
  <c r="F75" i="1" s="1"/>
  <c r="G76" i="1" l="1"/>
  <c r="G78" i="1" s="1"/>
  <c r="K76" i="1"/>
  <c r="K78" i="1" s="1"/>
  <c r="J76" i="1"/>
  <c r="J78" i="1" s="1"/>
  <c r="E98" i="2"/>
  <c r="N21" i="9" l="1"/>
  <c r="I76" i="1"/>
  <c r="I78" i="1" s="1"/>
  <c r="K98" i="2"/>
  <c r="K100" i="2" s="1"/>
  <c r="H98" i="2"/>
  <c r="H100" i="2" s="1"/>
  <c r="J98" i="2"/>
  <c r="J100" i="2" s="1"/>
  <c r="H76" i="1"/>
  <c r="H78" i="1" l="1"/>
  <c r="F76" i="1"/>
  <c r="F98" i="2"/>
  <c r="I98" i="2"/>
  <c r="I100" i="2" s="1"/>
  <c r="F47" i="3" l="1"/>
  <c r="F48" i="3"/>
  <c r="F46" i="3" l="1"/>
</calcChain>
</file>

<file path=xl/sharedStrings.xml><?xml version="1.0" encoding="utf-8"?>
<sst xmlns="http://schemas.openxmlformats.org/spreadsheetml/2006/main" count="818" uniqueCount="278">
  <si>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</si>
  <si>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</si>
  <si>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</si>
  <si>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</si>
  <si>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</si>
  <si>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</si>
  <si>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</si>
  <si>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</si>
  <si>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</si>
  <si>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</si>
  <si>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</si>
  <si>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</si>
  <si>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</si>
  <si>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</si>
  <si>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</si>
  <si>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</si>
  <si>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</si>
  <si>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Полное государственноне обеспечение  100% обучающихся из категории детей сирот и детей, оставшихся без попечения родителей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</si>
  <si>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</si>
  <si>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</si>
  <si>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</si>
  <si>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</si>
  <si>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</si>
  <si>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</si>
  <si>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</si>
  <si>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</si>
  <si>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</si>
  <si>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</si>
  <si>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</si>
  <si>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</si>
  <si>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</si>
  <si>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</si>
  <si>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</si>
  <si>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</si>
  <si>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</si>
  <si>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</si>
  <si>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</si>
  <si>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</si>
  <si>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</si>
  <si>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</si>
  <si>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</si>
  <si>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</si>
  <si>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</si>
  <si>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</si>
  <si>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</si>
  <si>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</si>
  <si>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</si>
  <si>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</si>
  <si>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</si>
  <si>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</si>
  <si>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</si>
  <si>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</si>
  <si>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</si>
  <si>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</si>
  <si>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</si>
  <si>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</si>
  <si>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</si>
  <si>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</si>
  <si>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</si>
  <si>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</si>
  <si>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</si>
  <si>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</si>
  <si>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</si>
  <si>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</si>
  <si>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</si>
  <si>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</si>
  <si>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</si>
  <si>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</si>
  <si>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</si>
  <si>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</si>
  <si>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</si>
  <si>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</si>
  <si>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</si>
  <si>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</si>
  <si>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</si>
  <si>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</si>
  <si>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</si>
  <si>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</si>
  <si>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</si>
  <si>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</si>
  <si>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</si>
  <si>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</si>
  <si>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</si>
  <si>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</si>
  <si>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</si>
  <si>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</si>
  <si>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</si>
  <si>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</si>
  <si>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3.3</t>
  </si>
  <si>
    <t>3.4</t>
  </si>
  <si>
    <t>5.1</t>
  </si>
  <si>
    <t>5.2</t>
  </si>
  <si>
    <t>Оснащение дошкольных образовательных организаций современным инновационным оборудованием</t>
  </si>
  <si>
    <t>3.5</t>
  </si>
  <si>
    <t>Срок исполнения меропиятия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</si>
  <si>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</si>
  <si>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</si>
  <si>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</si>
  <si>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</si>
  <si>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</si>
  <si>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</si>
  <si>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</si>
  <si>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</si>
  <si>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</si>
  <si>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</si>
  <si>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</si>
  <si>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</si>
  <si>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</si>
  <si>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</si>
  <si>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</si>
  <si>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Мероприятия по проведению капитального ремонта в муниципальных общеобразовательных организациях в Московской области</t>
  </si>
  <si>
    <t>Администрация Одинцовского городского округа</t>
  </si>
  <si>
    <t xml:space="preserve">Приложение 1 к муниципальной программе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</si>
  <si>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</si>
  <si>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</si>
  <si>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</si>
  <si>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</si>
  <si>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</si>
  <si>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</si>
  <si>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</si>
  <si>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</si>
  <si>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</si>
  <si>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1. "Проведение капитального ремонта объектов дошкольного образования "</t>
  </si>
  <si>
    <t>Основное мероприятие Р2. Федеральный проект "Содействие занятости женщин - создание условий дошкольного образования для детей в возрасте до трех лет "</t>
  </si>
  <si>
    <t>Основное мероприятие 1. "Финансовое обеспечение деятельности образовательных организаций"</t>
  </si>
  <si>
    <t>Основное мероприятие 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</si>
  <si>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</si>
  <si>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</si>
  <si>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Е1. Федеральный проект "Современная школа"</t>
  </si>
  <si>
    <t>Основное мероприятие Е2. Федеральный проект  "Успех каждого ребенка"</t>
  </si>
  <si>
    <t>Основное мероприятие 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</si>
  <si>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3. "Финансовое обеспечение оказания услуг (выполнения работ) организациями дополнительного образования"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</si>
  <si>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</si>
  <si>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</si>
  <si>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Е2. Федеральный проект                 "Успех каждого ребенка"</t>
  </si>
  <si>
    <t>Основное мероприятие Е4. Федеральный проект "Цифровая образовательная среда"</t>
  </si>
  <si>
    <t>Основное мероприятие 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</si>
  <si>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</si>
  <si>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</si>
  <si>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Основное мероприятие 1. "Создание условий для реализации полномочий органов местного самоуправления"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</si>
  <si>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</si>
  <si>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</si>
  <si>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Управление образования, МКУ "Централизованная бухгалтерия", МКУ ХЭС, Комитет по культуре</t>
  </si>
  <si>
    <t>Укрепление материально-технической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</si>
  <si>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</si>
  <si>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</si>
  <si>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</si>
  <si>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</si>
  <si>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</si>
  <si>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</si>
  <si>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</si>
  <si>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</si>
  <si>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</si>
  <si>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</si>
  <si>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</si>
  <si>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</si>
  <si>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</si>
  <si>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</si>
  <si>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</si>
  <si>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</si>
  <si>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</si>
  <si>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</si>
  <si>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Расходы на обеспечение деятельности (оказание услуг) муниципальных учреждений - общеобразовательные организации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</si>
  <si>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</si>
  <si>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</si>
  <si>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</si>
  <si>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</si>
  <si>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</si>
  <si>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</si>
  <si>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5.3</t>
  </si>
  <si>
    <t>Создание центров образования цифрового и гуманитарного профилей</t>
  </si>
  <si>
    <t>Проведение капитального ремонта в муниципальных общеобразовательных организациях в Московской области</t>
  </si>
  <si>
    <t>5.4</t>
  </si>
  <si>
    <t>5.5</t>
  </si>
  <si>
    <t>5.6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</si>
  <si>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</si>
  <si>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</si>
  <si>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УМЦ "Развитие образования",     МКОУ ОРЦ "Сопровождение"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</si>
  <si>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</si>
  <si>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</si>
  <si>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</si>
  <si>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</si>
  <si>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>100% выполнение обеспечения деятельности (оказание услуг) муниципальных учреждений - общеобразовательные организации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</si>
  <si>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</si>
  <si>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</si>
  <si>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</si>
  <si>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</si>
  <si>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</si>
  <si>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</si>
  <si>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</si>
  <si>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</si>
  <si>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Управление (за разницей) Средства федерального бюджета</t>
  </si>
  <si>
    <t>100% выполнение муниципального задания поУМЦ "Развитие образования", МБОУ ОРЦ "Сопровождение", а также 100 % освоение средств целевых субсидий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</si>
  <si>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</si>
  <si>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</si>
  <si>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2. "Финансовое обеспечение реализации прав граждан на получение общедоступного и бесплатного дошкольного образования"</t>
  </si>
  <si>
    <t>2.5</t>
  </si>
  <si>
    <t>2.6</t>
  </si>
  <si>
    <t>Укрепление материально-технической базы и проведение текущего ремонта учреждений дошкольного образования</t>
  </si>
  <si>
    <t>2.7</t>
  </si>
  <si>
    <t>Профессиональная физическая охрана муниципальных учреждений дошкольного образования</t>
  </si>
  <si>
    <t>Обеспечение  дошкольных образовательных учреждений  услугой по охране объектов и имущества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</si>
  <si>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</si>
  <si>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</si>
  <si>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</si>
  <si>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</si>
  <si>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</si>
  <si>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</si>
  <si>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</si>
  <si>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</si>
  <si>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 xml:space="preserve">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</si>
  <si>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</si>
  <si>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</si>
  <si>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Обеспечение  учреждений дополнительного образования  услугой по охране объектов и имущества</t>
  </si>
  <si>
    <t>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</si>
  <si>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Создание условий, отвечающих требованиям СанПиН в 100% образовательных учреждениях. Проведение капитального ремонта муниципального имущества в муниципальных организациях дополнительного образования  в сфере физической культуры и спорта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</si>
  <si>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</si>
  <si>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</si>
  <si>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</si>
  <si>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</si>
  <si>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</si>
  <si>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</si>
  <si>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Мероприятия по проведению капитального ремонта  в муниципальных дошкольных образовательных организациях Московской области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</si>
  <si>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</si>
  <si>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Стипендии в области образования, культуры и искусства (юные дарования, одаренные дети)</t>
  </si>
  <si>
    <t>Основное мероприятие 4. "Реализация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семей"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</si>
  <si>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</si>
  <si>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от «___» __________ 2020 № ______</t>
  </si>
  <si>
    <t>Приложение 5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</si>
  <si>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</si>
  <si>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</si>
  <si>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</si>
  <si>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</si>
  <si>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</si>
  <si>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</si>
  <si>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</si>
  <si>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3.6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</si>
  <si>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</si>
  <si>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3.7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</si>
  <si>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</si>
  <si>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</si>
  <si>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</si>
  <si>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1.4.1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</si>
  <si>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</si>
  <si>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</t>
  </si>
  <si>
    <t>2.8</t>
  </si>
  <si>
    <t>Приобретение автобусов для доставки обучающихся в общеобразовательные организации (2021 - Школа "Гармония",Часцовская СОШ)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</si>
  <si>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</si>
  <si>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</si>
  <si>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Основное мероприятие 5. "Модернизация детских школ искусств"</t>
  </si>
  <si>
    <t>Реализация мероприятий по модернизации региональных и муниципальных детских школ искусств по видам искусств</t>
  </si>
  <si>
    <t>6.3</t>
  </si>
  <si>
    <t>8.2</t>
  </si>
  <si>
    <t>9.1</t>
  </si>
  <si>
    <t>2</t>
  </si>
  <si>
    <t>Количество капитально отремонтированных детских школ искусств по видам искусств</t>
  </si>
  <si>
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</si>
  <si>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</si>
  <si>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 xml:space="preserve"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16-б. </t>
  </si>
  <si>
    <t>добавила 1239,9233, сняла 2594 зп уО</t>
  </si>
  <si>
    <t>сняла на зп удо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</si>
  <si>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</si>
  <si>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Основное мероприятие 6. "Обеспечение функционирования модели персонифицированного финансирования дополнительного образования детей"</t>
  </si>
  <si>
    <t>добавила 5864,4</t>
  </si>
  <si>
    <t>сняла 84172,5171 с ремонта и 14000,0 мтб</t>
  </si>
  <si>
    <t>сняла 16000,0 на оснащение сада, поставила на 0702</t>
  </si>
  <si>
    <t>сняла 9160,13626 с капремонта, 11232,70813 с оснащения сош 12</t>
  </si>
  <si>
    <r>
  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</t>
    </r>
    <r>
      <rPr>
        <sz val="14"/>
        <color rgb="FFFF0000"/>
        <rFont val="Times New Roman"/>
        <family val="1"/>
        <charset val="204"/>
      </rPr>
      <t>здания детского сада на 120 мест Новый городок (Искатель), здания дошкольного учреждения, расположенного по адресу: Московская область, Одинцовский район, г.п. Новоивановское, Можайское шоссе, д. 52 (Марфино)</t>
    </r>
  </si>
  <si>
    <r>
      <t xml:space="preserve"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 Проведение ремонтных работ. </t>
    </r>
    <r>
      <rPr>
        <sz val="14"/>
        <color rgb="FFFF0000"/>
        <rFont val="Times New Roman"/>
        <family val="1"/>
        <charset val="204"/>
      </rPr>
      <t>Оснащение детского сада,
расположенного по адресу: Московская область,
Одинцовский район, Лесной Городок дп, ул.
Школьная, д. 14, техническое переоснащение МБОУ Новогородковская СОШ</t>
    </r>
  </si>
  <si>
    <t>сняла 1404,3733 5расходы хэс</t>
  </si>
  <si>
    <t>сняла 5864,4 на пфдо, добавила 100,0 на ДШИ (культура)</t>
  </si>
  <si>
    <t>прибавила 6043,49 с резерва на сош 3 и сош 17 (налог - 1500,0),</t>
  </si>
  <si>
    <t>добавила 6500,0 на ершовскую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</si>
  <si>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</si>
  <si>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</si>
  <si>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 xml:space="preserve">Начальник Управления образования                                                                   </t>
  </si>
  <si>
    <t>Ю.В. Хардина</t>
  </si>
  <si>
    <t>2021-2024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</si>
</sst>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461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1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5" xfId="1" applyFont="1" applyFill="1" applyBorder="1"/>
    <xf numFmtId="0" fontId="9" fillId="0" borderId="16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16" fillId="0" borderId="1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8" borderId="8" xfId="5" applyNumberFormat="1" applyFont="1" applyFill="1" applyBorder="1" applyAlignment="1" applyProtection="1">
      <alignment horizontal="center" vertical="center"/>
    </xf>
    <xf numFmtId="0" fontId="16" fillId="8" borderId="8" xfId="5" applyNumberFormat="1" applyFont="1" applyFill="1" applyBorder="1" applyAlignment="1" applyProtection="1">
      <alignment vertical="top"/>
    </xf>
    <xf numFmtId="0" fontId="16" fillId="8" borderId="10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0" fontId="5" fillId="3" borderId="0" xfId="1" applyFont="1" applyFill="1" applyAlignment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5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0" fontId="7" fillId="0" borderId="0" xfId="7" applyNumberFormat="1" applyFont="1" applyFill="1" applyBorder="1" applyAlignment="1" applyProtection="1">
      <alignment vertical="top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0" fontId="7" fillId="10" borderId="0" xfId="7" applyNumberFormat="1" applyFont="1" applyFill="1" applyBorder="1" applyAlignment="1" applyProtection="1">
      <alignment vertical="top"/>
    </xf>
    <xf numFmtId="167" fontId="7" fillId="3" borderId="0" xfId="1" applyNumberFormat="1" applyFont="1" applyFill="1" applyBorder="1" applyAlignment="1">
      <alignment horizontal="right" vertical="center"/>
    </xf>
    <xf numFmtId="167" fontId="6" fillId="3" borderId="0" xfId="0" applyNumberFormat="1" applyFont="1" applyFill="1"/>
    <xf numFmtId="0" fontId="5" fillId="2" borderId="0" xfId="7" applyNumberFormat="1" applyFont="1" applyFill="1" applyBorder="1" applyAlignment="1" applyProtection="1">
      <alignment horizontal="left" vertical="top" wrapText="1"/>
    </xf>
    <xf numFmtId="0" fontId="5" fillId="3" borderId="0" xfId="5" applyNumberFormat="1" applyFont="1" applyFill="1" applyBorder="1" applyAlignment="1" applyProtection="1">
      <alignment horizontal="left" vertical="top"/>
    </xf>
    <xf numFmtId="165" fontId="8" fillId="10" borderId="2" xfId="5" applyNumberFormat="1" applyFont="1" applyFill="1" applyBorder="1" applyAlignment="1" applyProtection="1">
      <alignment horizontal="center" vertical="center" wrapText="1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5" xfId="4" applyNumberFormat="1" applyFont="1" applyFill="1" applyBorder="1" applyAlignment="1" applyProtection="1">
      <alignment horizontal="right" vertical="center"/>
    </xf>
    <xf numFmtId="0" fontId="9" fillId="0" borderId="15" xfId="4" applyNumberFormat="1" applyFont="1" applyFill="1" applyBorder="1" applyAlignment="1">
      <alignment horizontal="left" vertical="top" wrapText="1" indent="1"/>
    </xf>
    <xf numFmtId="0" fontId="8" fillId="0" borderId="16" xfId="4" applyNumberFormat="1" applyFont="1" applyFill="1" applyBorder="1" applyAlignment="1">
      <alignment horizontal="left" vertical="top" wrapText="1" indent="1"/>
    </xf>
    <xf numFmtId="165" fontId="8" fillId="0" borderId="15" xfId="1" applyNumberFormat="1" applyFont="1" applyFill="1" applyBorder="1" applyAlignment="1">
      <alignment horizontal="center" vertical="center"/>
    </xf>
    <xf numFmtId="167" fontId="8" fillId="0" borderId="6" xfId="4" applyNumberFormat="1" applyFont="1" applyFill="1" applyBorder="1" applyAlignment="1" applyProtection="1">
      <alignment horizontal="right" vertical="center"/>
    </xf>
    <xf numFmtId="0" fontId="9" fillId="0" borderId="6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7" fontId="8" fillId="3" borderId="6" xfId="4" applyNumberFormat="1" applyFont="1" applyFill="1" applyBorder="1" applyAlignment="1" applyProtection="1">
      <alignment horizontal="right" vertical="center"/>
    </xf>
    <xf numFmtId="167" fontId="8" fillId="8" borderId="8" xfId="5" applyNumberFormat="1" applyFont="1" applyFill="1" applyBorder="1" applyAlignment="1" applyProtection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5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5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5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2" applyNumberFormat="1" applyFont="1" applyFill="1" applyBorder="1" applyAlignment="1" applyProtection="1">
      <alignment horizontal="center" vertical="center" wrapText="1"/>
    </xf>
    <xf numFmtId="0" fontId="20" fillId="3" borderId="2" xfId="3" applyFont="1" applyFill="1" applyBorder="1" applyAlignment="1">
      <alignment horizontal="center" vertical="center" wrapText="1"/>
    </xf>
    <xf numFmtId="0" fontId="20" fillId="3" borderId="12" xfId="3" applyFont="1" applyFill="1" applyBorder="1" applyAlignment="1">
      <alignment horizontal="center" vertical="center" wrapText="1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49" fontId="13" fillId="3" borderId="13" xfId="3" applyNumberFormat="1" applyFont="1" applyFill="1" applyBorder="1" applyAlignment="1" applyProtection="1">
      <alignment horizontal="center" vertical="top" wrapText="1"/>
    </xf>
    <xf numFmtId="0" fontId="13" fillId="3" borderId="6" xfId="3" applyNumberFormat="1" applyFont="1" applyFill="1" applyBorder="1" applyAlignment="1" applyProtection="1">
      <alignment horizontal="left" vertical="top" wrapText="1"/>
    </xf>
    <xf numFmtId="0" fontId="13" fillId="3" borderId="6" xfId="3" applyNumberFormat="1" applyFont="1" applyFill="1" applyBorder="1" applyAlignment="1" applyProtection="1">
      <alignment horizontal="center" vertical="center" wrapText="1"/>
    </xf>
    <xf numFmtId="0" fontId="13" fillId="3" borderId="6" xfId="2" applyNumberFormat="1" applyFont="1" applyFill="1" applyBorder="1" applyAlignment="1" applyProtection="1">
      <alignment horizontal="center" vertical="center" wrapText="1"/>
    </xf>
    <xf numFmtId="167" fontId="13" fillId="3" borderId="6" xfId="3" applyNumberFormat="1" applyFont="1" applyFill="1" applyBorder="1" applyAlignment="1" applyProtection="1">
      <alignment horizontal="center" vertical="center" wrapText="1"/>
    </xf>
    <xf numFmtId="0" fontId="20" fillId="3" borderId="6" xfId="3" applyFont="1" applyFill="1" applyBorder="1" applyAlignment="1">
      <alignment horizontal="center" vertical="center" wrapText="1"/>
    </xf>
    <xf numFmtId="167" fontId="13" fillId="10" borderId="6" xfId="3" applyNumberFormat="1" applyFont="1" applyFill="1" applyBorder="1" applyAlignment="1" applyProtection="1">
      <alignment horizontal="center" vertical="center" wrapText="1"/>
    </xf>
    <xf numFmtId="167" fontId="8" fillId="10" borderId="6" xfId="4" applyNumberFormat="1" applyFont="1" applyFill="1" applyBorder="1" applyAlignment="1">
      <alignment horizontal="right" vertical="center" wrapText="1"/>
    </xf>
    <xf numFmtId="167" fontId="8" fillId="10" borderId="8" xfId="5" applyNumberFormat="1" applyFont="1" applyFill="1" applyBorder="1" applyAlignment="1" applyProtection="1">
      <alignment horizontal="center" vertical="center"/>
    </xf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5" xfId="5" applyNumberFormat="1" applyFont="1" applyFill="1" applyBorder="1" applyAlignment="1" applyProtection="1">
      <alignment horizontal="center" vertical="center"/>
    </xf>
    <xf numFmtId="0" fontId="16" fillId="10" borderId="0" xfId="5" applyNumberFormat="1" applyFont="1" applyFill="1" applyBorder="1" applyAlignment="1" applyProtection="1">
      <alignment vertical="top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0" fontId="20" fillId="3" borderId="14" xfId="3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20" fillId="4" borderId="2" xfId="3" applyNumberFormat="1" applyFont="1" applyFill="1" applyBorder="1" applyAlignment="1" applyProtection="1">
      <alignment horizontal="center" vertical="center" wrapText="1"/>
    </xf>
    <xf numFmtId="167" fontId="22" fillId="3" borderId="2" xfId="7" applyNumberFormat="1" applyFont="1" applyFill="1" applyBorder="1" applyAlignment="1" applyProtection="1">
      <alignment horizontal="center" vertical="center" wrapText="1"/>
    </xf>
    <xf numFmtId="167" fontId="22" fillId="3" borderId="2" xfId="4" applyNumberFormat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7" fontId="22" fillId="3" borderId="2" xfId="1" applyNumberFormat="1" applyFont="1" applyFill="1" applyBorder="1" applyAlignment="1" applyProtection="1">
      <alignment horizontal="center" vertical="center" wrapText="1"/>
    </xf>
    <xf numFmtId="167" fontId="22" fillId="3" borderId="2" xfId="2" applyNumberFormat="1" applyFont="1" applyFill="1" applyBorder="1" applyAlignment="1" applyProtection="1">
      <alignment horizontal="center" vertical="center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167" fontId="22" fillId="10" borderId="2" xfId="1" applyNumberFormat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left" vertical="top" wrapText="1"/>
    </xf>
    <xf numFmtId="0" fontId="22" fillId="3" borderId="7" xfId="1" applyFont="1" applyFill="1" applyBorder="1" applyAlignment="1">
      <alignment horizontal="left" vertical="top" wrapText="1"/>
    </xf>
    <xf numFmtId="49" fontId="22" fillId="3" borderId="13" xfId="7" applyNumberFormat="1" applyFont="1" applyFill="1" applyBorder="1" applyAlignment="1" applyProtection="1">
      <alignment horizontal="center" vertical="top" wrapText="1"/>
    </xf>
    <xf numFmtId="49" fontId="22" fillId="3" borderId="20" xfId="7" applyNumberFormat="1" applyFont="1" applyFill="1" applyBorder="1" applyAlignment="1" applyProtection="1">
      <alignment horizontal="center" vertical="top" wrapText="1"/>
    </xf>
    <xf numFmtId="49" fontId="22" fillId="3" borderId="6" xfId="7" applyNumberFormat="1" applyFont="1" applyFill="1" applyBorder="1" applyAlignment="1" applyProtection="1">
      <alignment horizontal="center" vertical="center" wrapText="1"/>
    </xf>
    <xf numFmtId="49" fontId="22" fillId="3" borderId="7" xfId="7" applyNumberFormat="1" applyFont="1" applyFill="1" applyBorder="1" applyAlignment="1" applyProtection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 shrinkToFit="1"/>
    </xf>
    <xf numFmtId="0" fontId="23" fillId="3" borderId="7" xfId="1" applyFont="1" applyFill="1" applyBorder="1" applyAlignment="1">
      <alignment horizontal="center" vertical="center" wrapText="1" shrinkToFit="1"/>
    </xf>
    <xf numFmtId="0" fontId="23" fillId="3" borderId="14" xfId="7" applyNumberFormat="1" applyFont="1" applyFill="1" applyBorder="1" applyAlignment="1" applyProtection="1">
      <alignment horizontal="center" vertical="center" wrapText="1"/>
    </xf>
    <xf numFmtId="0" fontId="23" fillId="3" borderId="21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8" fillId="0" borderId="17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19" fillId="2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21" fillId="2" borderId="0" xfId="7" applyNumberFormat="1" applyFont="1" applyFill="1" applyBorder="1" applyAlignment="1" applyProtection="1">
      <alignment horizontal="center" vertical="top" wrapText="1"/>
    </xf>
    <xf numFmtId="0" fontId="9" fillId="4" borderId="1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5" fillId="2" borderId="0" xfId="7" applyNumberFormat="1" applyFont="1" applyFill="1" applyBorder="1" applyAlignment="1" applyProtection="1">
      <alignment horizontal="center" vertical="top"/>
    </xf>
    <xf numFmtId="49" fontId="9" fillId="4" borderId="2" xfId="1" applyNumberFormat="1" applyFont="1" applyFill="1" applyBorder="1" applyAlignment="1">
      <alignment horizontal="center" vertical="center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 applyProtection="1">
      <alignment horizontal="center" vertical="top" wrapText="1"/>
    </xf>
    <xf numFmtId="49" fontId="8" fillId="3" borderId="18" xfId="1" applyNumberFormat="1" applyFont="1" applyFill="1" applyBorder="1" applyAlignment="1" applyProtection="1">
      <alignment horizontal="center" vertical="top" wrapText="1"/>
    </xf>
    <xf numFmtId="49" fontId="8" fillId="3" borderId="20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19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19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0" fontId="8" fillId="4" borderId="12" xfId="4" applyNumberFormat="1" applyFont="1" applyFill="1" applyBorder="1" applyAlignment="1" applyProtection="1">
      <alignment horizontal="center" vertical="top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19" xfId="3" applyNumberFormat="1" applyFont="1" applyFill="1" applyBorder="1" applyAlignment="1" applyProtection="1">
      <alignment horizontal="center" vertical="center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0" fontId="8" fillId="3" borderId="6" xfId="4" applyNumberFormat="1" applyFont="1" applyFill="1" applyBorder="1" applyAlignment="1" applyProtection="1">
      <alignment horizontal="left" vertical="top" wrapText="1"/>
    </xf>
    <xf numFmtId="0" fontId="8" fillId="3" borderId="7" xfId="4" applyNumberFormat="1" applyFont="1" applyFill="1" applyBorder="1" applyAlignment="1" applyProtection="1">
      <alignment horizontal="left" vertical="top" wrapText="1"/>
    </xf>
    <xf numFmtId="49" fontId="8" fillId="3" borderId="13" xfId="7" applyNumberFormat="1" applyFont="1" applyFill="1" applyBorder="1" applyAlignment="1" applyProtection="1">
      <alignment horizontal="center" vertical="top" wrapText="1"/>
    </xf>
    <xf numFmtId="49" fontId="8" fillId="3" borderId="18" xfId="7" applyNumberFormat="1" applyFont="1" applyFill="1" applyBorder="1" applyAlignment="1" applyProtection="1">
      <alignment horizontal="center" vertical="top" wrapText="1"/>
    </xf>
    <xf numFmtId="49" fontId="8" fillId="3" borderId="20" xfId="7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center" vertical="center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4" fontId="8" fillId="3" borderId="8" xfId="4" applyNumberFormat="1" applyFont="1" applyFill="1" applyBorder="1" applyAlignment="1" applyProtection="1">
      <alignment horizontal="center" vertical="center" wrapText="1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center"/>
    </xf>
    <xf numFmtId="0" fontId="8" fillId="3" borderId="8" xfId="11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0" fontId="8" fillId="3" borderId="9" xfId="11" applyNumberFormat="1" applyFont="1" applyFill="1" applyBorder="1" applyAlignment="1" applyProtection="1">
      <alignment horizontal="center" vertical="center" wrapText="1"/>
    </xf>
    <xf numFmtId="0" fontId="8" fillId="3" borderId="11" xfId="11" applyNumberFormat="1" applyFont="1" applyFill="1" applyBorder="1" applyAlignment="1" applyProtection="1">
      <alignment horizontal="center" vertical="center" wrapText="1"/>
    </xf>
    <xf numFmtId="0" fontId="8" fillId="10" borderId="8" xfId="11" applyNumberFormat="1" applyFont="1" applyFill="1" applyBorder="1" applyAlignment="1" applyProtection="1">
      <alignment horizontal="center" vertical="center" wrapText="1"/>
    </xf>
    <xf numFmtId="0" fontId="8" fillId="10" borderId="2" xfId="11" applyNumberFormat="1" applyFont="1" applyFill="1" applyBorder="1" applyAlignment="1" applyProtection="1">
      <alignment horizontal="center" vertical="center" wrapText="1"/>
    </xf>
    <xf numFmtId="164" fontId="8" fillId="3" borderId="10" xfId="4" applyNumberFormat="1" applyFont="1" applyFill="1" applyBorder="1" applyAlignment="1" applyProtection="1">
      <alignment horizontal="center" vertical="center" wrapText="1"/>
    </xf>
    <xf numFmtId="164" fontId="8" fillId="3" borderId="12" xfId="4" applyNumberFormat="1" applyFont="1" applyFill="1" applyBorder="1" applyAlignment="1" applyProtection="1">
      <alignment horizontal="center" vertical="center" wrapText="1"/>
    </xf>
    <xf numFmtId="0" fontId="8" fillId="3" borderId="8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 applyProtection="1">
      <alignment horizontal="center" vertical="top"/>
    </xf>
    <xf numFmtId="49" fontId="9" fillId="3" borderId="6" xfId="4" applyNumberFormat="1" applyFont="1" applyFill="1" applyBorder="1" applyAlignment="1" applyProtection="1">
      <alignment horizontal="center" vertical="center" wrapText="1"/>
    </xf>
    <xf numFmtId="49" fontId="9" fillId="3" borderId="7" xfId="4" applyNumberFormat="1" applyFont="1" applyFill="1" applyBorder="1" applyAlignment="1" applyProtection="1">
      <alignment horizontal="center" vertical="center" wrapText="1"/>
    </xf>
    <xf numFmtId="164" fontId="9" fillId="3" borderId="14" xfId="4" applyNumberFormat="1" applyFont="1" applyFill="1" applyBorder="1" applyAlignment="1" applyProtection="1">
      <alignment horizontal="center" vertical="center" wrapText="1"/>
    </xf>
    <xf numFmtId="164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3" xfId="4" applyNumberFormat="1" applyFont="1" applyFill="1" applyBorder="1" applyAlignment="1" applyProtection="1">
      <alignment horizontal="center" vertical="top"/>
    </xf>
    <xf numFmtId="49" fontId="8" fillId="3" borderId="20" xfId="4" applyNumberFormat="1" applyFont="1" applyFill="1" applyBorder="1" applyAlignment="1" applyProtection="1">
      <alignment horizontal="center" vertical="top"/>
    </xf>
    <xf numFmtId="49" fontId="9" fillId="4" borderId="13" xfId="5" applyNumberFormat="1" applyFont="1" applyFill="1" applyBorder="1" applyAlignment="1" applyProtection="1">
      <alignment horizontal="center" vertical="top"/>
    </xf>
    <xf numFmtId="49" fontId="9" fillId="4" borderId="18" xfId="5" applyNumberFormat="1" applyFont="1" applyFill="1" applyBorder="1" applyAlignment="1" applyProtection="1">
      <alignment horizontal="center" vertical="top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19" xfId="3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>
      <alignment horizontal="left" vertical="top" wrapText="1"/>
    </xf>
    <xf numFmtId="0" fontId="8" fillId="3" borderId="19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49" fontId="8" fillId="3" borderId="6" xfId="7" applyNumberFormat="1" applyFont="1" applyFill="1" applyBorder="1" applyAlignment="1" applyProtection="1">
      <alignment horizontal="center" vertical="center" wrapText="1"/>
    </xf>
    <xf numFmtId="49" fontId="8" fillId="3" borderId="19" xfId="7" applyNumberFormat="1" applyFont="1" applyFill="1" applyBorder="1" applyAlignment="1" applyProtection="1">
      <alignment horizontal="center" vertical="center" wrapText="1"/>
    </xf>
    <xf numFmtId="49" fontId="8" fillId="3" borderId="7" xfId="7" applyNumberFormat="1" applyFont="1" applyFill="1" applyBorder="1" applyAlignment="1" applyProtection="1">
      <alignment horizontal="center" vertical="center" wrapText="1"/>
    </xf>
    <xf numFmtId="0" fontId="9" fillId="3" borderId="14" xfId="7" applyNumberFormat="1" applyFont="1" applyFill="1" applyBorder="1" applyAlignment="1" applyProtection="1">
      <alignment horizontal="center" vertical="center" wrapText="1"/>
    </xf>
    <xf numFmtId="0" fontId="9" fillId="3" borderId="22" xfId="7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 shrinkToFit="1"/>
    </xf>
    <xf numFmtId="0" fontId="9" fillId="3" borderId="19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49" fontId="9" fillId="3" borderId="19" xfId="4" applyNumberFormat="1" applyFont="1" applyFill="1" applyBorder="1" applyAlignment="1" applyProtection="1">
      <alignment horizontal="center" vertical="center" wrapText="1"/>
    </xf>
    <xf numFmtId="164" fontId="9" fillId="3" borderId="22" xfId="4" applyNumberFormat="1" applyFont="1" applyFill="1" applyBorder="1" applyAlignment="1" applyProtection="1">
      <alignment horizontal="center" vertical="center" wrapText="1"/>
    </xf>
    <xf numFmtId="49" fontId="8" fillId="3" borderId="18" xfId="4" applyNumberFormat="1" applyFont="1" applyFill="1" applyBorder="1" applyAlignment="1" applyProtection="1">
      <alignment horizontal="center" vertical="top"/>
    </xf>
    <xf numFmtId="0" fontId="8" fillId="3" borderId="19" xfId="4" applyNumberFormat="1" applyFont="1" applyFill="1" applyBorder="1" applyAlignment="1" applyProtection="1">
      <alignment horizontal="left" vertical="top" wrapText="1"/>
    </xf>
    <xf numFmtId="49" fontId="8" fillId="3" borderId="19" xfId="4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49" fontId="9" fillId="3" borderId="6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4" applyNumberFormat="1" applyFont="1" applyFill="1" applyBorder="1" applyAlignment="1" applyProtection="1">
      <alignment horizontal="center" vertical="center" wrapText="1"/>
    </xf>
    <xf numFmtId="0" fontId="9" fillId="3" borderId="22" xfId="4" applyNumberFormat="1" applyFont="1" applyFill="1" applyBorder="1" applyAlignment="1" applyProtection="1">
      <alignment horizontal="center" vertical="center" wrapText="1"/>
    </xf>
    <xf numFmtId="0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3" xfId="5" applyNumberFormat="1" applyFont="1" applyFill="1" applyBorder="1" applyAlignment="1" applyProtection="1">
      <alignment horizontal="center" vertical="top"/>
    </xf>
    <xf numFmtId="49" fontId="8" fillId="3" borderId="20" xfId="5" applyNumberFormat="1" applyFont="1" applyFill="1" applyBorder="1" applyAlignment="1" applyProtection="1">
      <alignment horizontal="center" vertical="top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49" fontId="8" fillId="3" borderId="6" xfId="5" applyNumberFormat="1" applyFont="1" applyFill="1" applyBorder="1" applyAlignment="1" applyProtection="1">
      <alignment horizontal="center" vertical="center" wrapText="1"/>
    </xf>
    <xf numFmtId="49" fontId="8" fillId="3" borderId="7" xfId="5" applyNumberFormat="1" applyFont="1" applyFill="1" applyBorder="1" applyAlignment="1" applyProtection="1">
      <alignment horizontal="center" vertical="center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8" fillId="0" borderId="17" xfId="4" applyNumberFormat="1" applyFont="1" applyFill="1" applyBorder="1" applyAlignment="1" applyProtection="1">
      <alignment horizontal="right" vertical="center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0" borderId="6" xfId="4" applyNumberFormat="1" applyFont="1" applyFill="1" applyBorder="1" applyAlignment="1" applyProtection="1">
      <alignment horizontal="right" vertical="center"/>
    </xf>
    <xf numFmtId="0" fontId="8" fillId="8" borderId="9" xfId="5" applyNumberFormat="1" applyFont="1" applyFill="1" applyBorder="1" applyAlignment="1" applyProtection="1">
      <alignment horizontal="right" vertical="center" wrapText="1"/>
    </xf>
    <xf numFmtId="0" fontId="8" fillId="8" borderId="8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2"/>
  <sheetViews>
    <sheetView tabSelected="1" view="pageBreakPreview" topLeftCell="A25" zoomScale="70" zoomScaleNormal="70" zoomScaleSheetLayoutView="70" zoomScalePageLayoutView="50" workbookViewId="0">
      <selection activeCell="G25" sqref="G25"/>
    </sheetView>
  </sheetViews>
  <sheetFormatPr defaultColWidth="9.140625" defaultRowHeight="15" x14ac:dyDescent="0.25"/>
  <cols>
    <col min="1" max="1" width="9.140625" style="5"/>
    <col min="2" max="2" width="57.28515625" style="5" customWidth="1"/>
    <col min="3" max="3" width="18.28515625" style="5" customWidth="1"/>
    <col min="4" max="4" width="33.42578125" style="5" customWidth="1"/>
    <col min="5" max="5" width="21" style="5" customWidth="1"/>
    <col min="6" max="6" width="22.7109375" style="27" customWidth="1"/>
    <col min="7" max="7" width="21.28515625" style="5" customWidth="1"/>
    <col min="8" max="8" width="21.28515625" style="99" customWidth="1"/>
    <col min="9" max="9" width="21.28515625" style="28" customWidth="1"/>
    <col min="10" max="10" width="21.28515625" style="5" customWidth="1"/>
    <col min="11" max="11" width="20.7109375" style="5" customWidth="1"/>
    <col min="12" max="12" width="20.42578125" style="5" customWidth="1"/>
    <col min="13" max="13" width="39" style="5" customWidth="1"/>
    <col min="14" max="14" width="13" style="5" bestFit="1" customWidth="1"/>
    <col min="15" max="16384" width="9.140625" style="5"/>
  </cols>
  <sheetData>
    <row r="1" spans="1:13" ht="15.75" x14ac:dyDescent="0.25">
      <c r="A1" s="6"/>
      <c r="B1" s="6"/>
      <c r="C1" s="6"/>
      <c r="D1" s="6"/>
      <c r="E1" s="6"/>
      <c r="F1" s="132"/>
      <c r="G1" s="6"/>
      <c r="H1" s="6"/>
      <c r="I1" s="129"/>
      <c r="J1" s="6"/>
      <c r="K1" s="128"/>
      <c r="L1" s="128"/>
      <c r="M1" s="225" t="s">
        <v>228</v>
      </c>
    </row>
    <row r="2" spans="1:13" ht="15.75" x14ac:dyDescent="0.25">
      <c r="A2" s="6"/>
      <c r="B2" s="6"/>
      <c r="C2" s="6"/>
      <c r="D2" s="6"/>
      <c r="E2" s="6"/>
      <c r="F2" s="132"/>
      <c r="G2" s="6"/>
      <c r="H2" s="6"/>
      <c r="I2" s="129"/>
      <c r="J2" s="6"/>
      <c r="K2" s="128"/>
      <c r="L2" s="128"/>
      <c r="M2" s="225" t="s">
        <v>193</v>
      </c>
    </row>
    <row r="3" spans="1:13" ht="15.75" x14ac:dyDescent="0.25">
      <c r="A3" s="6"/>
      <c r="B3" s="6"/>
      <c r="C3" s="6"/>
      <c r="D3" s="6"/>
      <c r="E3" s="6"/>
      <c r="F3" s="132"/>
      <c r="G3" s="6"/>
      <c r="H3" s="6"/>
      <c r="I3" s="129"/>
      <c r="J3" s="6"/>
      <c r="K3" s="128"/>
      <c r="L3" s="128"/>
      <c r="M3" s="225" t="s">
        <v>194</v>
      </c>
    </row>
    <row r="4" spans="1:13" ht="15.75" x14ac:dyDescent="0.25">
      <c r="A4" s="6"/>
      <c r="B4" s="6"/>
      <c r="C4" s="6"/>
      <c r="D4" s="6"/>
      <c r="E4" s="6"/>
      <c r="F4" s="132"/>
      <c r="G4" s="6"/>
      <c r="H4" s="6"/>
      <c r="I4" s="129"/>
      <c r="J4" s="6"/>
      <c r="K4" s="128"/>
      <c r="L4" s="128"/>
      <c r="M4" s="225" t="s">
        <v>227</v>
      </c>
    </row>
    <row r="5" spans="1:13" ht="15.75" x14ac:dyDescent="0.25">
      <c r="A5" s="6"/>
      <c r="B5" s="6"/>
      <c r="C5" s="6"/>
      <c r="D5" s="6"/>
      <c r="E5" s="6"/>
      <c r="F5" s="132"/>
      <c r="G5" s="6"/>
      <c r="H5" s="6"/>
      <c r="I5" s="129"/>
      <c r="J5" s="6"/>
      <c r="K5" s="128"/>
      <c r="L5" s="128"/>
      <c r="M5" s="128"/>
    </row>
    <row r="6" spans="1:13" ht="18" customHeight="1" x14ac:dyDescent="0.25">
      <c r="A6" s="93"/>
      <c r="B6" s="6"/>
      <c r="C6" s="7"/>
      <c r="D6" s="8"/>
      <c r="E6" s="304"/>
      <c r="F6" s="304"/>
      <c r="G6" s="304"/>
      <c r="H6" s="304"/>
      <c r="I6" s="10"/>
      <c r="J6" s="9"/>
      <c r="K6" s="305" t="s">
        <v>112</v>
      </c>
      <c r="L6" s="305"/>
      <c r="M6" s="305"/>
    </row>
    <row r="7" spans="1:13" ht="20.25" x14ac:dyDescent="0.25">
      <c r="A7" s="11"/>
      <c r="B7" s="307" t="s">
        <v>54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16.5" thickBot="1" x14ac:dyDescent="0.3">
      <c r="A8" s="11"/>
      <c r="B8" s="8"/>
      <c r="C8" s="7"/>
      <c r="D8" s="8"/>
      <c r="E8" s="8"/>
      <c r="F8" s="30"/>
      <c r="G8" s="313"/>
      <c r="H8" s="313"/>
      <c r="I8" s="313"/>
      <c r="J8" s="313"/>
      <c r="K8" s="313"/>
      <c r="L8" s="313"/>
      <c r="M8" s="313"/>
    </row>
    <row r="9" spans="1:13" ht="15" customHeight="1" x14ac:dyDescent="0.25">
      <c r="A9" s="289" t="s">
        <v>0</v>
      </c>
      <c r="B9" s="292" t="s">
        <v>3</v>
      </c>
      <c r="C9" s="292" t="s">
        <v>79</v>
      </c>
      <c r="D9" s="292" t="s">
        <v>1</v>
      </c>
      <c r="E9" s="292" t="s">
        <v>74</v>
      </c>
      <c r="F9" s="301" t="s">
        <v>80</v>
      </c>
      <c r="G9" s="292" t="s">
        <v>23</v>
      </c>
      <c r="H9" s="292"/>
      <c r="I9" s="292"/>
      <c r="J9" s="292"/>
      <c r="K9" s="292"/>
      <c r="L9" s="292" t="s">
        <v>11</v>
      </c>
      <c r="M9" s="306" t="s">
        <v>4</v>
      </c>
    </row>
    <row r="10" spans="1:13" x14ac:dyDescent="0.25">
      <c r="A10" s="290"/>
      <c r="B10" s="293"/>
      <c r="C10" s="293"/>
      <c r="D10" s="293"/>
      <c r="E10" s="293"/>
      <c r="F10" s="302"/>
      <c r="G10" s="293"/>
      <c r="H10" s="293"/>
      <c r="I10" s="293"/>
      <c r="J10" s="293"/>
      <c r="K10" s="293"/>
      <c r="L10" s="293"/>
      <c r="M10" s="295"/>
    </row>
    <row r="11" spans="1:13" ht="27.75" customHeight="1" x14ac:dyDescent="0.25">
      <c r="A11" s="291"/>
      <c r="B11" s="294"/>
      <c r="C11" s="294"/>
      <c r="D11" s="294"/>
      <c r="E11" s="293"/>
      <c r="F11" s="303"/>
      <c r="G11" s="293"/>
      <c r="H11" s="293"/>
      <c r="I11" s="293"/>
      <c r="J11" s="293"/>
      <c r="K11" s="293"/>
      <c r="L11" s="293"/>
      <c r="M11" s="295"/>
    </row>
    <row r="12" spans="1:13" ht="73.5" customHeight="1" x14ac:dyDescent="0.25">
      <c r="A12" s="291"/>
      <c r="B12" s="294"/>
      <c r="C12" s="294"/>
      <c r="D12" s="294"/>
      <c r="E12" s="293"/>
      <c r="F12" s="303"/>
      <c r="G12" s="236" t="s">
        <v>59</v>
      </c>
      <c r="H12" s="236" t="s">
        <v>60</v>
      </c>
      <c r="I12" s="236" t="s">
        <v>75</v>
      </c>
      <c r="J12" s="236" t="s">
        <v>76</v>
      </c>
      <c r="K12" s="236" t="s">
        <v>77</v>
      </c>
      <c r="L12" s="293"/>
      <c r="M12" s="295"/>
    </row>
    <row r="13" spans="1:13" ht="18" customHeight="1" x14ac:dyDescent="0.25">
      <c r="A13" s="247">
        <v>1</v>
      </c>
      <c r="B13" s="96">
        <v>2</v>
      </c>
      <c r="C13" s="96" t="s">
        <v>12</v>
      </c>
      <c r="D13" s="96">
        <v>4</v>
      </c>
      <c r="E13" s="96" t="s">
        <v>13</v>
      </c>
      <c r="F13" s="14" t="s">
        <v>55</v>
      </c>
      <c r="G13" s="96" t="s">
        <v>14</v>
      </c>
      <c r="H13" s="96" t="s">
        <v>56</v>
      </c>
      <c r="I13" s="96" t="s">
        <v>15</v>
      </c>
      <c r="J13" s="96" t="s">
        <v>16</v>
      </c>
      <c r="K13" s="96" t="s">
        <v>19</v>
      </c>
      <c r="L13" s="96" t="s">
        <v>20</v>
      </c>
      <c r="M13" s="155" t="s">
        <v>25</v>
      </c>
    </row>
    <row r="14" spans="1:13" ht="30.75" customHeight="1" x14ac:dyDescent="0.25">
      <c r="A14" s="290" t="s">
        <v>185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5"/>
    </row>
    <row r="15" spans="1:13" s="99" customFormat="1" ht="18.75" x14ac:dyDescent="0.25">
      <c r="A15" s="276" t="s">
        <v>18</v>
      </c>
      <c r="B15" s="281" t="s">
        <v>122</v>
      </c>
      <c r="C15" s="309" t="s">
        <v>78</v>
      </c>
      <c r="D15" s="162" t="s">
        <v>5</v>
      </c>
      <c r="E15" s="163">
        <f>E16+E17</f>
        <v>0</v>
      </c>
      <c r="F15" s="139">
        <f t="shared" ref="F15:F63" si="0">SUM(G15:K15)</f>
        <v>184379</v>
      </c>
      <c r="G15" s="163">
        <f>G16+G17</f>
        <v>184379</v>
      </c>
      <c r="H15" s="163">
        <f t="shared" ref="H15:K15" si="1">H16+H17</f>
        <v>0</v>
      </c>
      <c r="I15" s="163">
        <f t="shared" si="1"/>
        <v>0</v>
      </c>
      <c r="J15" s="163">
        <f t="shared" si="1"/>
        <v>0</v>
      </c>
      <c r="K15" s="163">
        <f t="shared" si="1"/>
        <v>0</v>
      </c>
      <c r="L15" s="314"/>
      <c r="M15" s="315"/>
    </row>
    <row r="16" spans="1:13" s="99" customFormat="1" ht="36.75" customHeight="1" x14ac:dyDescent="0.25">
      <c r="A16" s="276"/>
      <c r="B16" s="281"/>
      <c r="C16" s="309"/>
      <c r="D16" s="239" t="s">
        <v>2</v>
      </c>
      <c r="E16" s="165">
        <f>E22</f>
        <v>0</v>
      </c>
      <c r="F16" s="139">
        <f t="shared" si="0"/>
        <v>115611</v>
      </c>
      <c r="G16" s="165">
        <f t="shared" ref="G16:K17" si="2">G18+G20+G22+G24</f>
        <v>115611</v>
      </c>
      <c r="H16" s="165">
        <f t="shared" si="2"/>
        <v>0</v>
      </c>
      <c r="I16" s="165">
        <f t="shared" si="2"/>
        <v>0</v>
      </c>
      <c r="J16" s="165">
        <f t="shared" si="2"/>
        <v>0</v>
      </c>
      <c r="K16" s="165">
        <f t="shared" si="2"/>
        <v>0</v>
      </c>
      <c r="L16" s="314"/>
      <c r="M16" s="315"/>
    </row>
    <row r="17" spans="1:13" s="99" customFormat="1" ht="57" customHeight="1" x14ac:dyDescent="0.25">
      <c r="A17" s="276"/>
      <c r="B17" s="281"/>
      <c r="C17" s="309"/>
      <c r="D17" s="239" t="s">
        <v>81</v>
      </c>
      <c r="E17" s="166">
        <f>E19+E21+E23+E25</f>
        <v>0</v>
      </c>
      <c r="F17" s="139">
        <f t="shared" si="0"/>
        <v>68768</v>
      </c>
      <c r="G17" s="166">
        <f t="shared" si="2"/>
        <v>68768</v>
      </c>
      <c r="H17" s="166">
        <f t="shared" si="2"/>
        <v>0</v>
      </c>
      <c r="I17" s="166">
        <f t="shared" si="2"/>
        <v>0</v>
      </c>
      <c r="J17" s="166">
        <f t="shared" si="2"/>
        <v>0</v>
      </c>
      <c r="K17" s="166">
        <f t="shared" si="2"/>
        <v>0</v>
      </c>
      <c r="L17" s="314"/>
      <c r="M17" s="315"/>
    </row>
    <row r="18" spans="1:13" s="99" customFormat="1" ht="73.5" customHeight="1" x14ac:dyDescent="0.25">
      <c r="A18" s="296" t="s">
        <v>44</v>
      </c>
      <c r="B18" s="279" t="s">
        <v>257</v>
      </c>
      <c r="C18" s="280" t="s">
        <v>78</v>
      </c>
      <c r="D18" s="233" t="s">
        <v>2</v>
      </c>
      <c r="E18" s="156">
        <v>0</v>
      </c>
      <c r="F18" s="139">
        <f t="shared" ref="F18:F21" si="3">SUM(G18:K18)</f>
        <v>41000</v>
      </c>
      <c r="G18" s="156">
        <v>41000</v>
      </c>
      <c r="H18" s="156">
        <v>0</v>
      </c>
      <c r="I18" s="156">
        <v>0</v>
      </c>
      <c r="J18" s="156">
        <v>0</v>
      </c>
      <c r="K18" s="156">
        <v>0</v>
      </c>
      <c r="L18" s="288" t="s">
        <v>111</v>
      </c>
      <c r="M18" s="300" t="s">
        <v>248</v>
      </c>
    </row>
    <row r="19" spans="1:13" s="99" customFormat="1" ht="77.25" customHeight="1" x14ac:dyDescent="0.25">
      <c r="A19" s="296"/>
      <c r="B19" s="279"/>
      <c r="C19" s="280"/>
      <c r="D19" s="233" t="s">
        <v>81</v>
      </c>
      <c r="E19" s="156">
        <v>0</v>
      </c>
      <c r="F19" s="139">
        <f t="shared" si="3"/>
        <v>24000</v>
      </c>
      <c r="G19" s="156">
        <f>24000</f>
        <v>24000</v>
      </c>
      <c r="H19" s="156">
        <v>0</v>
      </c>
      <c r="I19" s="156">
        <v>0</v>
      </c>
      <c r="J19" s="156">
        <v>0</v>
      </c>
      <c r="K19" s="156">
        <v>0</v>
      </c>
      <c r="L19" s="288"/>
      <c r="M19" s="300"/>
    </row>
    <row r="20" spans="1:13" s="99" customFormat="1" ht="49.5" customHeight="1" x14ac:dyDescent="0.25">
      <c r="A20" s="296" t="s">
        <v>45</v>
      </c>
      <c r="B20" s="279" t="s">
        <v>152</v>
      </c>
      <c r="C20" s="280" t="s">
        <v>78</v>
      </c>
      <c r="D20" s="233" t="s">
        <v>2</v>
      </c>
      <c r="E20" s="156">
        <v>0</v>
      </c>
      <c r="F20" s="139">
        <f t="shared" si="3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288" t="s">
        <v>6</v>
      </c>
      <c r="M20" s="300" t="s">
        <v>92</v>
      </c>
    </row>
    <row r="21" spans="1:13" s="99" customFormat="1" ht="66.75" customHeight="1" x14ac:dyDescent="0.25">
      <c r="A21" s="296"/>
      <c r="B21" s="279"/>
      <c r="C21" s="280"/>
      <c r="D21" s="233" t="s">
        <v>81</v>
      </c>
      <c r="E21" s="156">
        <v>0</v>
      </c>
      <c r="F21" s="139">
        <f t="shared" si="3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288"/>
      <c r="M21" s="300"/>
    </row>
    <row r="22" spans="1:13" s="99" customFormat="1" ht="45.75" customHeight="1" x14ac:dyDescent="0.25">
      <c r="A22" s="296" t="s">
        <v>46</v>
      </c>
      <c r="B22" s="279" t="s">
        <v>153</v>
      </c>
      <c r="C22" s="280" t="s">
        <v>78</v>
      </c>
      <c r="D22" s="233" t="s">
        <v>2</v>
      </c>
      <c r="E22" s="156">
        <v>0</v>
      </c>
      <c r="F22" s="139">
        <f t="shared" si="0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288" t="s">
        <v>6</v>
      </c>
      <c r="M22" s="297" t="s">
        <v>87</v>
      </c>
    </row>
    <row r="23" spans="1:13" s="99" customFormat="1" ht="56.25" x14ac:dyDescent="0.25">
      <c r="A23" s="296"/>
      <c r="B23" s="279"/>
      <c r="C23" s="280"/>
      <c r="D23" s="233" t="s">
        <v>81</v>
      </c>
      <c r="E23" s="156">
        <v>0</v>
      </c>
      <c r="F23" s="139">
        <f t="shared" ref="F23" si="4">SUM(G23:K23)</f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288"/>
      <c r="M23" s="299"/>
    </row>
    <row r="24" spans="1:13" s="99" customFormat="1" ht="37.5" x14ac:dyDescent="0.25">
      <c r="A24" s="296" t="s">
        <v>47</v>
      </c>
      <c r="B24" s="279" t="s">
        <v>222</v>
      </c>
      <c r="C24" s="280" t="s">
        <v>78</v>
      </c>
      <c r="D24" s="233" t="s">
        <v>2</v>
      </c>
      <c r="E24" s="156">
        <v>0</v>
      </c>
      <c r="F24" s="139">
        <f t="shared" si="0"/>
        <v>74611</v>
      </c>
      <c r="G24" s="156">
        <v>74611</v>
      </c>
      <c r="H24" s="156">
        <v>0</v>
      </c>
      <c r="I24" s="156">
        <v>0</v>
      </c>
      <c r="J24" s="156">
        <v>0</v>
      </c>
      <c r="K24" s="156">
        <v>0</v>
      </c>
      <c r="L24" s="288" t="s">
        <v>6</v>
      </c>
      <c r="M24" s="297" t="s">
        <v>244</v>
      </c>
    </row>
    <row r="25" spans="1:13" s="99" customFormat="1" ht="56.25" x14ac:dyDescent="0.25">
      <c r="A25" s="296"/>
      <c r="B25" s="279"/>
      <c r="C25" s="280"/>
      <c r="D25" s="233" t="s">
        <v>81</v>
      </c>
      <c r="E25" s="156">
        <v>0</v>
      </c>
      <c r="F25" s="139">
        <f t="shared" si="0"/>
        <v>44768</v>
      </c>
      <c r="G25" s="156">
        <v>44768</v>
      </c>
      <c r="H25" s="156">
        <v>0</v>
      </c>
      <c r="I25" s="156">
        <v>0</v>
      </c>
      <c r="J25" s="156">
        <v>0</v>
      </c>
      <c r="K25" s="156">
        <v>0</v>
      </c>
      <c r="L25" s="288"/>
      <c r="M25" s="298"/>
    </row>
    <row r="26" spans="1:13" s="99" customFormat="1" ht="37.5" x14ac:dyDescent="0.25">
      <c r="A26" s="296" t="s">
        <v>242</v>
      </c>
      <c r="B26" s="279" t="s">
        <v>243</v>
      </c>
      <c r="C26" s="280" t="s">
        <v>78</v>
      </c>
      <c r="D26" s="233" t="s">
        <v>2</v>
      </c>
      <c r="E26" s="156">
        <v>0</v>
      </c>
      <c r="F26" s="139">
        <f t="shared" ref="F26:F27" si="5">SUM(G26:K26)</f>
        <v>74611</v>
      </c>
      <c r="G26" s="156">
        <v>74611</v>
      </c>
      <c r="H26" s="156">
        <v>0</v>
      </c>
      <c r="I26" s="156">
        <v>0</v>
      </c>
      <c r="J26" s="156">
        <v>0</v>
      </c>
      <c r="K26" s="156">
        <v>0</v>
      </c>
      <c r="L26" s="288" t="s">
        <v>6</v>
      </c>
      <c r="M26" s="298"/>
    </row>
    <row r="27" spans="1:13" s="99" customFormat="1" ht="56.25" x14ac:dyDescent="0.25">
      <c r="A27" s="296"/>
      <c r="B27" s="279"/>
      <c r="C27" s="280"/>
      <c r="D27" s="233" t="s">
        <v>81</v>
      </c>
      <c r="E27" s="156">
        <v>0</v>
      </c>
      <c r="F27" s="139">
        <f t="shared" si="5"/>
        <v>44768</v>
      </c>
      <c r="G27" s="156">
        <v>44768</v>
      </c>
      <c r="H27" s="156">
        <v>0</v>
      </c>
      <c r="I27" s="156">
        <v>0</v>
      </c>
      <c r="J27" s="156">
        <v>0</v>
      </c>
      <c r="K27" s="156">
        <v>0</v>
      </c>
      <c r="L27" s="288"/>
      <c r="M27" s="299"/>
    </row>
    <row r="28" spans="1:13" s="99" customFormat="1" ht="18.75" x14ac:dyDescent="0.25">
      <c r="A28" s="276" t="s">
        <v>254</v>
      </c>
      <c r="B28" s="281" t="s">
        <v>195</v>
      </c>
      <c r="C28" s="309" t="s">
        <v>78</v>
      </c>
      <c r="D28" s="162" t="s">
        <v>5</v>
      </c>
      <c r="E28" s="163">
        <f t="shared" ref="E28" si="6">SUM(E29:E33)-E31</f>
        <v>3173252.1787399994</v>
      </c>
      <c r="F28" s="139">
        <f t="shared" si="0"/>
        <v>17768308.384460002</v>
      </c>
      <c r="G28" s="163">
        <f>SUM(G29:G33)-G31</f>
        <v>3563171.1713400004</v>
      </c>
      <c r="H28" s="163">
        <f t="shared" ref="H28:K28" si="7">SUM(H29:H33)-H31</f>
        <v>3608863.3602800006</v>
      </c>
      <c r="I28" s="163">
        <f t="shared" si="7"/>
        <v>3530339.47028</v>
      </c>
      <c r="J28" s="163">
        <f t="shared" si="7"/>
        <v>3560899.1912799999</v>
      </c>
      <c r="K28" s="163">
        <f t="shared" si="7"/>
        <v>3505035.1912799999</v>
      </c>
      <c r="L28" s="312"/>
      <c r="M28" s="308"/>
    </row>
    <row r="29" spans="1:13" s="99" customFormat="1" ht="37.5" x14ac:dyDescent="0.25">
      <c r="A29" s="276"/>
      <c r="B29" s="281"/>
      <c r="C29" s="309"/>
      <c r="D29" s="239" t="s">
        <v>2</v>
      </c>
      <c r="E29" s="166">
        <f>E36+E37+E38+E34</f>
        <v>1768502</v>
      </c>
      <c r="F29" s="139">
        <f t="shared" si="0"/>
        <v>10348553</v>
      </c>
      <c r="G29" s="166">
        <f>G36+G37+G38+G34+G46</f>
        <v>2127993</v>
      </c>
      <c r="H29" s="166">
        <f t="shared" ref="H29:K29" si="8">H36+H37+H38+H34+H46</f>
        <v>2102860</v>
      </c>
      <c r="I29" s="166">
        <f t="shared" si="8"/>
        <v>2059424</v>
      </c>
      <c r="J29" s="166">
        <f t="shared" si="8"/>
        <v>2046065</v>
      </c>
      <c r="K29" s="166">
        <f t="shared" si="8"/>
        <v>2012211</v>
      </c>
      <c r="L29" s="312"/>
      <c r="M29" s="308"/>
    </row>
    <row r="30" spans="1:13" s="99" customFormat="1" ht="56.25" x14ac:dyDescent="0.25">
      <c r="A30" s="276"/>
      <c r="B30" s="281"/>
      <c r="C30" s="309"/>
      <c r="D30" s="239" t="s">
        <v>81</v>
      </c>
      <c r="E30" s="165">
        <f t="shared" ref="E30" si="9">E39+E35+E43+E44+E45+E47</f>
        <v>1128859.5313599999</v>
      </c>
      <c r="F30" s="139">
        <f t="shared" si="0"/>
        <v>6904815.41206</v>
      </c>
      <c r="G30" s="165">
        <f>G39+G35+G43+G44+G45+G47</f>
        <v>1335250.9240600001</v>
      </c>
      <c r="H30" s="165">
        <f>H39+H35+H43+H44+H45+H47</f>
        <v>1402250.1790000002</v>
      </c>
      <c r="I30" s="165">
        <f t="shared" ref="I30:K30" si="10">I39+I35+I43+I44+I45+I47</f>
        <v>1367162.2890000001</v>
      </c>
      <c r="J30" s="165">
        <f t="shared" si="10"/>
        <v>1411081.01</v>
      </c>
      <c r="K30" s="165">
        <f t="shared" si="10"/>
        <v>1389071.01</v>
      </c>
      <c r="L30" s="312"/>
      <c r="M30" s="308"/>
    </row>
    <row r="31" spans="1:13" s="99" customFormat="1" ht="57.75" customHeight="1" x14ac:dyDescent="0.25">
      <c r="A31" s="276"/>
      <c r="B31" s="281"/>
      <c r="C31" s="309"/>
      <c r="D31" s="234" t="s">
        <v>140</v>
      </c>
      <c r="E31" s="165">
        <f>E40</f>
        <v>184994.723</v>
      </c>
      <c r="F31" s="139">
        <f t="shared" si="0"/>
        <v>2010898.835</v>
      </c>
      <c r="G31" s="165">
        <f t="shared" ref="G31:K31" si="11">G40</f>
        <v>402179.76699999999</v>
      </c>
      <c r="H31" s="165">
        <f>H40</f>
        <v>402179.76699999999</v>
      </c>
      <c r="I31" s="165">
        <f t="shared" si="11"/>
        <v>402179.76699999999</v>
      </c>
      <c r="J31" s="165">
        <f t="shared" si="11"/>
        <v>402179.76699999999</v>
      </c>
      <c r="K31" s="165">
        <f t="shared" si="11"/>
        <v>402179.76699999999</v>
      </c>
      <c r="L31" s="312"/>
      <c r="M31" s="308"/>
    </row>
    <row r="32" spans="1:13" s="99" customFormat="1" ht="75" x14ac:dyDescent="0.25">
      <c r="A32" s="276"/>
      <c r="B32" s="281"/>
      <c r="C32" s="309"/>
      <c r="D32" s="234" t="s">
        <v>26</v>
      </c>
      <c r="E32" s="166">
        <f t="shared" ref="E32" si="12">E41</f>
        <v>56075.205379999999</v>
      </c>
      <c r="F32" s="139">
        <f t="shared" si="0"/>
        <v>407555.0894</v>
      </c>
      <c r="G32" s="166">
        <f t="shared" ref="G32:K32" si="13">G41</f>
        <v>78534.616280000002</v>
      </c>
      <c r="H32" s="166">
        <f t="shared" si="13"/>
        <v>82255.118279999995</v>
      </c>
      <c r="I32" s="166">
        <f t="shared" si="13"/>
        <v>82255.118279999995</v>
      </c>
      <c r="J32" s="166">
        <f t="shared" si="13"/>
        <v>82255.118279999995</v>
      </c>
      <c r="K32" s="166">
        <f t="shared" si="13"/>
        <v>82255.118279999995</v>
      </c>
      <c r="L32" s="312"/>
      <c r="M32" s="308"/>
    </row>
    <row r="33" spans="1:14" s="99" customFormat="1" ht="56.25" x14ac:dyDescent="0.25">
      <c r="A33" s="276"/>
      <c r="B33" s="281"/>
      <c r="C33" s="309"/>
      <c r="D33" s="234" t="s">
        <v>33</v>
      </c>
      <c r="E33" s="166">
        <f t="shared" ref="E33" si="14">E42</f>
        <v>219815.44200000001</v>
      </c>
      <c r="F33" s="139">
        <f t="shared" si="0"/>
        <v>107384.88299999999</v>
      </c>
      <c r="G33" s="166">
        <f t="shared" ref="G33:K33" si="15">G42</f>
        <v>21392.631000000001</v>
      </c>
      <c r="H33" s="166">
        <f t="shared" si="15"/>
        <v>21498.062999999998</v>
      </c>
      <c r="I33" s="166">
        <f t="shared" si="15"/>
        <v>21498.062999999998</v>
      </c>
      <c r="J33" s="166">
        <f t="shared" si="15"/>
        <v>21498.062999999998</v>
      </c>
      <c r="K33" s="166">
        <f t="shared" si="15"/>
        <v>21498.062999999998</v>
      </c>
      <c r="L33" s="312"/>
      <c r="M33" s="308"/>
    </row>
    <row r="34" spans="1:14" s="99" customFormat="1" ht="132" customHeight="1" x14ac:dyDescent="0.25">
      <c r="A34" s="296" t="s">
        <v>48</v>
      </c>
      <c r="B34" s="279" t="s">
        <v>154</v>
      </c>
      <c r="C34" s="280" t="s">
        <v>78</v>
      </c>
      <c r="D34" s="233" t="s">
        <v>2</v>
      </c>
      <c r="E34" s="156">
        <v>0</v>
      </c>
      <c r="F34" s="139">
        <f t="shared" ref="F34" si="16">SUM(G34:K34)</f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288" t="s">
        <v>6</v>
      </c>
      <c r="M34" s="310" t="s">
        <v>256</v>
      </c>
    </row>
    <row r="35" spans="1:14" s="99" customFormat="1" ht="132" customHeight="1" x14ac:dyDescent="0.25">
      <c r="A35" s="296"/>
      <c r="B35" s="279"/>
      <c r="C35" s="280"/>
      <c r="D35" s="233" t="s">
        <v>81</v>
      </c>
      <c r="E35" s="156">
        <v>0</v>
      </c>
      <c r="F35" s="139">
        <f t="shared" ref="F35" si="17">SUM(G35:K35)</f>
        <v>44781</v>
      </c>
      <c r="G35" s="259">
        <f>119416+14000-35243.4829-14000-84172.5171</f>
        <v>0</v>
      </c>
      <c r="H35" s="156">
        <v>44781</v>
      </c>
      <c r="I35" s="156">
        <v>0</v>
      </c>
      <c r="J35" s="156">
        <v>0</v>
      </c>
      <c r="K35" s="156">
        <v>0</v>
      </c>
      <c r="L35" s="288"/>
      <c r="M35" s="311"/>
      <c r="N35" s="102" t="s">
        <v>264</v>
      </c>
    </row>
    <row r="36" spans="1:14" s="99" customFormat="1" ht="200.25" customHeight="1" x14ac:dyDescent="0.25">
      <c r="A36" s="240" t="s">
        <v>49</v>
      </c>
      <c r="B36" s="242" t="s">
        <v>155</v>
      </c>
      <c r="C36" s="232" t="s">
        <v>78</v>
      </c>
      <c r="D36" s="236" t="s">
        <v>2</v>
      </c>
      <c r="E36" s="157">
        <v>1540593</v>
      </c>
      <c r="F36" s="139">
        <f t="shared" si="0"/>
        <v>9033418</v>
      </c>
      <c r="G36" s="158">
        <v>1883026</v>
      </c>
      <c r="H36" s="157">
        <v>1787598</v>
      </c>
      <c r="I36" s="157">
        <v>1787598</v>
      </c>
      <c r="J36" s="157">
        <v>1787598</v>
      </c>
      <c r="K36" s="157">
        <v>1787598</v>
      </c>
      <c r="L36" s="237" t="s">
        <v>6</v>
      </c>
      <c r="M36" s="238" t="s">
        <v>65</v>
      </c>
    </row>
    <row r="37" spans="1:14" s="99" customFormat="1" ht="173.25" customHeight="1" x14ac:dyDescent="0.25">
      <c r="A37" s="240" t="s">
        <v>50</v>
      </c>
      <c r="B37" s="242" t="s">
        <v>156</v>
      </c>
      <c r="C37" s="232" t="s">
        <v>78</v>
      </c>
      <c r="D37" s="232" t="s">
        <v>2</v>
      </c>
      <c r="E37" s="157">
        <v>102862</v>
      </c>
      <c r="F37" s="139">
        <f t="shared" si="0"/>
        <v>502638</v>
      </c>
      <c r="G37" s="157">
        <v>105426</v>
      </c>
      <c r="H37" s="157">
        <v>99303</v>
      </c>
      <c r="I37" s="157">
        <v>99303</v>
      </c>
      <c r="J37" s="157">
        <v>99303</v>
      </c>
      <c r="K37" s="157">
        <v>99303</v>
      </c>
      <c r="L37" s="235" t="s">
        <v>6</v>
      </c>
      <c r="M37" s="238" t="s">
        <v>63</v>
      </c>
    </row>
    <row r="38" spans="1:14" s="99" customFormat="1" ht="138" customHeight="1" x14ac:dyDescent="0.25">
      <c r="A38" s="226" t="s">
        <v>51</v>
      </c>
      <c r="B38" s="159" t="s">
        <v>157</v>
      </c>
      <c r="C38" s="160" t="s">
        <v>78</v>
      </c>
      <c r="D38" s="232" t="s">
        <v>2</v>
      </c>
      <c r="E38" s="158">
        <v>125047</v>
      </c>
      <c r="F38" s="139">
        <f t="shared" si="0"/>
        <v>640781</v>
      </c>
      <c r="G38" s="158">
        <f>159998+6210-26667</f>
        <v>139541</v>
      </c>
      <c r="H38" s="158">
        <v>125310</v>
      </c>
      <c r="I38" s="158">
        <v>125310</v>
      </c>
      <c r="J38" s="158">
        <v>125310</v>
      </c>
      <c r="K38" s="158">
        <v>125310</v>
      </c>
      <c r="L38" s="161" t="s">
        <v>22</v>
      </c>
      <c r="M38" s="238" t="s">
        <v>35</v>
      </c>
    </row>
    <row r="39" spans="1:14" s="99" customFormat="1" ht="56.25" x14ac:dyDescent="0.25">
      <c r="A39" s="321" t="s">
        <v>196</v>
      </c>
      <c r="B39" s="323" t="s">
        <v>158</v>
      </c>
      <c r="C39" s="275" t="s">
        <v>78</v>
      </c>
      <c r="D39" s="236" t="s">
        <v>81</v>
      </c>
      <c r="E39" s="158">
        <f>943864.80836+E40</f>
        <v>1128859.5313599999</v>
      </c>
      <c r="F39" s="139">
        <f>SUM(G39:K39)</f>
        <v>6024593.2533299997</v>
      </c>
      <c r="G39" s="230">
        <f>947401.169+G40+5699+50000+17209-116388-23200-36148.9-13851.1-6529.767-71283.907+30500-1054.33328-1404.37335-30.175-169.01504-1000</f>
        <v>1181929.3653300002</v>
      </c>
      <c r="H39" s="230">
        <f>1216028.144+13338-11044.922-1646.643</f>
        <v>1216674.5790000001</v>
      </c>
      <c r="I39" s="158">
        <f>1166649.289+13338</f>
        <v>1179987.2890000001</v>
      </c>
      <c r="J39" s="158">
        <f>1209663.01+13338</f>
        <v>1223001.01</v>
      </c>
      <c r="K39" s="158">
        <f>1209663.01+13338</f>
        <v>1223001.01</v>
      </c>
      <c r="L39" s="294" t="s">
        <v>141</v>
      </c>
      <c r="M39" s="300" t="s">
        <v>183</v>
      </c>
      <c r="N39" s="99" t="s">
        <v>269</v>
      </c>
    </row>
    <row r="40" spans="1:14" s="99" customFormat="1" ht="58.5" customHeight="1" x14ac:dyDescent="0.25">
      <c r="A40" s="321"/>
      <c r="B40" s="323"/>
      <c r="C40" s="275"/>
      <c r="D40" s="236" t="s">
        <v>140</v>
      </c>
      <c r="E40" s="158">
        <v>184994.723</v>
      </c>
      <c r="F40" s="139">
        <f t="shared" si="0"/>
        <v>2010898.835</v>
      </c>
      <c r="G40" s="158">
        <f>436128+6788-10236.233-30500</f>
        <v>402179.76699999999</v>
      </c>
      <c r="H40" s="158">
        <v>402179.76699999999</v>
      </c>
      <c r="I40" s="158">
        <v>402179.76699999999</v>
      </c>
      <c r="J40" s="158">
        <v>402179.76699999999</v>
      </c>
      <c r="K40" s="158">
        <v>402179.76699999999</v>
      </c>
      <c r="L40" s="294"/>
      <c r="M40" s="300"/>
    </row>
    <row r="41" spans="1:14" s="99" customFormat="1" ht="75" x14ac:dyDescent="0.25">
      <c r="A41" s="321"/>
      <c r="B41" s="323"/>
      <c r="C41" s="275"/>
      <c r="D41" s="236" t="s">
        <v>26</v>
      </c>
      <c r="E41" s="158">
        <v>56075.205379999999</v>
      </c>
      <c r="F41" s="139">
        <f t="shared" si="0"/>
        <v>407555.0894</v>
      </c>
      <c r="G41" s="158">
        <f>74036.82228+8218.296-7665.594+3945.092</f>
        <v>78534.616280000002</v>
      </c>
      <c r="H41" s="158">
        <f>74036.82228+8218.296</f>
        <v>82255.118279999995</v>
      </c>
      <c r="I41" s="158">
        <f>74036.82228+8218.296</f>
        <v>82255.118279999995</v>
      </c>
      <c r="J41" s="158">
        <f>74036.82228+8218.296</f>
        <v>82255.118279999995</v>
      </c>
      <c r="K41" s="158">
        <f>74036.82228+8218.296</f>
        <v>82255.118279999995</v>
      </c>
      <c r="L41" s="294"/>
      <c r="M41" s="300"/>
    </row>
    <row r="42" spans="1:14" s="99" customFormat="1" ht="56.25" x14ac:dyDescent="0.25">
      <c r="A42" s="321"/>
      <c r="B42" s="323"/>
      <c r="C42" s="275"/>
      <c r="D42" s="236" t="s">
        <v>33</v>
      </c>
      <c r="E42" s="158">
        <v>219815.44200000001</v>
      </c>
      <c r="F42" s="139">
        <f>SUM(G42:K42)</f>
        <v>107384.88299999999</v>
      </c>
      <c r="G42" s="158">
        <v>21392.631000000001</v>
      </c>
      <c r="H42" s="158">
        <v>21498.062999999998</v>
      </c>
      <c r="I42" s="158">
        <v>21498.062999999998</v>
      </c>
      <c r="J42" s="158">
        <v>21498.062999999998</v>
      </c>
      <c r="K42" s="158">
        <v>21498.062999999998</v>
      </c>
      <c r="L42" s="294"/>
      <c r="M42" s="300"/>
    </row>
    <row r="43" spans="1:14" s="99" customFormat="1" ht="393.75" customHeight="1" x14ac:dyDescent="0.25">
      <c r="A43" s="226" t="s">
        <v>197</v>
      </c>
      <c r="B43" s="159" t="s">
        <v>198</v>
      </c>
      <c r="C43" s="160" t="s">
        <v>78</v>
      </c>
      <c r="D43" s="232" t="s">
        <v>81</v>
      </c>
      <c r="E43" s="158">
        <v>0</v>
      </c>
      <c r="F43" s="139">
        <f t="shared" ref="F43" si="18">SUM(G43:K43)</f>
        <v>201780.21710000001</v>
      </c>
      <c r="G43" s="230">
        <f>13851.1+16000-16000+17000+6500+6172.5171-6500</f>
        <v>37023.617099999996</v>
      </c>
      <c r="H43" s="158">
        <v>14756.599999999999</v>
      </c>
      <c r="I43" s="158">
        <v>50000</v>
      </c>
      <c r="J43" s="158">
        <v>50000</v>
      </c>
      <c r="K43" s="158">
        <v>50000</v>
      </c>
      <c r="L43" s="161" t="s">
        <v>6</v>
      </c>
      <c r="M43" s="238" t="s">
        <v>267</v>
      </c>
      <c r="N43" s="99" t="s">
        <v>265</v>
      </c>
    </row>
    <row r="44" spans="1:14" s="99" customFormat="1" ht="106.5" customHeight="1" x14ac:dyDescent="0.25">
      <c r="A44" s="226" t="s">
        <v>199</v>
      </c>
      <c r="B44" s="159" t="s">
        <v>200</v>
      </c>
      <c r="C44" s="160" t="s">
        <v>78</v>
      </c>
      <c r="D44" s="232" t="s">
        <v>81</v>
      </c>
      <c r="E44" s="158">
        <v>0</v>
      </c>
      <c r="F44" s="139">
        <f t="shared" ref="F44" si="19">SUM(G44:K44)</f>
        <v>580577.94163000002</v>
      </c>
      <c r="G44" s="158">
        <f>116388-90.05837</f>
        <v>116297.94163</v>
      </c>
      <c r="H44" s="158">
        <v>116070</v>
      </c>
      <c r="I44" s="158">
        <v>116070</v>
      </c>
      <c r="J44" s="158">
        <v>116070</v>
      </c>
      <c r="K44" s="158">
        <v>116070</v>
      </c>
      <c r="L44" s="161" t="s">
        <v>6</v>
      </c>
      <c r="M44" s="238" t="s">
        <v>201</v>
      </c>
    </row>
    <row r="45" spans="1:14" s="99" customFormat="1" ht="56.25" x14ac:dyDescent="0.25">
      <c r="A45" s="226" t="s">
        <v>245</v>
      </c>
      <c r="B45" s="159" t="s">
        <v>108</v>
      </c>
      <c r="C45" s="160" t="s">
        <v>78</v>
      </c>
      <c r="D45" s="232" t="s">
        <v>81</v>
      </c>
      <c r="E45" s="158">
        <v>0</v>
      </c>
      <c r="F45" s="139">
        <f t="shared" ref="F45" si="20">SUM(G45:K45)</f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61" t="s">
        <v>6</v>
      </c>
      <c r="M45" s="238" t="s">
        <v>108</v>
      </c>
    </row>
    <row r="46" spans="1:14" s="99" customFormat="1" ht="62.25" customHeight="1" x14ac:dyDescent="0.25">
      <c r="A46" s="267" t="s">
        <v>274</v>
      </c>
      <c r="B46" s="265" t="s">
        <v>273</v>
      </c>
      <c r="C46" s="269" t="s">
        <v>277</v>
      </c>
      <c r="D46" s="263" t="s">
        <v>2</v>
      </c>
      <c r="E46" s="230">
        <v>0</v>
      </c>
      <c r="F46" s="264">
        <f t="shared" ref="F46" si="21">SUM(G46:K46)</f>
        <v>171716</v>
      </c>
      <c r="G46" s="230">
        <v>0</v>
      </c>
      <c r="H46" s="230">
        <v>90649</v>
      </c>
      <c r="I46" s="230">
        <v>47213</v>
      </c>
      <c r="J46" s="230">
        <v>33854</v>
      </c>
      <c r="K46" s="230">
        <v>0</v>
      </c>
      <c r="L46" s="271" t="s">
        <v>6</v>
      </c>
      <c r="M46" s="273" t="s">
        <v>273</v>
      </c>
    </row>
    <row r="47" spans="1:14" s="99" customFormat="1" ht="62.25" customHeight="1" x14ac:dyDescent="0.25">
      <c r="A47" s="268"/>
      <c r="B47" s="266"/>
      <c r="C47" s="270"/>
      <c r="D47" s="263" t="s">
        <v>81</v>
      </c>
      <c r="E47" s="230">
        <v>0</v>
      </c>
      <c r="F47" s="264">
        <f t="shared" ref="F47" si="22">SUM(G47:K47)</f>
        <v>53083</v>
      </c>
      <c r="G47" s="230">
        <v>0</v>
      </c>
      <c r="H47" s="230">
        <v>9968</v>
      </c>
      <c r="I47" s="230">
        <v>21105</v>
      </c>
      <c r="J47" s="230">
        <v>22010</v>
      </c>
      <c r="K47" s="230">
        <v>0</v>
      </c>
      <c r="L47" s="272"/>
      <c r="M47" s="274"/>
    </row>
    <row r="48" spans="1:14" s="99" customFormat="1" ht="18.75" x14ac:dyDescent="0.25">
      <c r="A48" s="276" t="s">
        <v>12</v>
      </c>
      <c r="B48" s="281" t="s">
        <v>123</v>
      </c>
      <c r="C48" s="309" t="s">
        <v>78</v>
      </c>
      <c r="D48" s="162" t="s">
        <v>5</v>
      </c>
      <c r="E48" s="163">
        <f>E50+E51+E49</f>
        <v>54595</v>
      </c>
      <c r="F48" s="139">
        <f>SUM(G48:K48)</f>
        <v>310431.223</v>
      </c>
      <c r="G48" s="163">
        <f>G50+G51+G49</f>
        <v>63991.223000000005</v>
      </c>
      <c r="H48" s="163">
        <f>H50+H51+H49</f>
        <v>61610</v>
      </c>
      <c r="I48" s="163">
        <f>I50+I51+I49</f>
        <v>61610</v>
      </c>
      <c r="J48" s="163">
        <f>J50+J51+J49</f>
        <v>61610</v>
      </c>
      <c r="K48" s="163">
        <f>K50+K51+K49</f>
        <v>61610</v>
      </c>
      <c r="L48" s="314"/>
      <c r="M48" s="315"/>
    </row>
    <row r="49" spans="1:13" s="99" customFormat="1" ht="37.5" x14ac:dyDescent="0.25">
      <c r="A49" s="276"/>
      <c r="B49" s="281"/>
      <c r="C49" s="309"/>
      <c r="D49" s="239" t="s">
        <v>68</v>
      </c>
      <c r="E49" s="165">
        <f>E54</f>
        <v>0</v>
      </c>
      <c r="F49" s="139">
        <f t="shared" si="0"/>
        <v>9253.4785700000011</v>
      </c>
      <c r="G49" s="165">
        <f>G54</f>
        <v>9253.4785700000011</v>
      </c>
      <c r="H49" s="165">
        <f t="shared" ref="H49:K49" si="23">H54</f>
        <v>0</v>
      </c>
      <c r="I49" s="165">
        <f t="shared" si="23"/>
        <v>0</v>
      </c>
      <c r="J49" s="165">
        <f t="shared" si="23"/>
        <v>0</v>
      </c>
      <c r="K49" s="165">
        <f t="shared" si="23"/>
        <v>0</v>
      </c>
      <c r="L49" s="314"/>
      <c r="M49" s="315"/>
    </row>
    <row r="50" spans="1:13" s="99" customFormat="1" ht="36.75" customHeight="1" x14ac:dyDescent="0.25">
      <c r="A50" s="276"/>
      <c r="B50" s="281"/>
      <c r="C50" s="309"/>
      <c r="D50" s="239" t="s">
        <v>2</v>
      </c>
      <c r="E50" s="165">
        <f>E52+E55</f>
        <v>34122</v>
      </c>
      <c r="F50" s="139">
        <f t="shared" si="0"/>
        <v>186957.52142999999</v>
      </c>
      <c r="G50" s="165">
        <f>G52+G55</f>
        <v>35271.521430000001</v>
      </c>
      <c r="H50" s="165">
        <f t="shared" ref="H50:K50" si="24">H52+H55</f>
        <v>38507</v>
      </c>
      <c r="I50" s="165">
        <f t="shared" si="24"/>
        <v>38507</v>
      </c>
      <c r="J50" s="165">
        <f t="shared" si="24"/>
        <v>37336</v>
      </c>
      <c r="K50" s="165">
        <f t="shared" si="24"/>
        <v>37336</v>
      </c>
      <c r="L50" s="314"/>
      <c r="M50" s="315"/>
    </row>
    <row r="51" spans="1:13" s="99" customFormat="1" ht="57" customHeight="1" x14ac:dyDescent="0.25">
      <c r="A51" s="276"/>
      <c r="B51" s="281"/>
      <c r="C51" s="309"/>
      <c r="D51" s="239" t="s">
        <v>81</v>
      </c>
      <c r="E51" s="166">
        <f>E53+E56</f>
        <v>20473</v>
      </c>
      <c r="F51" s="139">
        <f t="shared" si="0"/>
        <v>114220.223</v>
      </c>
      <c r="G51" s="166">
        <f>G53+G56</f>
        <v>19466.223000000002</v>
      </c>
      <c r="H51" s="166">
        <f t="shared" ref="H51:K51" si="25">H53+H56</f>
        <v>23103</v>
      </c>
      <c r="I51" s="166">
        <f t="shared" si="25"/>
        <v>23103</v>
      </c>
      <c r="J51" s="166">
        <f t="shared" si="25"/>
        <v>24274</v>
      </c>
      <c r="K51" s="166">
        <f t="shared" si="25"/>
        <v>24274</v>
      </c>
      <c r="L51" s="314"/>
      <c r="M51" s="315"/>
    </row>
    <row r="52" spans="1:13" s="99" customFormat="1" ht="79.5" customHeight="1" x14ac:dyDescent="0.25">
      <c r="A52" s="296" t="s">
        <v>52</v>
      </c>
      <c r="B52" s="279" t="s">
        <v>159</v>
      </c>
      <c r="C52" s="280" t="s">
        <v>78</v>
      </c>
      <c r="D52" s="233" t="s">
        <v>2</v>
      </c>
      <c r="E52" s="156">
        <v>34122</v>
      </c>
      <c r="F52" s="139">
        <f t="shared" si="0"/>
        <v>183873</v>
      </c>
      <c r="G52" s="156">
        <v>32187</v>
      </c>
      <c r="H52" s="156">
        <v>38507</v>
      </c>
      <c r="I52" s="156">
        <v>38507</v>
      </c>
      <c r="J52" s="156">
        <v>37336</v>
      </c>
      <c r="K52" s="156">
        <v>37336</v>
      </c>
      <c r="L52" s="324" t="s">
        <v>6</v>
      </c>
      <c r="M52" s="322" t="s">
        <v>62</v>
      </c>
    </row>
    <row r="53" spans="1:13" s="99" customFormat="1" ht="79.5" customHeight="1" x14ac:dyDescent="0.25">
      <c r="A53" s="296"/>
      <c r="B53" s="279"/>
      <c r="C53" s="280"/>
      <c r="D53" s="233" t="s">
        <v>81</v>
      </c>
      <c r="E53" s="156">
        <v>20473</v>
      </c>
      <c r="F53" s="139">
        <f t="shared" si="0"/>
        <v>114066</v>
      </c>
      <c r="G53" s="156">
        <v>19312</v>
      </c>
      <c r="H53" s="156">
        <v>23103</v>
      </c>
      <c r="I53" s="156">
        <v>23103</v>
      </c>
      <c r="J53" s="156">
        <v>24274</v>
      </c>
      <c r="K53" s="156">
        <v>24274</v>
      </c>
      <c r="L53" s="324"/>
      <c r="M53" s="322"/>
    </row>
    <row r="54" spans="1:13" s="99" customFormat="1" ht="137.25" customHeight="1" x14ac:dyDescent="0.25">
      <c r="A54" s="325" t="s">
        <v>53</v>
      </c>
      <c r="B54" s="328" t="s">
        <v>190</v>
      </c>
      <c r="C54" s="331" t="s">
        <v>78</v>
      </c>
      <c r="D54" s="233" t="s">
        <v>68</v>
      </c>
      <c r="E54" s="156">
        <v>0</v>
      </c>
      <c r="F54" s="139">
        <f t="shared" si="0"/>
        <v>9253.4785700000011</v>
      </c>
      <c r="G54" s="156">
        <f>9253.35+0.12857</f>
        <v>9253.4785700000011</v>
      </c>
      <c r="H54" s="156">
        <v>0</v>
      </c>
      <c r="I54" s="156">
        <v>0</v>
      </c>
      <c r="J54" s="156">
        <v>0</v>
      </c>
      <c r="K54" s="156">
        <v>0</v>
      </c>
      <c r="L54" s="243"/>
      <c r="M54" s="297" t="s">
        <v>190</v>
      </c>
    </row>
    <row r="55" spans="1:13" s="99" customFormat="1" ht="137.25" customHeight="1" x14ac:dyDescent="0.25">
      <c r="A55" s="326"/>
      <c r="B55" s="329"/>
      <c r="C55" s="332"/>
      <c r="D55" s="233" t="s">
        <v>2</v>
      </c>
      <c r="E55" s="156">
        <v>0</v>
      </c>
      <c r="F55" s="139">
        <f t="shared" ref="F55:F56" si="26">SUM(G55:K55)</f>
        <v>3084.5214299999998</v>
      </c>
      <c r="G55" s="156">
        <f>3084.45+0.07143</f>
        <v>3084.5214299999998</v>
      </c>
      <c r="H55" s="156">
        <v>0</v>
      </c>
      <c r="I55" s="156">
        <v>0</v>
      </c>
      <c r="J55" s="156">
        <v>0</v>
      </c>
      <c r="K55" s="156">
        <v>0</v>
      </c>
      <c r="L55" s="324" t="s">
        <v>6</v>
      </c>
      <c r="M55" s="298"/>
    </row>
    <row r="56" spans="1:13" s="99" customFormat="1" ht="137.25" customHeight="1" x14ac:dyDescent="0.25">
      <c r="A56" s="327"/>
      <c r="B56" s="330"/>
      <c r="C56" s="333"/>
      <c r="D56" s="233" t="s">
        <v>81</v>
      </c>
      <c r="E56" s="156">
        <v>0</v>
      </c>
      <c r="F56" s="139">
        <f t="shared" si="26"/>
        <v>154.22300000000001</v>
      </c>
      <c r="G56" s="156">
        <v>154.22300000000001</v>
      </c>
      <c r="H56" s="156">
        <v>0</v>
      </c>
      <c r="I56" s="156">
        <v>0</v>
      </c>
      <c r="J56" s="156">
        <v>0</v>
      </c>
      <c r="K56" s="156">
        <v>0</v>
      </c>
      <c r="L56" s="324"/>
      <c r="M56" s="299"/>
    </row>
    <row r="57" spans="1:13" ht="18.75" x14ac:dyDescent="0.3">
      <c r="A57" s="319" t="s">
        <v>28</v>
      </c>
      <c r="B57" s="320"/>
      <c r="C57" s="320"/>
      <c r="D57" s="320"/>
      <c r="E57" s="114">
        <f>E59+E60+E62+E63+E58</f>
        <v>3227847.1787399999</v>
      </c>
      <c r="F57" s="176">
        <f t="shared" si="0"/>
        <v>18263118.60746</v>
      </c>
      <c r="G57" s="114">
        <f>G59+G60+G62+G63+G58</f>
        <v>3811541.3943400001</v>
      </c>
      <c r="H57" s="114">
        <f t="shared" ref="H57:K57" si="27">H59+H60+H62+H63+H58</f>
        <v>3670473.3602800006</v>
      </c>
      <c r="I57" s="114">
        <f t="shared" si="27"/>
        <v>3591949.47028</v>
      </c>
      <c r="J57" s="114">
        <f t="shared" si="27"/>
        <v>3622509.1912799999</v>
      </c>
      <c r="K57" s="114">
        <f t="shared" si="27"/>
        <v>3566645.1912799999</v>
      </c>
      <c r="L57" s="19"/>
      <c r="M57" s="20"/>
    </row>
    <row r="58" spans="1:13" ht="18.75" x14ac:dyDescent="0.3">
      <c r="A58" s="286" t="s">
        <v>68</v>
      </c>
      <c r="B58" s="287"/>
      <c r="C58" s="287"/>
      <c r="D58" s="287"/>
      <c r="E58" s="115">
        <f>E49</f>
        <v>0</v>
      </c>
      <c r="F58" s="176">
        <f t="shared" si="0"/>
        <v>9253.4785700000011</v>
      </c>
      <c r="G58" s="115">
        <f t="shared" ref="G58:K58" si="28">G49</f>
        <v>9253.4785700000011</v>
      </c>
      <c r="H58" s="115">
        <f t="shared" si="28"/>
        <v>0</v>
      </c>
      <c r="I58" s="115">
        <f t="shared" si="28"/>
        <v>0</v>
      </c>
      <c r="J58" s="115">
        <f t="shared" si="28"/>
        <v>0</v>
      </c>
      <c r="K58" s="115">
        <f t="shared" si="28"/>
        <v>0</v>
      </c>
      <c r="L58" s="21"/>
      <c r="M58" s="64"/>
    </row>
    <row r="59" spans="1:13" ht="18.75" x14ac:dyDescent="0.3">
      <c r="A59" s="286" t="s">
        <v>2</v>
      </c>
      <c r="B59" s="287"/>
      <c r="C59" s="287"/>
      <c r="D59" s="287"/>
      <c r="E59" s="115">
        <f>E16+E29+E50</f>
        <v>1802624</v>
      </c>
      <c r="F59" s="176">
        <f t="shared" si="0"/>
        <v>10651121.521430001</v>
      </c>
      <c r="G59" s="115">
        <f t="shared" ref="G59:K60" si="29">G16+G29+G50</f>
        <v>2278875.5214300002</v>
      </c>
      <c r="H59" s="115">
        <f t="shared" si="29"/>
        <v>2141367</v>
      </c>
      <c r="I59" s="115">
        <f t="shared" si="29"/>
        <v>2097931</v>
      </c>
      <c r="J59" s="115">
        <f t="shared" si="29"/>
        <v>2083401</v>
      </c>
      <c r="K59" s="115">
        <f t="shared" si="29"/>
        <v>2049547</v>
      </c>
      <c r="L59" s="21"/>
      <c r="M59" s="64"/>
    </row>
    <row r="60" spans="1:13" ht="18.75" x14ac:dyDescent="0.3">
      <c r="A60" s="286" t="s">
        <v>82</v>
      </c>
      <c r="B60" s="287"/>
      <c r="C60" s="287"/>
      <c r="D60" s="287"/>
      <c r="E60" s="116">
        <f>E17+E30+E51</f>
        <v>1149332.5313599999</v>
      </c>
      <c r="F60" s="176">
        <f t="shared" si="0"/>
        <v>7087803.6350600002</v>
      </c>
      <c r="G60" s="116">
        <f t="shared" si="29"/>
        <v>1423485.1470600001</v>
      </c>
      <c r="H60" s="116">
        <f t="shared" si="29"/>
        <v>1425353.1790000002</v>
      </c>
      <c r="I60" s="116">
        <f t="shared" si="29"/>
        <v>1390265.2890000001</v>
      </c>
      <c r="J60" s="116">
        <f t="shared" si="29"/>
        <v>1435355.01</v>
      </c>
      <c r="K60" s="116">
        <f t="shared" si="29"/>
        <v>1413345.01</v>
      </c>
      <c r="L60" s="21"/>
      <c r="M60" s="64"/>
    </row>
    <row r="61" spans="1:13" ht="18.75" x14ac:dyDescent="0.3">
      <c r="A61" s="286" t="s">
        <v>140</v>
      </c>
      <c r="B61" s="287"/>
      <c r="C61" s="287"/>
      <c r="D61" s="287"/>
      <c r="E61" s="116">
        <f>E31</f>
        <v>184994.723</v>
      </c>
      <c r="F61" s="176">
        <f t="shared" si="0"/>
        <v>2010898.835</v>
      </c>
      <c r="G61" s="116">
        <f t="shared" ref="G61:K63" si="30">G31</f>
        <v>402179.76699999999</v>
      </c>
      <c r="H61" s="116">
        <f t="shared" si="30"/>
        <v>402179.76699999999</v>
      </c>
      <c r="I61" s="116">
        <f t="shared" si="30"/>
        <v>402179.76699999999</v>
      </c>
      <c r="J61" s="116">
        <f t="shared" si="30"/>
        <v>402179.76699999999</v>
      </c>
      <c r="K61" s="116">
        <f t="shared" si="30"/>
        <v>402179.76699999999</v>
      </c>
      <c r="L61" s="21"/>
      <c r="M61" s="64"/>
    </row>
    <row r="62" spans="1:13" ht="18.75" x14ac:dyDescent="0.3">
      <c r="A62" s="286" t="s">
        <v>26</v>
      </c>
      <c r="B62" s="287"/>
      <c r="C62" s="287"/>
      <c r="D62" s="287"/>
      <c r="E62" s="116">
        <f>E32</f>
        <v>56075.205379999999</v>
      </c>
      <c r="F62" s="176">
        <f t="shared" si="0"/>
        <v>407555.0894</v>
      </c>
      <c r="G62" s="116">
        <f t="shared" si="30"/>
        <v>78534.616280000002</v>
      </c>
      <c r="H62" s="116">
        <f t="shared" si="30"/>
        <v>82255.118279999995</v>
      </c>
      <c r="I62" s="116">
        <f t="shared" si="30"/>
        <v>82255.118279999995</v>
      </c>
      <c r="J62" s="116">
        <f t="shared" si="30"/>
        <v>82255.118279999995</v>
      </c>
      <c r="K62" s="116">
        <f t="shared" si="30"/>
        <v>82255.118279999995</v>
      </c>
      <c r="L62" s="21"/>
      <c r="M62" s="64"/>
    </row>
    <row r="63" spans="1:13" ht="19.5" thickBot="1" x14ac:dyDescent="0.35">
      <c r="A63" s="284" t="s">
        <v>33</v>
      </c>
      <c r="B63" s="285"/>
      <c r="C63" s="285"/>
      <c r="D63" s="285"/>
      <c r="E63" s="125">
        <f>E33</f>
        <v>219815.44200000001</v>
      </c>
      <c r="F63" s="176">
        <f t="shared" si="0"/>
        <v>107384.88299999999</v>
      </c>
      <c r="G63" s="125">
        <f t="shared" si="30"/>
        <v>21392.631000000001</v>
      </c>
      <c r="H63" s="125">
        <f t="shared" si="30"/>
        <v>21498.062999999998</v>
      </c>
      <c r="I63" s="125">
        <f t="shared" si="30"/>
        <v>21498.062999999998</v>
      </c>
      <c r="J63" s="125">
        <f t="shared" si="30"/>
        <v>21498.062999999998</v>
      </c>
      <c r="K63" s="125">
        <f t="shared" si="30"/>
        <v>21498.062999999998</v>
      </c>
      <c r="L63" s="48"/>
      <c r="M63" s="49"/>
    </row>
    <row r="64" spans="1:13" x14ac:dyDescent="0.25">
      <c r="I64" s="117"/>
      <c r="J64" s="118"/>
      <c r="K64" s="118"/>
    </row>
    <row r="65" spans="2:12" ht="18.75" x14ac:dyDescent="0.3">
      <c r="B65" s="277" t="s">
        <v>144</v>
      </c>
      <c r="C65" s="278"/>
      <c r="D65" s="278"/>
      <c r="E65" s="119">
        <v>0</v>
      </c>
      <c r="F65" s="126">
        <f>SUM(G65:K65)</f>
        <v>88285.626649999991</v>
      </c>
      <c r="G65" s="119">
        <f>17209-3871+G19-1404.37335-1000</f>
        <v>34933.626649999998</v>
      </c>
      <c r="H65" s="119">
        <v>13338</v>
      </c>
      <c r="I65" s="119">
        <v>13338</v>
      </c>
      <c r="J65" s="119">
        <v>13338</v>
      </c>
      <c r="K65" s="119">
        <v>13338</v>
      </c>
      <c r="L65" s="22"/>
    </row>
    <row r="66" spans="2:12" ht="18.75" x14ac:dyDescent="0.3">
      <c r="B66" s="277" t="s">
        <v>37</v>
      </c>
      <c r="C66" s="278"/>
      <c r="D66" s="278"/>
      <c r="E66" s="119">
        <v>0</v>
      </c>
      <c r="F66" s="126">
        <f t="shared" ref="F66:F76" si="31">SUM(G66:K66)</f>
        <v>41000</v>
      </c>
      <c r="G66" s="119">
        <f>G18</f>
        <v>41000</v>
      </c>
      <c r="H66" s="119">
        <f t="shared" ref="H66:K66" si="32">H18</f>
        <v>0</v>
      </c>
      <c r="I66" s="119">
        <f t="shared" si="32"/>
        <v>0</v>
      </c>
      <c r="J66" s="119">
        <f t="shared" si="32"/>
        <v>0</v>
      </c>
      <c r="K66" s="119">
        <f t="shared" si="32"/>
        <v>0</v>
      </c>
      <c r="L66" s="22"/>
    </row>
    <row r="67" spans="2:12" ht="18.75" x14ac:dyDescent="0.3">
      <c r="B67" s="282" t="s">
        <v>38</v>
      </c>
      <c r="C67" s="283"/>
      <c r="D67" s="283"/>
      <c r="E67" s="120">
        <f t="shared" ref="E67" si="33">SUM(E65:E66)</f>
        <v>0</v>
      </c>
      <c r="F67" s="126">
        <f t="shared" si="31"/>
        <v>129285.62664999999</v>
      </c>
      <c r="G67" s="120">
        <f>SUM(G65:G66)</f>
        <v>75933.626649999991</v>
      </c>
      <c r="H67" s="120">
        <f t="shared" ref="H67:K67" si="34">SUM(H65:H66)</f>
        <v>13338</v>
      </c>
      <c r="I67" s="120">
        <f t="shared" si="34"/>
        <v>13338</v>
      </c>
      <c r="J67" s="120">
        <f t="shared" si="34"/>
        <v>13338</v>
      </c>
      <c r="K67" s="120">
        <f t="shared" si="34"/>
        <v>13338</v>
      </c>
      <c r="L67" s="22"/>
    </row>
    <row r="68" spans="2:12" ht="18.75" x14ac:dyDescent="0.3">
      <c r="B68" s="277" t="s">
        <v>145</v>
      </c>
      <c r="C68" s="278"/>
      <c r="D68" s="278"/>
      <c r="E68" s="119">
        <v>0</v>
      </c>
      <c r="F68" s="126">
        <f t="shared" si="31"/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22"/>
    </row>
    <row r="69" spans="2:12" ht="18.75" x14ac:dyDescent="0.3">
      <c r="B69" s="277" t="s">
        <v>146</v>
      </c>
      <c r="C69" s="278"/>
      <c r="D69" s="278"/>
      <c r="E69" s="119">
        <v>4755</v>
      </c>
      <c r="F69" s="126">
        <f t="shared" si="31"/>
        <v>29750</v>
      </c>
      <c r="G69" s="119">
        <v>6210</v>
      </c>
      <c r="H69" s="119">
        <v>5885</v>
      </c>
      <c r="I69" s="119">
        <v>5885</v>
      </c>
      <c r="J69" s="119">
        <v>5885</v>
      </c>
      <c r="K69" s="119">
        <v>5885</v>
      </c>
      <c r="L69" s="22"/>
    </row>
    <row r="70" spans="2:12" ht="18.75" x14ac:dyDescent="0.3">
      <c r="B70" s="282" t="s">
        <v>147</v>
      </c>
      <c r="C70" s="283"/>
      <c r="D70" s="283"/>
      <c r="E70" s="120">
        <f t="shared" ref="E70" si="35">SUM(E68:E69)</f>
        <v>4755</v>
      </c>
      <c r="F70" s="126">
        <f t="shared" si="31"/>
        <v>29750</v>
      </c>
      <c r="G70" s="120">
        <f>SUM(G68:G69)</f>
        <v>6210</v>
      </c>
      <c r="H70" s="120">
        <f t="shared" ref="H70:K70" si="36">SUM(H68:H69)</f>
        <v>5885</v>
      </c>
      <c r="I70" s="120">
        <f t="shared" si="36"/>
        <v>5885</v>
      </c>
      <c r="J70" s="120">
        <f t="shared" si="36"/>
        <v>5885</v>
      </c>
      <c r="K70" s="120">
        <f t="shared" si="36"/>
        <v>5885</v>
      </c>
      <c r="L70" s="22"/>
    </row>
    <row r="71" spans="2:12" ht="18.75" x14ac:dyDescent="0.3">
      <c r="B71" s="277" t="s">
        <v>148</v>
      </c>
      <c r="C71" s="278"/>
      <c r="D71" s="278"/>
      <c r="E71" s="119">
        <f t="shared" ref="E71" si="37">E60-E65-E68</f>
        <v>1149332.5313599999</v>
      </c>
      <c r="F71" s="126">
        <f t="shared" si="31"/>
        <v>6999518.0084100002</v>
      </c>
      <c r="G71" s="119">
        <f>G60-G65-G68</f>
        <v>1388551.5204100001</v>
      </c>
      <c r="H71" s="119">
        <f>H60-H65-H68</f>
        <v>1412015.1790000002</v>
      </c>
      <c r="I71" s="119">
        <f t="shared" ref="I71:K71" si="38">I60-I65-I68</f>
        <v>1376927.2890000001</v>
      </c>
      <c r="J71" s="119">
        <f>J60-J65-J68</f>
        <v>1422017.01</v>
      </c>
      <c r="K71" s="119">
        <f t="shared" si="38"/>
        <v>1400007.01</v>
      </c>
      <c r="L71" s="22"/>
    </row>
    <row r="72" spans="2:12" ht="18.75" x14ac:dyDescent="0.3">
      <c r="B72" s="277" t="s">
        <v>191</v>
      </c>
      <c r="C72" s="278"/>
      <c r="D72" s="318"/>
      <c r="E72" s="119">
        <f>E58</f>
        <v>0</v>
      </c>
      <c r="F72" s="126">
        <f t="shared" si="31"/>
        <v>9253.4785700000011</v>
      </c>
      <c r="G72" s="119">
        <f>G58</f>
        <v>9253.4785700000011</v>
      </c>
      <c r="H72" s="119">
        <f t="shared" ref="H72:K72" si="39">H58</f>
        <v>0</v>
      </c>
      <c r="I72" s="119">
        <f t="shared" si="39"/>
        <v>0</v>
      </c>
      <c r="J72" s="119">
        <f t="shared" si="39"/>
        <v>0</v>
      </c>
      <c r="K72" s="119">
        <f t="shared" si="39"/>
        <v>0</v>
      </c>
      <c r="L72" s="22"/>
    </row>
    <row r="73" spans="2:12" ht="18.75" x14ac:dyDescent="0.3">
      <c r="B73" s="277" t="s">
        <v>41</v>
      </c>
      <c r="C73" s="278"/>
      <c r="D73" s="278"/>
      <c r="E73" s="119">
        <f>E59-E66-E69</f>
        <v>1797869</v>
      </c>
      <c r="F73" s="126">
        <f t="shared" si="31"/>
        <v>10580371.521430001</v>
      </c>
      <c r="G73" s="119">
        <f>G59-G66-G69</f>
        <v>2231665.5214300002</v>
      </c>
      <c r="H73" s="119">
        <f>H59-H66-H69</f>
        <v>2135482</v>
      </c>
      <c r="I73" s="119">
        <f>I59-I66-I69</f>
        <v>2092046</v>
      </c>
      <c r="J73" s="119">
        <f>J59-J66-J69</f>
        <v>2077516</v>
      </c>
      <c r="K73" s="119">
        <f>K59-K66-K69</f>
        <v>2043662</v>
      </c>
      <c r="L73" s="22"/>
    </row>
    <row r="74" spans="2:12" ht="18.75" x14ac:dyDescent="0.3">
      <c r="B74" s="316" t="s">
        <v>26</v>
      </c>
      <c r="C74" s="317"/>
      <c r="D74" s="317"/>
      <c r="E74" s="119">
        <f>E62</f>
        <v>56075.205379999999</v>
      </c>
      <c r="F74" s="126">
        <f t="shared" si="31"/>
        <v>407555.0894</v>
      </c>
      <c r="G74" s="119">
        <f t="shared" ref="G74:K75" si="40">G62</f>
        <v>78534.616280000002</v>
      </c>
      <c r="H74" s="119">
        <f t="shared" si="40"/>
        <v>82255.118279999995</v>
      </c>
      <c r="I74" s="119">
        <f t="shared" si="40"/>
        <v>82255.118279999995</v>
      </c>
      <c r="J74" s="119">
        <f t="shared" si="40"/>
        <v>82255.118279999995</v>
      </c>
      <c r="K74" s="119">
        <f t="shared" si="40"/>
        <v>82255.118279999995</v>
      </c>
      <c r="L74" s="22"/>
    </row>
    <row r="75" spans="2:12" ht="18.75" x14ac:dyDescent="0.3">
      <c r="B75" s="316" t="s">
        <v>33</v>
      </c>
      <c r="C75" s="317"/>
      <c r="D75" s="317"/>
      <c r="E75" s="119">
        <f>E63</f>
        <v>219815.44200000001</v>
      </c>
      <c r="F75" s="126">
        <f t="shared" si="31"/>
        <v>107384.88299999999</v>
      </c>
      <c r="G75" s="119">
        <f t="shared" si="40"/>
        <v>21392.631000000001</v>
      </c>
      <c r="H75" s="119">
        <f t="shared" si="40"/>
        <v>21498.062999999998</v>
      </c>
      <c r="I75" s="119">
        <f t="shared" si="40"/>
        <v>21498.062999999998</v>
      </c>
      <c r="J75" s="119">
        <f t="shared" si="40"/>
        <v>21498.062999999998</v>
      </c>
      <c r="K75" s="119">
        <f t="shared" si="40"/>
        <v>21498.062999999998</v>
      </c>
      <c r="L75" s="22"/>
    </row>
    <row r="76" spans="2:12" ht="18.75" x14ac:dyDescent="0.3">
      <c r="B76" s="282" t="s">
        <v>42</v>
      </c>
      <c r="C76" s="283"/>
      <c r="D76" s="283"/>
      <c r="E76" s="120">
        <f>SUM(E71:E75)</f>
        <v>3223092.1787399999</v>
      </c>
      <c r="F76" s="126">
        <f t="shared" si="31"/>
        <v>18104082.980810001</v>
      </c>
      <c r="G76" s="120">
        <f>SUM(G71:G75)</f>
        <v>3729397.7676900006</v>
      </c>
      <c r="H76" s="131">
        <f>SUM(H71:H75)</f>
        <v>3651250.3602800006</v>
      </c>
      <c r="I76" s="130">
        <f>SUM(I71:I75)</f>
        <v>3572726.47028</v>
      </c>
      <c r="J76" s="120">
        <f>SUM(J71:J75)</f>
        <v>3603286.1912799999</v>
      </c>
      <c r="K76" s="120">
        <f>SUM(K71:K75)</f>
        <v>3547422.1912799999</v>
      </c>
      <c r="L76" s="22"/>
    </row>
    <row r="77" spans="2:12" x14ac:dyDescent="0.25">
      <c r="E77" s="16"/>
      <c r="F77" s="23"/>
      <c r="G77" s="16"/>
      <c r="H77" s="97"/>
      <c r="I77" s="24"/>
      <c r="J77" s="18"/>
      <c r="K77" s="18"/>
    </row>
    <row r="78" spans="2:12" ht="15.75" x14ac:dyDescent="0.25">
      <c r="E78" s="25"/>
      <c r="F78" s="26"/>
      <c r="G78" s="25">
        <f>G67+G70+G76</f>
        <v>3811541.3943400006</v>
      </c>
      <c r="H78" s="25">
        <f>H67+H70+H76</f>
        <v>3670473.3602800006</v>
      </c>
      <c r="I78" s="25">
        <f>I67+I70+I76</f>
        <v>3591949.47028</v>
      </c>
      <c r="J78" s="25">
        <f>J67+J70+J76</f>
        <v>3622509.1912799999</v>
      </c>
      <c r="K78" s="25">
        <f>K67+K70+K76</f>
        <v>3566645.1912799999</v>
      </c>
    </row>
    <row r="79" spans="2:12" ht="15.75" x14ac:dyDescent="0.25">
      <c r="F79" s="23"/>
      <c r="G79" s="16"/>
      <c r="H79" s="98"/>
      <c r="I79" s="24"/>
      <c r="J79" s="16"/>
      <c r="K79" s="16"/>
    </row>
    <row r="80" spans="2:12" ht="15.75" x14ac:dyDescent="0.25">
      <c r="G80" s="16"/>
      <c r="H80" s="98">
        <v>1555720.851</v>
      </c>
      <c r="I80" s="24">
        <v>1544629.9080000001</v>
      </c>
      <c r="J80" s="16">
        <v>1544629.9080000001</v>
      </c>
      <c r="K80" s="16"/>
    </row>
    <row r="81" spans="5:11" ht="15.75" x14ac:dyDescent="0.25">
      <c r="H81" s="98">
        <f>H71-H80</f>
        <v>-143705.67199999979</v>
      </c>
      <c r="I81" s="98">
        <f t="shared" ref="I81:J81" si="41">I71-I80</f>
        <v>-167702.61899999995</v>
      </c>
      <c r="J81" s="98">
        <f t="shared" si="41"/>
        <v>-122612.89800000004</v>
      </c>
    </row>
    <row r="82" spans="5:11" x14ac:dyDescent="0.25">
      <c r="G82" s="16"/>
      <c r="H82" s="97"/>
      <c r="I82" s="24"/>
      <c r="J82" s="16"/>
      <c r="K82" s="16"/>
    </row>
    <row r="89" spans="5:11" x14ac:dyDescent="0.25">
      <c r="E89" s="16"/>
      <c r="F89" s="23"/>
      <c r="G89" s="16"/>
      <c r="H89" s="97"/>
      <c r="I89" s="24"/>
      <c r="J89" s="16"/>
      <c r="K89" s="16"/>
    </row>
    <row r="91" spans="5:11" x14ac:dyDescent="0.25">
      <c r="H91" s="97"/>
    </row>
    <row r="92" spans="5:11" x14ac:dyDescent="0.25">
      <c r="H92" s="97"/>
    </row>
  </sheetData>
  <sheetProtection formatCells="0" formatColumns="0" formatRows="0" insertColumns="0" insertRows="0" insertHyperlinks="0" deleteColumns="0" deleteRows="0" sort="0" autoFilter="0" pivotTables="0"/>
  <mergeCells count="97">
    <mergeCell ref="L39:L42"/>
    <mergeCell ref="A60:D60"/>
    <mergeCell ref="M54:M56"/>
    <mergeCell ref="A39:A42"/>
    <mergeCell ref="A24:A25"/>
    <mergeCell ref="M48:M51"/>
    <mergeCell ref="M52:M53"/>
    <mergeCell ref="A34:A35"/>
    <mergeCell ref="B34:B35"/>
    <mergeCell ref="C34:C35"/>
    <mergeCell ref="B39:B42"/>
    <mergeCell ref="L55:L56"/>
    <mergeCell ref="A54:A56"/>
    <mergeCell ref="B54:B56"/>
    <mergeCell ref="C54:C56"/>
    <mergeCell ref="L52:L53"/>
    <mergeCell ref="B70:D70"/>
    <mergeCell ref="L48:L51"/>
    <mergeCell ref="A57:D57"/>
    <mergeCell ref="A52:A53"/>
    <mergeCell ref="C48:C51"/>
    <mergeCell ref="A58:D58"/>
    <mergeCell ref="B76:D76"/>
    <mergeCell ref="B74:D74"/>
    <mergeCell ref="B75:D75"/>
    <mergeCell ref="B73:D73"/>
    <mergeCell ref="B71:D71"/>
    <mergeCell ref="B72:D72"/>
    <mergeCell ref="G8:M8"/>
    <mergeCell ref="L15:L17"/>
    <mergeCell ref="M15:M17"/>
    <mergeCell ref="A18:A19"/>
    <mergeCell ref="B18:B19"/>
    <mergeCell ref="C18:C19"/>
    <mergeCell ref="B15:B17"/>
    <mergeCell ref="L18:L19"/>
    <mergeCell ref="M18:M19"/>
    <mergeCell ref="C15:C17"/>
    <mergeCell ref="A15:A17"/>
    <mergeCell ref="M39:M42"/>
    <mergeCell ref="F9:F12"/>
    <mergeCell ref="E6:H6"/>
    <mergeCell ref="K6:M6"/>
    <mergeCell ref="M9:M12"/>
    <mergeCell ref="B7:M7"/>
    <mergeCell ref="M20:M21"/>
    <mergeCell ref="L22:L23"/>
    <mergeCell ref="M28:M33"/>
    <mergeCell ref="C28:C33"/>
    <mergeCell ref="L34:L35"/>
    <mergeCell ref="M34:M35"/>
    <mergeCell ref="L28:L33"/>
    <mergeCell ref="L24:L25"/>
    <mergeCell ref="M22:M23"/>
    <mergeCell ref="L26:L27"/>
    <mergeCell ref="B24:B25"/>
    <mergeCell ref="C24:C25"/>
    <mergeCell ref="M24:M27"/>
    <mergeCell ref="A26:A27"/>
    <mergeCell ref="B26:B27"/>
    <mergeCell ref="C26:C27"/>
    <mergeCell ref="A22:A23"/>
    <mergeCell ref="B22:B23"/>
    <mergeCell ref="C22:C23"/>
    <mergeCell ref="A20:A21"/>
    <mergeCell ref="B20:B21"/>
    <mergeCell ref="C20:C21"/>
    <mergeCell ref="L20:L21"/>
    <mergeCell ref="A9:A12"/>
    <mergeCell ref="B9:B12"/>
    <mergeCell ref="A14:M14"/>
    <mergeCell ref="C9:C12"/>
    <mergeCell ref="L9:L12"/>
    <mergeCell ref="E9:E12"/>
    <mergeCell ref="D9:D12"/>
    <mergeCell ref="G9:K11"/>
    <mergeCell ref="C39:C42"/>
    <mergeCell ref="A28:A33"/>
    <mergeCell ref="B68:D68"/>
    <mergeCell ref="B69:D69"/>
    <mergeCell ref="B52:B53"/>
    <mergeCell ref="C52:C53"/>
    <mergeCell ref="B28:B33"/>
    <mergeCell ref="A48:A51"/>
    <mergeCell ref="B48:B51"/>
    <mergeCell ref="B67:D67"/>
    <mergeCell ref="B65:D65"/>
    <mergeCell ref="B66:D66"/>
    <mergeCell ref="A63:D63"/>
    <mergeCell ref="A62:D62"/>
    <mergeCell ref="A61:D61"/>
    <mergeCell ref="A59:D59"/>
    <mergeCell ref="B46:B47"/>
    <mergeCell ref="A46:A47"/>
    <mergeCell ref="C46:C47"/>
    <mergeCell ref="L46:L47"/>
    <mergeCell ref="M46:M47"/>
  </mergeCells>
  <pageMargins left="0.19685039370078741" right="0.19685039370078741" top="0.59055118110236227" bottom="0.19685039370078741" header="0.39370078740157483" footer="0"/>
  <pageSetup paperSize="9" scale="44" fitToHeight="0" orientation="landscape" r:id="rId1"/>
  <headerFooter differentFirst="1" alignWithMargins="0">
    <oddHeader>&amp;C&amp;"Times New Roman,обычный"&amp;12&amp;K000000&amp;P</oddHeader>
  </headerFooter>
  <rowBreaks count="2" manualBreakCount="2">
    <brk id="32" max="12" man="1"/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O109"/>
  <sheetViews>
    <sheetView view="pageBreakPreview" topLeftCell="A76" zoomScale="70" zoomScaleNormal="70" zoomScaleSheetLayoutView="70" workbookViewId="0">
      <selection activeCell="E4" sqref="E4:E6"/>
    </sheetView>
  </sheetViews>
  <sheetFormatPr defaultColWidth="9.140625" defaultRowHeight="15" x14ac:dyDescent="0.25"/>
  <cols>
    <col min="1" max="1" width="9.140625" style="5"/>
    <col min="2" max="2" width="59.7109375" style="5" customWidth="1"/>
    <col min="3" max="3" width="17.85546875" style="5" customWidth="1"/>
    <col min="4" max="4" width="30.85546875" style="5" customWidth="1"/>
    <col min="5" max="5" width="20.5703125" style="5" customWidth="1"/>
    <col min="6" max="6" width="22.140625" style="27" customWidth="1"/>
    <col min="7" max="7" width="20.140625" style="5" customWidth="1"/>
    <col min="8" max="9" width="20.140625" style="99" customWidth="1"/>
    <col min="10" max="11" width="20.140625" style="5" customWidth="1"/>
    <col min="12" max="12" width="21.140625" style="5" customWidth="1"/>
    <col min="13" max="13" width="33.85546875" style="5" customWidth="1"/>
    <col min="14" max="14" width="11.85546875" style="5" customWidth="1"/>
    <col min="15" max="16384" width="9.140625" style="5"/>
  </cols>
  <sheetData>
    <row r="1" spans="1:13" ht="15.75" x14ac:dyDescent="0.25">
      <c r="A1" s="1"/>
      <c r="B1" s="2"/>
      <c r="C1" s="3"/>
      <c r="D1" s="2"/>
      <c r="E1" s="376"/>
      <c r="F1" s="376"/>
      <c r="G1" s="376"/>
      <c r="H1" s="100"/>
      <c r="I1" s="100"/>
      <c r="J1" s="4"/>
      <c r="K1" s="4"/>
      <c r="L1" s="4"/>
      <c r="M1" s="4"/>
    </row>
    <row r="2" spans="1:13" ht="15.75" customHeight="1" x14ac:dyDescent="0.25">
      <c r="A2" s="1"/>
      <c r="B2" s="6"/>
      <c r="C2" s="7"/>
      <c r="D2" s="8"/>
      <c r="E2" s="376"/>
      <c r="F2" s="376"/>
      <c r="G2" s="376"/>
      <c r="H2" s="95"/>
      <c r="I2" s="95"/>
      <c r="J2" s="9"/>
      <c r="K2" s="9"/>
      <c r="L2" s="361"/>
      <c r="M2" s="361"/>
    </row>
    <row r="3" spans="1:13" ht="15.75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</row>
    <row r="4" spans="1:13" ht="15" customHeight="1" x14ac:dyDescent="0.25">
      <c r="A4" s="368" t="s">
        <v>7</v>
      </c>
      <c r="B4" s="366" t="s">
        <v>8</v>
      </c>
      <c r="C4" s="366" t="s">
        <v>85</v>
      </c>
      <c r="D4" s="366" t="s">
        <v>9</v>
      </c>
      <c r="E4" s="366" t="s">
        <v>74</v>
      </c>
      <c r="F4" s="370" t="s">
        <v>10</v>
      </c>
      <c r="G4" s="374" t="s">
        <v>24</v>
      </c>
      <c r="H4" s="374"/>
      <c r="I4" s="374"/>
      <c r="J4" s="374"/>
      <c r="K4" s="374"/>
      <c r="L4" s="362" t="s">
        <v>11</v>
      </c>
      <c r="M4" s="372" t="s">
        <v>4</v>
      </c>
    </row>
    <row r="5" spans="1:13" x14ac:dyDescent="0.25">
      <c r="A5" s="369"/>
      <c r="B5" s="367"/>
      <c r="C5" s="367"/>
      <c r="D5" s="367"/>
      <c r="E5" s="367"/>
      <c r="F5" s="371"/>
      <c r="G5" s="375"/>
      <c r="H5" s="375"/>
      <c r="I5" s="375"/>
      <c r="J5" s="375"/>
      <c r="K5" s="375"/>
      <c r="L5" s="363"/>
      <c r="M5" s="373"/>
    </row>
    <row r="6" spans="1:13" ht="45.75" customHeight="1" x14ac:dyDescent="0.25">
      <c r="A6" s="369"/>
      <c r="B6" s="367"/>
      <c r="C6" s="367"/>
      <c r="D6" s="367"/>
      <c r="E6" s="367"/>
      <c r="F6" s="371"/>
      <c r="G6" s="254" t="s">
        <v>59</v>
      </c>
      <c r="H6" s="254" t="s">
        <v>60</v>
      </c>
      <c r="I6" s="254" t="s">
        <v>75</v>
      </c>
      <c r="J6" s="254" t="s">
        <v>76</v>
      </c>
      <c r="K6" s="254" t="s">
        <v>77</v>
      </c>
      <c r="L6" s="363"/>
      <c r="M6" s="373"/>
    </row>
    <row r="7" spans="1:13" ht="17.25" customHeight="1" x14ac:dyDescent="0.25">
      <c r="A7" s="247" t="s">
        <v>18</v>
      </c>
      <c r="B7" s="96">
        <v>2</v>
      </c>
      <c r="C7" s="96" t="s">
        <v>12</v>
      </c>
      <c r="D7" s="96" t="s">
        <v>58</v>
      </c>
      <c r="E7" s="96" t="s">
        <v>13</v>
      </c>
      <c r="F7" s="14" t="s">
        <v>55</v>
      </c>
      <c r="G7" s="96" t="s">
        <v>14</v>
      </c>
      <c r="H7" s="96" t="s">
        <v>56</v>
      </c>
      <c r="I7" s="96" t="s">
        <v>15</v>
      </c>
      <c r="J7" s="96" t="s">
        <v>16</v>
      </c>
      <c r="K7" s="96" t="s">
        <v>19</v>
      </c>
      <c r="L7" s="96" t="s">
        <v>20</v>
      </c>
      <c r="M7" s="155" t="s">
        <v>25</v>
      </c>
    </row>
    <row r="8" spans="1:13" ht="10.5" hidden="1" customHeight="1" x14ac:dyDescent="0.25">
      <c r="A8" s="364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65"/>
    </row>
    <row r="9" spans="1:13" s="31" customFormat="1" ht="25.5" customHeight="1" x14ac:dyDescent="0.25">
      <c r="A9" s="358" t="s">
        <v>186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</row>
    <row r="10" spans="1:13" s="99" customFormat="1" ht="18.75" x14ac:dyDescent="0.25">
      <c r="A10" s="336" t="s">
        <v>18</v>
      </c>
      <c r="B10" s="337" t="s">
        <v>124</v>
      </c>
      <c r="C10" s="337" t="s">
        <v>78</v>
      </c>
      <c r="D10" s="246" t="s">
        <v>5</v>
      </c>
      <c r="E10" s="113">
        <f>SUM(E12:E16)</f>
        <v>4225099.1168600004</v>
      </c>
      <c r="F10" s="127">
        <f>SUM(G10:K10)</f>
        <v>24495680.900570005</v>
      </c>
      <c r="G10" s="113">
        <f>SUM(G11:G16)</f>
        <v>4855912.0876900004</v>
      </c>
      <c r="H10" s="113">
        <f t="shared" ref="H10:K10" si="0">SUM(H11:H16)</f>
        <v>4928581.5137200002</v>
      </c>
      <c r="I10" s="113">
        <f t="shared" si="0"/>
        <v>4901023.2317200005</v>
      </c>
      <c r="J10" s="113">
        <f t="shared" si="0"/>
        <v>4905082.0337200006</v>
      </c>
      <c r="K10" s="113">
        <f t="shared" si="0"/>
        <v>4905082.0337200006</v>
      </c>
      <c r="L10" s="338"/>
      <c r="M10" s="339"/>
    </row>
    <row r="11" spans="1:13" s="99" customFormat="1" ht="39" customHeight="1" x14ac:dyDescent="0.25">
      <c r="A11" s="336"/>
      <c r="B11" s="337"/>
      <c r="C11" s="337"/>
      <c r="D11" s="246" t="s">
        <v>68</v>
      </c>
      <c r="E11" s="171">
        <f>E28</f>
        <v>0</v>
      </c>
      <c r="F11" s="127">
        <f t="shared" ref="F11:F13" si="1">SUM(G11:K11)</f>
        <v>605742</v>
      </c>
      <c r="G11" s="171">
        <f t="shared" ref="G11:K11" si="2">G28</f>
        <v>45466</v>
      </c>
      <c r="H11" s="171">
        <f t="shared" si="2"/>
        <v>140069</v>
      </c>
      <c r="I11" s="171">
        <f t="shared" si="2"/>
        <v>140069</v>
      </c>
      <c r="J11" s="171">
        <f t="shared" si="2"/>
        <v>140069</v>
      </c>
      <c r="K11" s="171">
        <f t="shared" si="2"/>
        <v>140069</v>
      </c>
      <c r="L11" s="338"/>
      <c r="M11" s="339"/>
    </row>
    <row r="12" spans="1:13" s="99" customFormat="1" ht="39.75" customHeight="1" x14ac:dyDescent="0.25">
      <c r="A12" s="336"/>
      <c r="B12" s="337"/>
      <c r="C12" s="337"/>
      <c r="D12" s="246" t="s">
        <v>2</v>
      </c>
      <c r="E12" s="171">
        <f>E17+E18+E29+E31</f>
        <v>3242446</v>
      </c>
      <c r="F12" s="127">
        <f t="shared" si="1"/>
        <v>17461183</v>
      </c>
      <c r="G12" s="171">
        <f>G17+G18+G29+G31</f>
        <v>3477507</v>
      </c>
      <c r="H12" s="171">
        <f t="shared" ref="H12:K12" si="3">H17+H18+H29+H31</f>
        <v>3495919</v>
      </c>
      <c r="I12" s="171">
        <f t="shared" si="3"/>
        <v>3495919</v>
      </c>
      <c r="J12" s="171">
        <f t="shared" si="3"/>
        <v>3495919</v>
      </c>
      <c r="K12" s="171">
        <f t="shared" si="3"/>
        <v>3495919</v>
      </c>
      <c r="L12" s="338"/>
      <c r="M12" s="339"/>
    </row>
    <row r="13" spans="1:13" s="99" customFormat="1" ht="58.5" customHeight="1" x14ac:dyDescent="0.25">
      <c r="A13" s="336"/>
      <c r="B13" s="337"/>
      <c r="C13" s="337"/>
      <c r="D13" s="246" t="s">
        <v>82</v>
      </c>
      <c r="E13" s="171">
        <f>E19+E23+E24+E25+E26+E27+E30+E32</f>
        <v>711549.13716000004</v>
      </c>
      <c r="F13" s="127">
        <f t="shared" si="1"/>
        <v>4970347.2668700004</v>
      </c>
      <c r="G13" s="171">
        <f>G19+G23+G24+G25+G26+G27+G30+G32</f>
        <v>1090267.9888700002</v>
      </c>
      <c r="H13" s="171">
        <f t="shared" ref="H13:K13" si="4">H19+H23+H24+H25+H26+H27+H30+H32</f>
        <v>988659.13</v>
      </c>
      <c r="I13" s="171">
        <f t="shared" si="4"/>
        <v>961100.848</v>
      </c>
      <c r="J13" s="171">
        <f t="shared" si="4"/>
        <v>965159.65</v>
      </c>
      <c r="K13" s="171">
        <f t="shared" si="4"/>
        <v>965159.65</v>
      </c>
      <c r="L13" s="338"/>
      <c r="M13" s="339"/>
    </row>
    <row r="14" spans="1:13" s="99" customFormat="1" ht="77.25" customHeight="1" x14ac:dyDescent="0.25">
      <c r="A14" s="336"/>
      <c r="B14" s="337"/>
      <c r="C14" s="337"/>
      <c r="D14" s="246" t="s">
        <v>140</v>
      </c>
      <c r="E14" s="171">
        <f>E20</f>
        <v>0</v>
      </c>
      <c r="F14" s="127">
        <f>SUM(G14:K14)</f>
        <v>51181.165000000001</v>
      </c>
      <c r="G14" s="171">
        <f t="shared" ref="G14:K14" si="5">G20</f>
        <v>10236.233</v>
      </c>
      <c r="H14" s="171">
        <f t="shared" si="5"/>
        <v>10236.233</v>
      </c>
      <c r="I14" s="171">
        <f t="shared" si="5"/>
        <v>10236.233</v>
      </c>
      <c r="J14" s="171">
        <f t="shared" si="5"/>
        <v>10236.233</v>
      </c>
      <c r="K14" s="171">
        <f t="shared" si="5"/>
        <v>10236.233</v>
      </c>
      <c r="L14" s="338"/>
      <c r="M14" s="339"/>
    </row>
    <row r="15" spans="1:13" s="99" customFormat="1" ht="81" customHeight="1" x14ac:dyDescent="0.25">
      <c r="A15" s="336"/>
      <c r="B15" s="337"/>
      <c r="C15" s="337"/>
      <c r="D15" s="234" t="s">
        <v>26</v>
      </c>
      <c r="E15" s="166">
        <f>E21</f>
        <v>262352.43170000002</v>
      </c>
      <c r="F15" s="127">
        <f t="shared" ref="F15:F78" si="6">SUM(G15:K15)</f>
        <v>1404324.6257</v>
      </c>
      <c r="G15" s="166">
        <f t="shared" ref="G15:K16" si="7">G21</f>
        <v>231961.41082000005</v>
      </c>
      <c r="H15" s="166">
        <f t="shared" si="7"/>
        <v>293090.80372000003</v>
      </c>
      <c r="I15" s="166">
        <f t="shared" si="7"/>
        <v>293090.80372000003</v>
      </c>
      <c r="J15" s="166">
        <f t="shared" si="7"/>
        <v>293090.80372000003</v>
      </c>
      <c r="K15" s="166">
        <f t="shared" si="7"/>
        <v>293090.80372000003</v>
      </c>
      <c r="L15" s="338"/>
      <c r="M15" s="339"/>
    </row>
    <row r="16" spans="1:13" s="99" customFormat="1" ht="63" customHeight="1" x14ac:dyDescent="0.25">
      <c r="A16" s="336"/>
      <c r="B16" s="337"/>
      <c r="C16" s="337"/>
      <c r="D16" s="234" t="s">
        <v>33</v>
      </c>
      <c r="E16" s="166">
        <f>E22</f>
        <v>8751.5480000000007</v>
      </c>
      <c r="F16" s="127">
        <f t="shared" si="6"/>
        <v>2902.8429999999998</v>
      </c>
      <c r="G16" s="166">
        <f t="shared" si="7"/>
        <v>473.45499999999998</v>
      </c>
      <c r="H16" s="166">
        <f>H22</f>
        <v>607.34699999999998</v>
      </c>
      <c r="I16" s="166">
        <f t="shared" si="7"/>
        <v>607.34699999999998</v>
      </c>
      <c r="J16" s="166">
        <f t="shared" si="7"/>
        <v>607.34699999999998</v>
      </c>
      <c r="K16" s="166">
        <f t="shared" si="7"/>
        <v>607.34699999999998</v>
      </c>
      <c r="L16" s="338"/>
      <c r="M16" s="339"/>
    </row>
    <row r="17" spans="1:14" s="99" customFormat="1" ht="272.25" customHeight="1" x14ac:dyDescent="0.25">
      <c r="A17" s="250" t="s">
        <v>44</v>
      </c>
      <c r="B17" s="248" t="s">
        <v>160</v>
      </c>
      <c r="C17" s="249" t="s">
        <v>78</v>
      </c>
      <c r="D17" s="249" t="s">
        <v>2</v>
      </c>
      <c r="E17" s="140">
        <v>2978099</v>
      </c>
      <c r="F17" s="127">
        <f t="shared" si="6"/>
        <v>16159915</v>
      </c>
      <c r="G17" s="140">
        <f>3210098+35817-26457+2141</f>
        <v>3221599</v>
      </c>
      <c r="H17" s="140">
        <v>3234579</v>
      </c>
      <c r="I17" s="140">
        <v>3234579</v>
      </c>
      <c r="J17" s="140">
        <v>3234579</v>
      </c>
      <c r="K17" s="140">
        <v>3234579</v>
      </c>
      <c r="L17" s="252" t="s">
        <v>6</v>
      </c>
      <c r="M17" s="245" t="s">
        <v>57</v>
      </c>
    </row>
    <row r="18" spans="1:14" s="99" customFormat="1" ht="234.75" customHeight="1" x14ac:dyDescent="0.25">
      <c r="A18" s="247" t="s">
        <v>45</v>
      </c>
      <c r="B18" s="248" t="s">
        <v>161</v>
      </c>
      <c r="C18" s="249" t="s">
        <v>78</v>
      </c>
      <c r="D18" s="249" t="s">
        <v>2</v>
      </c>
      <c r="E18" s="140">
        <v>264347</v>
      </c>
      <c r="F18" s="127">
        <f t="shared" si="6"/>
        <v>1301268</v>
      </c>
      <c r="G18" s="140">
        <f>198695-7084+64297</f>
        <v>255908</v>
      </c>
      <c r="H18" s="140">
        <v>261340</v>
      </c>
      <c r="I18" s="140">
        <v>261340</v>
      </c>
      <c r="J18" s="140">
        <v>261340</v>
      </c>
      <c r="K18" s="140">
        <v>261340</v>
      </c>
      <c r="L18" s="252" t="s">
        <v>6</v>
      </c>
      <c r="M18" s="253" t="s">
        <v>64</v>
      </c>
    </row>
    <row r="19" spans="1:14" s="99" customFormat="1" ht="62.25" customHeight="1" x14ac:dyDescent="0.25">
      <c r="A19" s="345" t="s">
        <v>46</v>
      </c>
      <c r="B19" s="346" t="s">
        <v>162</v>
      </c>
      <c r="C19" s="342" t="s">
        <v>78</v>
      </c>
      <c r="D19" s="249" t="s">
        <v>82</v>
      </c>
      <c r="E19" s="140">
        <f>711549.13716</f>
        <v>711549.13716000004</v>
      </c>
      <c r="F19" s="127">
        <f t="shared" si="6"/>
        <v>3403067.5134800002</v>
      </c>
      <c r="G19" s="231">
        <f>813042.768+77248+48404+50000-546+16195-4208.136-140544+551.999-38800+38800+22197.606+36148.9-2982-147146.506+680.29+G20-55085.004-10236.233-22594.977-185.59002-680.29-1120.3095-528.475-644.64-6043.49+6043.49</f>
        <v>688202.63548000017</v>
      </c>
      <c r="H19" s="140">
        <f>694150.73+10358</f>
        <v>704508.73</v>
      </c>
      <c r="I19" s="140">
        <f>657054.848+10358</f>
        <v>667412.848</v>
      </c>
      <c r="J19" s="140">
        <f>661113.65+10358</f>
        <v>671471.65</v>
      </c>
      <c r="K19" s="140">
        <f>661113.65+10358</f>
        <v>671471.65</v>
      </c>
      <c r="L19" s="359" t="s">
        <v>141</v>
      </c>
      <c r="M19" s="335" t="s">
        <v>182</v>
      </c>
      <c r="N19" s="99" t="s">
        <v>271</v>
      </c>
    </row>
    <row r="20" spans="1:14" s="99" customFormat="1" ht="78" customHeight="1" x14ac:dyDescent="0.25">
      <c r="A20" s="345"/>
      <c r="B20" s="346"/>
      <c r="C20" s="342"/>
      <c r="D20" s="249" t="s">
        <v>140</v>
      </c>
      <c r="E20" s="140">
        <v>0</v>
      </c>
      <c r="F20" s="127">
        <f t="shared" si="6"/>
        <v>51181.165000000001</v>
      </c>
      <c r="G20" s="140">
        <f>9555.943+680.29</f>
        <v>10236.233</v>
      </c>
      <c r="H20" s="140">
        <v>10236.233</v>
      </c>
      <c r="I20" s="140">
        <v>10236.233</v>
      </c>
      <c r="J20" s="140">
        <v>10236.233</v>
      </c>
      <c r="K20" s="140">
        <v>10236.233</v>
      </c>
      <c r="L20" s="359"/>
      <c r="M20" s="335"/>
    </row>
    <row r="21" spans="1:14" s="99" customFormat="1" ht="81.75" customHeight="1" x14ac:dyDescent="0.25">
      <c r="A21" s="345"/>
      <c r="B21" s="346"/>
      <c r="C21" s="342"/>
      <c r="D21" s="236" t="s">
        <v>26</v>
      </c>
      <c r="E21" s="158">
        <v>262352.43170000002</v>
      </c>
      <c r="F21" s="139">
        <f t="shared" ref="F21:F22" si="8">SUM(G21:K21)</f>
        <v>1404324.6257</v>
      </c>
      <c r="G21" s="158">
        <f>278507.29472+14583.509-23875.20965-37368.98325+114.8</f>
        <v>231961.41082000005</v>
      </c>
      <c r="H21" s="158">
        <f>278507.29472+14583.509</f>
        <v>293090.80372000003</v>
      </c>
      <c r="I21" s="158">
        <f>278507.29472+14583.509</f>
        <v>293090.80372000003</v>
      </c>
      <c r="J21" s="158">
        <f>278507.29472+14583.509</f>
        <v>293090.80372000003</v>
      </c>
      <c r="K21" s="158">
        <f>278507.29472+14583.509</f>
        <v>293090.80372000003</v>
      </c>
      <c r="L21" s="359"/>
      <c r="M21" s="335"/>
    </row>
    <row r="22" spans="1:14" s="99" customFormat="1" ht="67.5" customHeight="1" x14ac:dyDescent="0.25">
      <c r="A22" s="345"/>
      <c r="B22" s="346"/>
      <c r="C22" s="342"/>
      <c r="D22" s="236" t="s">
        <v>33</v>
      </c>
      <c r="E22" s="158">
        <v>8751.5480000000007</v>
      </c>
      <c r="F22" s="139">
        <f t="shared" si="8"/>
        <v>2902.8429999999998</v>
      </c>
      <c r="G22" s="158">
        <v>473.45499999999998</v>
      </c>
      <c r="H22" s="158">
        <v>607.34699999999998</v>
      </c>
      <c r="I22" s="158">
        <v>607.34699999999998</v>
      </c>
      <c r="J22" s="158">
        <v>607.34699999999998</v>
      </c>
      <c r="K22" s="158">
        <v>607.34699999999998</v>
      </c>
      <c r="L22" s="359"/>
      <c r="M22" s="335"/>
      <c r="N22" s="134"/>
    </row>
    <row r="23" spans="1:14" s="99" customFormat="1" ht="372" customHeight="1" x14ac:dyDescent="0.25">
      <c r="A23" s="226" t="s">
        <v>47</v>
      </c>
      <c r="B23" s="159" t="s">
        <v>202</v>
      </c>
      <c r="C23" s="160" t="s">
        <v>78</v>
      </c>
      <c r="D23" s="232" t="s">
        <v>81</v>
      </c>
      <c r="E23" s="158">
        <v>0</v>
      </c>
      <c r="F23" s="139">
        <f t="shared" ref="F23:F26" si="9">SUM(G23:K23)</f>
        <v>849973.75338999997</v>
      </c>
      <c r="G23" s="230">
        <f>147146.506+13892.84739+78000+13000+6500</f>
        <v>258539.35339</v>
      </c>
      <c r="H23" s="158">
        <v>140705.4</v>
      </c>
      <c r="I23" s="158">
        <v>150243</v>
      </c>
      <c r="J23" s="158">
        <v>150243</v>
      </c>
      <c r="K23" s="158">
        <v>150243</v>
      </c>
      <c r="L23" s="161" t="s">
        <v>6</v>
      </c>
      <c r="M23" s="238" t="s">
        <v>268</v>
      </c>
      <c r="N23" s="99" t="s">
        <v>272</v>
      </c>
    </row>
    <row r="24" spans="1:14" s="99" customFormat="1" ht="106.5" customHeight="1" x14ac:dyDescent="0.25">
      <c r="A24" s="226" t="s">
        <v>113</v>
      </c>
      <c r="B24" s="159" t="s">
        <v>203</v>
      </c>
      <c r="C24" s="160" t="s">
        <v>78</v>
      </c>
      <c r="D24" s="232" t="s">
        <v>81</v>
      </c>
      <c r="E24" s="158">
        <v>0</v>
      </c>
      <c r="F24" s="139">
        <f t="shared" si="9"/>
        <v>717306</v>
      </c>
      <c r="G24" s="158">
        <f>140544+2982</f>
        <v>143526</v>
      </c>
      <c r="H24" s="158">
        <v>143445</v>
      </c>
      <c r="I24" s="158">
        <v>143445</v>
      </c>
      <c r="J24" s="158">
        <v>143445</v>
      </c>
      <c r="K24" s="158">
        <v>143445</v>
      </c>
      <c r="L24" s="161" t="s">
        <v>6</v>
      </c>
      <c r="M24" s="238" t="s">
        <v>204</v>
      </c>
    </row>
    <row r="25" spans="1:14" s="99" customFormat="1" ht="93.75" x14ac:dyDescent="0.25">
      <c r="A25" s="226" t="s">
        <v>205</v>
      </c>
      <c r="B25" s="159" t="s">
        <v>206</v>
      </c>
      <c r="C25" s="160" t="s">
        <v>78</v>
      </c>
      <c r="D25" s="232" t="s">
        <v>81</v>
      </c>
      <c r="E25" s="158">
        <v>0</v>
      </c>
      <c r="F25" s="139">
        <f t="shared" ref="F25" si="10">SUM(G25:K25)</f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61" t="s">
        <v>6</v>
      </c>
      <c r="M25" s="238" t="s">
        <v>206</v>
      </c>
    </row>
    <row r="26" spans="1:14" s="99" customFormat="1" ht="56.25" x14ac:dyDescent="0.25">
      <c r="A26" s="226" t="s">
        <v>207</v>
      </c>
      <c r="B26" s="159" t="s">
        <v>108</v>
      </c>
      <c r="C26" s="160" t="s">
        <v>78</v>
      </c>
      <c r="D26" s="232" t="s">
        <v>81</v>
      </c>
      <c r="E26" s="158">
        <v>0</v>
      </c>
      <c r="F26" s="139">
        <f t="shared" si="9"/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61" t="s">
        <v>6</v>
      </c>
      <c r="M26" s="238" t="s">
        <v>108</v>
      </c>
    </row>
    <row r="27" spans="1:14" s="99" customFormat="1" ht="98.25" customHeight="1" x14ac:dyDescent="0.25">
      <c r="A27" s="226" t="s">
        <v>208</v>
      </c>
      <c r="B27" s="159" t="s">
        <v>209</v>
      </c>
      <c r="C27" s="160" t="s">
        <v>78</v>
      </c>
      <c r="D27" s="232" t="s">
        <v>81</v>
      </c>
      <c r="E27" s="158">
        <v>0</v>
      </c>
      <c r="F27" s="139">
        <f t="shared" ref="F27:F30" si="11">SUM(G27:K27)</f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61" t="s">
        <v>6</v>
      </c>
      <c r="M27" s="238" t="s">
        <v>209</v>
      </c>
    </row>
    <row r="28" spans="1:14" s="99" customFormat="1" ht="120" customHeight="1" x14ac:dyDescent="0.25">
      <c r="A28" s="355" t="s">
        <v>231</v>
      </c>
      <c r="B28" s="392" t="s">
        <v>261</v>
      </c>
      <c r="C28" s="395" t="s">
        <v>78</v>
      </c>
      <c r="D28" s="249" t="s">
        <v>68</v>
      </c>
      <c r="E28" s="158">
        <v>0</v>
      </c>
      <c r="F28" s="139">
        <f t="shared" si="11"/>
        <v>605742</v>
      </c>
      <c r="G28" s="158">
        <v>45466</v>
      </c>
      <c r="H28" s="158">
        <v>140069</v>
      </c>
      <c r="I28" s="158">
        <v>140069</v>
      </c>
      <c r="J28" s="158">
        <v>140069</v>
      </c>
      <c r="K28" s="158">
        <v>140069</v>
      </c>
      <c r="L28" s="401" t="s">
        <v>6</v>
      </c>
      <c r="M28" s="398" t="s">
        <v>232</v>
      </c>
    </row>
    <row r="29" spans="1:14" s="99" customFormat="1" ht="120" customHeight="1" x14ac:dyDescent="0.25">
      <c r="A29" s="356"/>
      <c r="B29" s="393"/>
      <c r="C29" s="396"/>
      <c r="D29" s="249" t="s">
        <v>2</v>
      </c>
      <c r="E29" s="158">
        <v>0</v>
      </c>
      <c r="F29" s="139">
        <f t="shared" si="11"/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402"/>
      <c r="M29" s="399"/>
    </row>
    <row r="30" spans="1:14" s="99" customFormat="1" ht="120" customHeight="1" x14ac:dyDescent="0.25">
      <c r="A30" s="357"/>
      <c r="B30" s="394"/>
      <c r="C30" s="397"/>
      <c r="D30" s="249" t="s">
        <v>83</v>
      </c>
      <c r="E30" s="158">
        <v>0</v>
      </c>
      <c r="F30" s="139">
        <f t="shared" si="11"/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403"/>
      <c r="M30" s="400"/>
    </row>
    <row r="31" spans="1:14" s="99" customFormat="1" ht="88.5" customHeight="1" x14ac:dyDescent="0.25">
      <c r="A31" s="355" t="s">
        <v>233</v>
      </c>
      <c r="B31" s="392" t="s">
        <v>234</v>
      </c>
      <c r="C31" s="395" t="s">
        <v>78</v>
      </c>
      <c r="D31" s="249" t="s">
        <v>2</v>
      </c>
      <c r="E31" s="158">
        <v>0</v>
      </c>
      <c r="F31" s="139">
        <f t="shared" ref="F31:F32" si="12">SUM(G31:K31)</f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401" t="s">
        <v>6</v>
      </c>
      <c r="M31" s="398" t="s">
        <v>235</v>
      </c>
    </row>
    <row r="32" spans="1:14" s="99" customFormat="1" ht="88.5" customHeight="1" x14ac:dyDescent="0.25">
      <c r="A32" s="357"/>
      <c r="B32" s="394"/>
      <c r="C32" s="397"/>
      <c r="D32" s="249" t="s">
        <v>83</v>
      </c>
      <c r="E32" s="158">
        <v>0</v>
      </c>
      <c r="F32" s="139">
        <f t="shared" si="12"/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403"/>
      <c r="M32" s="400"/>
    </row>
    <row r="33" spans="1:13" s="99" customFormat="1" ht="18.75" x14ac:dyDescent="0.25">
      <c r="A33" s="336" t="s">
        <v>254</v>
      </c>
      <c r="B33" s="337" t="s">
        <v>125</v>
      </c>
      <c r="C33" s="337" t="s">
        <v>78</v>
      </c>
      <c r="D33" s="246" t="s">
        <v>5</v>
      </c>
      <c r="E33" s="113">
        <f>E34</f>
        <v>0</v>
      </c>
      <c r="F33" s="127">
        <f t="shared" si="6"/>
        <v>0</v>
      </c>
      <c r="G33" s="113">
        <f>G34</f>
        <v>0</v>
      </c>
      <c r="H33" s="113">
        <f t="shared" ref="H33:K34" si="13">H34</f>
        <v>0</v>
      </c>
      <c r="I33" s="113">
        <f t="shared" si="13"/>
        <v>0</v>
      </c>
      <c r="J33" s="113">
        <f t="shared" si="13"/>
        <v>0</v>
      </c>
      <c r="K33" s="113">
        <f t="shared" si="13"/>
        <v>0</v>
      </c>
      <c r="L33" s="338"/>
      <c r="M33" s="339"/>
    </row>
    <row r="34" spans="1:13" s="99" customFormat="1" ht="61.5" customHeight="1" x14ac:dyDescent="0.25">
      <c r="A34" s="336"/>
      <c r="B34" s="337"/>
      <c r="C34" s="337"/>
      <c r="D34" s="246" t="s">
        <v>2</v>
      </c>
      <c r="E34" s="171">
        <f>E35</f>
        <v>0</v>
      </c>
      <c r="F34" s="127">
        <f t="shared" si="6"/>
        <v>0</v>
      </c>
      <c r="G34" s="171">
        <f>G35</f>
        <v>0</v>
      </c>
      <c r="H34" s="171">
        <f t="shared" si="13"/>
        <v>0</v>
      </c>
      <c r="I34" s="171">
        <f t="shared" si="13"/>
        <v>0</v>
      </c>
      <c r="J34" s="171">
        <f t="shared" si="13"/>
        <v>0</v>
      </c>
      <c r="K34" s="171">
        <f t="shared" si="13"/>
        <v>0</v>
      </c>
      <c r="L34" s="338"/>
      <c r="M34" s="339"/>
    </row>
    <row r="35" spans="1:13" s="99" customFormat="1" ht="117" customHeight="1" x14ac:dyDescent="0.25">
      <c r="A35" s="247" t="s">
        <v>48</v>
      </c>
      <c r="B35" s="248" t="s">
        <v>163</v>
      </c>
      <c r="C35" s="249" t="s">
        <v>78</v>
      </c>
      <c r="D35" s="249" t="s">
        <v>2</v>
      </c>
      <c r="E35" s="140">
        <v>0</v>
      </c>
      <c r="F35" s="127">
        <f t="shared" si="6"/>
        <v>0</v>
      </c>
      <c r="G35" s="140">
        <f>666-666</f>
        <v>0</v>
      </c>
      <c r="H35" s="140">
        <v>0</v>
      </c>
      <c r="I35" s="140">
        <v>0</v>
      </c>
      <c r="J35" s="140">
        <v>0</v>
      </c>
      <c r="K35" s="140">
        <v>0</v>
      </c>
      <c r="L35" s="252" t="s">
        <v>6</v>
      </c>
      <c r="M35" s="253" t="s">
        <v>17</v>
      </c>
    </row>
    <row r="36" spans="1:13" s="99" customFormat="1" ht="18.75" x14ac:dyDescent="0.25">
      <c r="A36" s="336" t="s">
        <v>12</v>
      </c>
      <c r="B36" s="337" t="s">
        <v>126</v>
      </c>
      <c r="C36" s="337" t="s">
        <v>78</v>
      </c>
      <c r="D36" s="246" t="s">
        <v>5</v>
      </c>
      <c r="E36" s="113">
        <f>E38+E39+E37</f>
        <v>295275.34999999998</v>
      </c>
      <c r="F36" s="127">
        <f t="shared" si="6"/>
        <v>2573964.68181</v>
      </c>
      <c r="G36" s="113">
        <f t="shared" ref="G36:K36" si="14">G38+G39+G37</f>
        <v>402187.80700000003</v>
      </c>
      <c r="H36" s="113">
        <f t="shared" si="14"/>
        <v>540475.55554999993</v>
      </c>
      <c r="I36" s="113">
        <f t="shared" si="14"/>
        <v>544467.30725999991</v>
      </c>
      <c r="J36" s="113">
        <f t="shared" si="14"/>
        <v>544467.00600000005</v>
      </c>
      <c r="K36" s="113">
        <f t="shared" si="14"/>
        <v>542367.00600000005</v>
      </c>
      <c r="L36" s="338"/>
      <c r="M36" s="339"/>
    </row>
    <row r="37" spans="1:13" s="99" customFormat="1" ht="39.75" customHeight="1" x14ac:dyDescent="0.25">
      <c r="A37" s="336"/>
      <c r="B37" s="337"/>
      <c r="C37" s="337"/>
      <c r="D37" s="261" t="s">
        <v>68</v>
      </c>
      <c r="E37" s="171">
        <f>E51</f>
        <v>0</v>
      </c>
      <c r="F37" s="127">
        <f t="shared" si="6"/>
        <v>337781.25329000002</v>
      </c>
      <c r="G37" s="171">
        <f t="shared" ref="G37:K37" si="15">G51</f>
        <v>54688.388480000001</v>
      </c>
      <c r="H37" s="171">
        <f t="shared" si="15"/>
        <v>134386.38780999999</v>
      </c>
      <c r="I37" s="171">
        <f t="shared" si="15"/>
        <v>148706.47700000001</v>
      </c>
      <c r="J37" s="171">
        <f t="shared" si="15"/>
        <v>0</v>
      </c>
      <c r="K37" s="171">
        <f t="shared" si="15"/>
        <v>0</v>
      </c>
      <c r="L37" s="338"/>
      <c r="M37" s="339"/>
    </row>
    <row r="38" spans="1:13" s="99" customFormat="1" ht="39.75" customHeight="1" x14ac:dyDescent="0.25">
      <c r="A38" s="336"/>
      <c r="B38" s="337"/>
      <c r="C38" s="337"/>
      <c r="D38" s="246" t="s">
        <v>2</v>
      </c>
      <c r="E38" s="171">
        <f t="shared" ref="E38" si="16">E40+E42+E44+E45+E47+E49+E52</f>
        <v>216647</v>
      </c>
      <c r="F38" s="127">
        <f t="shared" si="6"/>
        <v>1216691.7467100001</v>
      </c>
      <c r="G38" s="171">
        <f>G40+G42+G44+G45+G47+G49+G52</f>
        <v>242335.61152000001</v>
      </c>
      <c r="H38" s="171">
        <f t="shared" ref="H38:K38" si="17">H40+H42+H44+H45+H47+H49+H52</f>
        <v>233886.61219000001</v>
      </c>
      <c r="I38" s="171">
        <f t="shared" si="17"/>
        <v>190837.52299999999</v>
      </c>
      <c r="J38" s="171">
        <f t="shared" si="17"/>
        <v>275656</v>
      </c>
      <c r="K38" s="171">
        <f t="shared" si="17"/>
        <v>273976</v>
      </c>
      <c r="L38" s="338"/>
      <c r="M38" s="339"/>
    </row>
    <row r="39" spans="1:13" s="99" customFormat="1" ht="58.5" customHeight="1" x14ac:dyDescent="0.25">
      <c r="A39" s="336"/>
      <c r="B39" s="337"/>
      <c r="C39" s="337"/>
      <c r="D39" s="246" t="s">
        <v>82</v>
      </c>
      <c r="E39" s="171">
        <f t="shared" ref="E39" si="18">E43+E46+E48+E41+E50+E53</f>
        <v>78628.350000000006</v>
      </c>
      <c r="F39" s="127">
        <f t="shared" si="6"/>
        <v>1019491.68181</v>
      </c>
      <c r="G39" s="171">
        <f>G43+G46+G48+G41+G50+G53</f>
        <v>105163.807</v>
      </c>
      <c r="H39" s="171">
        <f>H43+H46+H48+H41+H50+H53</f>
        <v>172202.55554999999</v>
      </c>
      <c r="I39" s="171">
        <f t="shared" ref="I39:K39" si="19">I43+I46+I48+I41+I50+I53</f>
        <v>204923.30726</v>
      </c>
      <c r="J39" s="171">
        <f t="shared" si="19"/>
        <v>268811.00599999999</v>
      </c>
      <c r="K39" s="171">
        <f t="shared" si="19"/>
        <v>268391.00599999999</v>
      </c>
      <c r="L39" s="338"/>
      <c r="M39" s="339"/>
    </row>
    <row r="40" spans="1:13" s="99" customFormat="1" ht="37.5" x14ac:dyDescent="0.25">
      <c r="A40" s="381" t="s">
        <v>52</v>
      </c>
      <c r="B40" s="353" t="s">
        <v>164</v>
      </c>
      <c r="C40" s="351" t="s">
        <v>78</v>
      </c>
      <c r="D40" s="249" t="s">
        <v>2</v>
      </c>
      <c r="E40" s="140">
        <v>13649</v>
      </c>
      <c r="F40" s="127">
        <f t="shared" si="6"/>
        <v>70668</v>
      </c>
      <c r="G40" s="140">
        <v>14040</v>
      </c>
      <c r="H40" s="140">
        <v>14157</v>
      </c>
      <c r="I40" s="140">
        <v>14157</v>
      </c>
      <c r="J40" s="140">
        <v>14157</v>
      </c>
      <c r="K40" s="140">
        <v>14157</v>
      </c>
      <c r="L40" s="377" t="s">
        <v>111</v>
      </c>
      <c r="M40" s="379" t="s">
        <v>229</v>
      </c>
    </row>
    <row r="41" spans="1:13" s="99" customFormat="1" ht="64.5" customHeight="1" x14ac:dyDescent="0.25">
      <c r="A41" s="382"/>
      <c r="B41" s="354"/>
      <c r="C41" s="352"/>
      <c r="D41" s="249" t="s">
        <v>82</v>
      </c>
      <c r="E41" s="140">
        <v>0</v>
      </c>
      <c r="F41" s="127">
        <f>SUM(G41:K41)</f>
        <v>27950.650999999998</v>
      </c>
      <c r="G41" s="140">
        <f>4207.099+1274</f>
        <v>5481.0990000000002</v>
      </c>
      <c r="H41" s="140">
        <v>5617.3879999999999</v>
      </c>
      <c r="I41" s="140">
        <v>5617.3879999999999</v>
      </c>
      <c r="J41" s="140">
        <v>5617.3879999999999</v>
      </c>
      <c r="K41" s="140">
        <v>5617.3879999999999</v>
      </c>
      <c r="L41" s="378"/>
      <c r="M41" s="380"/>
    </row>
    <row r="42" spans="1:13" s="99" customFormat="1" ht="97.5" customHeight="1" x14ac:dyDescent="0.25">
      <c r="A42" s="381" t="s">
        <v>53</v>
      </c>
      <c r="B42" s="353" t="s">
        <v>165</v>
      </c>
      <c r="C42" s="351" t="s">
        <v>78</v>
      </c>
      <c r="D42" s="249" t="s">
        <v>2</v>
      </c>
      <c r="E42" s="140">
        <v>200475</v>
      </c>
      <c r="F42" s="127">
        <f t="shared" si="6"/>
        <v>120812</v>
      </c>
      <c r="G42" s="140">
        <f>202841-82029</f>
        <v>120812</v>
      </c>
      <c r="H42" s="140">
        <f>202841-202841</f>
        <v>0</v>
      </c>
      <c r="I42" s="140">
        <f>202841-202841</f>
        <v>0</v>
      </c>
      <c r="J42" s="140">
        <v>0</v>
      </c>
      <c r="K42" s="140">
        <v>0</v>
      </c>
      <c r="L42" s="377" t="s">
        <v>6</v>
      </c>
      <c r="M42" s="379" t="s">
        <v>230</v>
      </c>
    </row>
    <row r="43" spans="1:13" s="99" customFormat="1" ht="97.5" customHeight="1" x14ac:dyDescent="0.25">
      <c r="A43" s="382"/>
      <c r="B43" s="354"/>
      <c r="C43" s="352"/>
      <c r="D43" s="249" t="s">
        <v>82</v>
      </c>
      <c r="E43" s="140">
        <v>70667.320000000007</v>
      </c>
      <c r="F43" s="127">
        <f t="shared" si="6"/>
        <v>86888.554999999993</v>
      </c>
      <c r="G43" s="140">
        <v>86888.554999999993</v>
      </c>
      <c r="H43" s="140">
        <v>0</v>
      </c>
      <c r="I43" s="140">
        <v>0</v>
      </c>
      <c r="J43" s="140">
        <v>0</v>
      </c>
      <c r="K43" s="140">
        <v>0</v>
      </c>
      <c r="L43" s="378"/>
      <c r="M43" s="380"/>
    </row>
    <row r="44" spans="1:13" s="99" customFormat="1" ht="99.75" customHeight="1" x14ac:dyDescent="0.25">
      <c r="A44" s="247" t="s">
        <v>88</v>
      </c>
      <c r="B44" s="251" t="s">
        <v>166</v>
      </c>
      <c r="C44" s="249" t="s">
        <v>78</v>
      </c>
      <c r="D44" s="249" t="s">
        <v>2</v>
      </c>
      <c r="E44" s="140">
        <v>93</v>
      </c>
      <c r="F44" s="127">
        <f t="shared" si="6"/>
        <v>385</v>
      </c>
      <c r="G44" s="140">
        <v>85</v>
      </c>
      <c r="H44" s="140">
        <v>75</v>
      </c>
      <c r="I44" s="140">
        <v>75</v>
      </c>
      <c r="J44" s="140">
        <v>75</v>
      </c>
      <c r="K44" s="140">
        <v>75</v>
      </c>
      <c r="L44" s="252" t="s">
        <v>6</v>
      </c>
      <c r="M44" s="253" t="s">
        <v>27</v>
      </c>
    </row>
    <row r="45" spans="1:13" s="99" customFormat="1" ht="54.75" customHeight="1" x14ac:dyDescent="0.25">
      <c r="A45" s="340" t="s">
        <v>89</v>
      </c>
      <c r="B45" s="341" t="s">
        <v>167</v>
      </c>
      <c r="C45" s="342" t="s">
        <v>78</v>
      </c>
      <c r="D45" s="249" t="s">
        <v>2</v>
      </c>
      <c r="E45" s="140">
        <v>1680</v>
      </c>
      <c r="F45" s="127">
        <f t="shared" si="6"/>
        <v>5040</v>
      </c>
      <c r="G45" s="140">
        <v>0</v>
      </c>
      <c r="H45" s="140">
        <v>1680</v>
      </c>
      <c r="I45" s="140">
        <v>1680</v>
      </c>
      <c r="J45" s="140">
        <v>1680</v>
      </c>
      <c r="K45" s="140">
        <v>0</v>
      </c>
      <c r="L45" s="359" t="s">
        <v>6</v>
      </c>
      <c r="M45" s="360" t="s">
        <v>246</v>
      </c>
    </row>
    <row r="46" spans="1:13" s="99" customFormat="1" ht="63" customHeight="1" x14ac:dyDescent="0.25">
      <c r="A46" s="340"/>
      <c r="B46" s="341"/>
      <c r="C46" s="342"/>
      <c r="D46" s="249" t="s">
        <v>82</v>
      </c>
      <c r="E46" s="140">
        <v>420</v>
      </c>
      <c r="F46" s="127">
        <f t="shared" si="6"/>
        <v>1260</v>
      </c>
      <c r="G46" s="140">
        <v>0</v>
      </c>
      <c r="H46" s="140">
        <v>420</v>
      </c>
      <c r="I46" s="140">
        <v>420</v>
      </c>
      <c r="J46" s="140">
        <v>420</v>
      </c>
      <c r="K46" s="140">
        <v>0</v>
      </c>
      <c r="L46" s="359"/>
      <c r="M46" s="360"/>
    </row>
    <row r="47" spans="1:13" s="99" customFormat="1" ht="78.75" customHeight="1" x14ac:dyDescent="0.25">
      <c r="A47" s="340" t="s">
        <v>93</v>
      </c>
      <c r="B47" s="346" t="s">
        <v>168</v>
      </c>
      <c r="C47" s="342" t="s">
        <v>78</v>
      </c>
      <c r="D47" s="249" t="s">
        <v>2</v>
      </c>
      <c r="E47" s="140">
        <v>750</v>
      </c>
      <c r="F47" s="127">
        <f t="shared" si="6"/>
        <v>3704</v>
      </c>
      <c r="G47" s="140">
        <v>896</v>
      </c>
      <c r="H47" s="140">
        <v>701.99999999999989</v>
      </c>
      <c r="I47" s="140">
        <v>702</v>
      </c>
      <c r="J47" s="140">
        <v>702</v>
      </c>
      <c r="K47" s="140">
        <v>702</v>
      </c>
      <c r="L47" s="359" t="s">
        <v>6</v>
      </c>
      <c r="M47" s="360" t="s">
        <v>61</v>
      </c>
    </row>
    <row r="48" spans="1:13" s="99" customFormat="1" ht="78.75" customHeight="1" x14ac:dyDescent="0.25">
      <c r="A48" s="340"/>
      <c r="B48" s="346"/>
      <c r="C48" s="342"/>
      <c r="D48" s="249" t="s">
        <v>82</v>
      </c>
      <c r="E48" s="140">
        <v>7541.03</v>
      </c>
      <c r="F48" s="127">
        <f t="shared" si="6"/>
        <v>37586.665000000001</v>
      </c>
      <c r="G48" s="140">
        <f>9540.413-1810</f>
        <v>7730.4130000000005</v>
      </c>
      <c r="H48" s="140">
        <v>7464.0630000000001</v>
      </c>
      <c r="I48" s="140">
        <v>7464.0630000000001</v>
      </c>
      <c r="J48" s="140">
        <v>7464.0630000000001</v>
      </c>
      <c r="K48" s="140">
        <v>7464.0630000000001</v>
      </c>
      <c r="L48" s="359"/>
      <c r="M48" s="360"/>
    </row>
    <row r="49" spans="1:13" s="99" customFormat="1" ht="138" customHeight="1" x14ac:dyDescent="0.25">
      <c r="A49" s="381" t="s">
        <v>236</v>
      </c>
      <c r="B49" s="353" t="s">
        <v>237</v>
      </c>
      <c r="C49" s="351" t="s">
        <v>78</v>
      </c>
      <c r="D49" s="249" t="s">
        <v>2</v>
      </c>
      <c r="E49" s="140">
        <v>0</v>
      </c>
      <c r="F49" s="127">
        <f t="shared" ref="F49:F51" si="20">SUM(G49:K49)</f>
        <v>508143</v>
      </c>
      <c r="G49" s="140">
        <f>62765+2214</f>
        <v>64979</v>
      </c>
      <c r="H49" s="140">
        <v>145724</v>
      </c>
      <c r="I49" s="140">
        <v>101198</v>
      </c>
      <c r="J49" s="140">
        <v>98121</v>
      </c>
      <c r="K49" s="140">
        <v>98121</v>
      </c>
      <c r="L49" s="404" t="s">
        <v>6</v>
      </c>
      <c r="M49" s="405" t="s">
        <v>241</v>
      </c>
    </row>
    <row r="50" spans="1:13" s="99" customFormat="1" ht="133.5" customHeight="1" x14ac:dyDescent="0.25">
      <c r="A50" s="382"/>
      <c r="B50" s="354"/>
      <c r="C50" s="352"/>
      <c r="D50" s="249" t="s">
        <v>82</v>
      </c>
      <c r="E50" s="140">
        <v>0</v>
      </c>
      <c r="F50" s="127">
        <f t="shared" si="20"/>
        <v>564745.78499999992</v>
      </c>
      <c r="G50" s="140">
        <v>0</v>
      </c>
      <c r="H50" s="231">
        <f>16192+86888.555+11044.922+1646.643</f>
        <v>115772.12</v>
      </c>
      <c r="I50" s="140">
        <f>60718+86888.555</f>
        <v>147606.55499999999</v>
      </c>
      <c r="J50" s="140">
        <f>63795+86888.555</f>
        <v>150683.55499999999</v>
      </c>
      <c r="K50" s="140">
        <f>63795+86888.555</f>
        <v>150683.55499999999</v>
      </c>
      <c r="L50" s="378"/>
      <c r="M50" s="380"/>
    </row>
    <row r="51" spans="1:13" s="99" customFormat="1" ht="43.5" customHeight="1" x14ac:dyDescent="0.25">
      <c r="A51" s="381" t="s">
        <v>238</v>
      </c>
      <c r="B51" s="353" t="s">
        <v>239</v>
      </c>
      <c r="C51" s="351" t="s">
        <v>78</v>
      </c>
      <c r="D51" s="262" t="s">
        <v>68</v>
      </c>
      <c r="E51" s="140">
        <v>0</v>
      </c>
      <c r="F51" s="127">
        <f t="shared" si="20"/>
        <v>337781.25329000002</v>
      </c>
      <c r="G51" s="140">
        <v>54688.388480000001</v>
      </c>
      <c r="H51" s="140">
        <v>134386.38780999999</v>
      </c>
      <c r="I51" s="140">
        <v>148706.47700000001</v>
      </c>
      <c r="J51" s="140">
        <v>0</v>
      </c>
      <c r="K51" s="140">
        <v>0</v>
      </c>
      <c r="L51" s="377" t="s">
        <v>6</v>
      </c>
      <c r="M51" s="379" t="s">
        <v>240</v>
      </c>
    </row>
    <row r="52" spans="1:13" s="99" customFormat="1" ht="47.25" customHeight="1" x14ac:dyDescent="0.25">
      <c r="A52" s="406"/>
      <c r="B52" s="407"/>
      <c r="C52" s="408"/>
      <c r="D52" s="249" t="s">
        <v>2</v>
      </c>
      <c r="E52" s="140">
        <v>0</v>
      </c>
      <c r="F52" s="127">
        <f t="shared" ref="F52:F53" si="21">SUM(G52:K52)</f>
        <v>507939.74670999998</v>
      </c>
      <c r="G52" s="140">
        <v>41523.611519999999</v>
      </c>
      <c r="H52" s="140">
        <v>71548.61219</v>
      </c>
      <c r="I52" s="140">
        <v>73025.523000000001</v>
      </c>
      <c r="J52" s="140">
        <v>160921</v>
      </c>
      <c r="K52" s="140">
        <v>160921</v>
      </c>
      <c r="L52" s="404"/>
      <c r="M52" s="405"/>
    </row>
    <row r="53" spans="1:13" s="99" customFormat="1" ht="63" customHeight="1" x14ac:dyDescent="0.25">
      <c r="A53" s="382"/>
      <c r="B53" s="354"/>
      <c r="C53" s="352"/>
      <c r="D53" s="249" t="s">
        <v>82</v>
      </c>
      <c r="E53" s="140">
        <v>0</v>
      </c>
      <c r="F53" s="127">
        <f t="shared" si="21"/>
        <v>301060.02581000002</v>
      </c>
      <c r="G53" s="140">
        <f>5063.74</f>
        <v>5063.74</v>
      </c>
      <c r="H53" s="140">
        <v>42928.984550000001</v>
      </c>
      <c r="I53" s="140">
        <v>43815.30126</v>
      </c>
      <c r="J53" s="140">
        <v>104626</v>
      </c>
      <c r="K53" s="140">
        <v>104626</v>
      </c>
      <c r="L53" s="378"/>
      <c r="M53" s="380"/>
    </row>
    <row r="54" spans="1:13" s="99" customFormat="1" ht="18.75" x14ac:dyDescent="0.25">
      <c r="A54" s="383" t="s">
        <v>58</v>
      </c>
      <c r="B54" s="385" t="s">
        <v>127</v>
      </c>
      <c r="C54" s="349" t="s">
        <v>78</v>
      </c>
      <c r="D54" s="33" t="s">
        <v>5</v>
      </c>
      <c r="E54" s="172">
        <f>E55</f>
        <v>9428.6200000000008</v>
      </c>
      <c r="F54" s="141">
        <f>SUM(G54:K54)</f>
        <v>38691.326000000001</v>
      </c>
      <c r="G54" s="172">
        <f t="shared" ref="G54:K55" si="22">G55</f>
        <v>10457.156000000001</v>
      </c>
      <c r="H54" s="172">
        <f t="shared" si="22"/>
        <v>10457.156000000001</v>
      </c>
      <c r="I54" s="172">
        <f t="shared" si="22"/>
        <v>8888.5069999999996</v>
      </c>
      <c r="J54" s="172">
        <f t="shared" si="22"/>
        <v>8888.5069999999996</v>
      </c>
      <c r="K54" s="172">
        <f t="shared" si="22"/>
        <v>0</v>
      </c>
      <c r="L54" s="387"/>
      <c r="M54" s="388"/>
    </row>
    <row r="55" spans="1:13" s="99" customFormat="1" ht="105.75" customHeight="1" x14ac:dyDescent="0.25">
      <c r="A55" s="384"/>
      <c r="B55" s="386"/>
      <c r="C55" s="350"/>
      <c r="D55" s="33" t="s">
        <v>84</v>
      </c>
      <c r="E55" s="173">
        <f>E56</f>
        <v>9428.6200000000008</v>
      </c>
      <c r="F55" s="141">
        <f>SUM(G55:K55)</f>
        <v>38691.326000000001</v>
      </c>
      <c r="G55" s="173">
        <f t="shared" si="22"/>
        <v>10457.156000000001</v>
      </c>
      <c r="H55" s="173">
        <f t="shared" si="22"/>
        <v>10457.156000000001</v>
      </c>
      <c r="I55" s="173">
        <f t="shared" si="22"/>
        <v>8888.5069999999996</v>
      </c>
      <c r="J55" s="173">
        <f t="shared" si="22"/>
        <v>8888.5069999999996</v>
      </c>
      <c r="K55" s="173">
        <f t="shared" si="22"/>
        <v>0</v>
      </c>
      <c r="L55" s="387"/>
      <c r="M55" s="388"/>
    </row>
    <row r="56" spans="1:13" s="99" customFormat="1" ht="187.5" x14ac:dyDescent="0.25">
      <c r="A56" s="179" t="s">
        <v>86</v>
      </c>
      <c r="B56" s="180" t="s">
        <v>162</v>
      </c>
      <c r="C56" s="181" t="s">
        <v>78</v>
      </c>
      <c r="D56" s="167" t="s">
        <v>84</v>
      </c>
      <c r="E56" s="168">
        <v>9428.6200000000008</v>
      </c>
      <c r="F56" s="142">
        <f>SUM(G56:K56)</f>
        <v>38691.326000000001</v>
      </c>
      <c r="G56" s="168">
        <f>11009.555-0.4-551.999</f>
        <v>10457.156000000001</v>
      </c>
      <c r="H56" s="168">
        <v>10457.156000000001</v>
      </c>
      <c r="I56" s="168">
        <v>8888.5069999999996</v>
      </c>
      <c r="J56" s="168">
        <v>8888.5069999999996</v>
      </c>
      <c r="K56" s="168">
        <v>0</v>
      </c>
      <c r="L56" s="182" t="s">
        <v>6</v>
      </c>
      <c r="M56" s="183" t="s">
        <v>107</v>
      </c>
    </row>
    <row r="57" spans="1:13" s="99" customFormat="1" ht="18.75" x14ac:dyDescent="0.25">
      <c r="A57" s="336" t="s">
        <v>13</v>
      </c>
      <c r="B57" s="337" t="s">
        <v>128</v>
      </c>
      <c r="C57" s="337" t="s">
        <v>78</v>
      </c>
      <c r="D57" s="246" t="s">
        <v>5</v>
      </c>
      <c r="E57" s="113">
        <f>E58+E59+E60</f>
        <v>21116.64861</v>
      </c>
      <c r="F57" s="127">
        <f t="shared" si="6"/>
        <v>271195.09821999999</v>
      </c>
      <c r="G57" s="113">
        <f>G58+G59+G60</f>
        <v>250498.34189000001</v>
      </c>
      <c r="H57" s="113">
        <f t="shared" ref="H57:K57" si="23">H58+H59+H60</f>
        <v>10382.2057</v>
      </c>
      <c r="I57" s="113">
        <f t="shared" si="23"/>
        <v>10314.55063</v>
      </c>
      <c r="J57" s="113">
        <f t="shared" si="23"/>
        <v>0</v>
      </c>
      <c r="K57" s="113">
        <f t="shared" si="23"/>
        <v>0</v>
      </c>
      <c r="L57" s="338"/>
      <c r="M57" s="339"/>
    </row>
    <row r="58" spans="1:13" s="99" customFormat="1" ht="37.5" customHeight="1" x14ac:dyDescent="0.25">
      <c r="A58" s="336"/>
      <c r="B58" s="337"/>
      <c r="C58" s="337"/>
      <c r="D58" s="246" t="s">
        <v>68</v>
      </c>
      <c r="E58" s="171">
        <f>E70+E61</f>
        <v>5515.06754</v>
      </c>
      <c r="F58" s="127">
        <f t="shared" si="6"/>
        <v>17656.098829999999</v>
      </c>
      <c r="G58" s="171">
        <f>G70+G61</f>
        <v>2513.4090200000001</v>
      </c>
      <c r="H58" s="171">
        <f>H70+H61</f>
        <v>7596.1710599999997</v>
      </c>
      <c r="I58" s="171">
        <f>I70+I61</f>
        <v>7546.5187500000002</v>
      </c>
      <c r="J58" s="171">
        <f>J70+J61</f>
        <v>0</v>
      </c>
      <c r="K58" s="171">
        <f>K70+K61</f>
        <v>0</v>
      </c>
      <c r="L58" s="338"/>
      <c r="M58" s="339"/>
    </row>
    <row r="59" spans="1:13" s="99" customFormat="1" ht="39.75" customHeight="1" x14ac:dyDescent="0.25">
      <c r="A59" s="336"/>
      <c r="B59" s="337"/>
      <c r="C59" s="337"/>
      <c r="D59" s="246" t="s">
        <v>2</v>
      </c>
      <c r="E59" s="171">
        <f>E71+E62+E64+E66+E68</f>
        <v>9510.3558499999999</v>
      </c>
      <c r="F59" s="127">
        <f t="shared" si="6"/>
        <v>7387.9011700000001</v>
      </c>
      <c r="G59" s="171">
        <f>G71+G62+G64+G66+G68</f>
        <v>2338.5909799999999</v>
      </c>
      <c r="H59" s="171">
        <f>H71+H62+H64+H66+H68</f>
        <v>2532.8289399999999</v>
      </c>
      <c r="I59" s="171">
        <f>I71+I62+I64+I66+I68</f>
        <v>2516.4812499999998</v>
      </c>
      <c r="J59" s="171">
        <f>J71+J62+J64+J66+J68</f>
        <v>0</v>
      </c>
      <c r="K59" s="171">
        <f>K71+K62+K64+K66+K68</f>
        <v>0</v>
      </c>
      <c r="L59" s="338"/>
      <c r="M59" s="339"/>
    </row>
    <row r="60" spans="1:13" s="99" customFormat="1" ht="58.5" customHeight="1" x14ac:dyDescent="0.25">
      <c r="A60" s="336"/>
      <c r="B60" s="337"/>
      <c r="C60" s="337"/>
      <c r="D60" s="246" t="s">
        <v>82</v>
      </c>
      <c r="E60" s="171">
        <f>E72+E63+E65+E67+E69+E73</f>
        <v>6091.2252200000003</v>
      </c>
      <c r="F60" s="127">
        <f t="shared" si="6"/>
        <v>246151.09822000001</v>
      </c>
      <c r="G60" s="171">
        <f>G72+G63+G65+G67+G69+G73</f>
        <v>245646.34189000001</v>
      </c>
      <c r="H60" s="171">
        <f>H72+H63+H65+H67+H69+H73</f>
        <v>253.20570000000001</v>
      </c>
      <c r="I60" s="171">
        <f>I72+I63+I65+I67+I69+I73</f>
        <v>251.55063000000001</v>
      </c>
      <c r="J60" s="171">
        <f>J72+J63+J65+J67+J69+J73</f>
        <v>0</v>
      </c>
      <c r="K60" s="171">
        <f>K72+K63+K65+K67+K69+K73</f>
        <v>0</v>
      </c>
      <c r="L60" s="338"/>
      <c r="M60" s="339"/>
    </row>
    <row r="61" spans="1:13" s="99" customFormat="1" ht="69" customHeight="1" x14ac:dyDescent="0.25">
      <c r="A61" s="340" t="s">
        <v>90</v>
      </c>
      <c r="B61" s="341" t="s">
        <v>210</v>
      </c>
      <c r="C61" s="342" t="s">
        <v>78</v>
      </c>
      <c r="D61" s="249" t="s">
        <v>68</v>
      </c>
      <c r="E61" s="140">
        <v>3107.4</v>
      </c>
      <c r="F61" s="127">
        <f>SUM(G61:K61)</f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359" t="s">
        <v>6</v>
      </c>
      <c r="M61" s="300" t="s">
        <v>223</v>
      </c>
    </row>
    <row r="62" spans="1:13" s="99" customFormat="1" ht="69" customHeight="1" x14ac:dyDescent="0.25">
      <c r="A62" s="340"/>
      <c r="B62" s="341"/>
      <c r="C62" s="342"/>
      <c r="D62" s="249" t="s">
        <v>2</v>
      </c>
      <c r="E62" s="140">
        <v>1035.8</v>
      </c>
      <c r="F62" s="127">
        <f>SUM(G62:K62)</f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359"/>
      <c r="M62" s="300"/>
    </row>
    <row r="63" spans="1:13" s="99" customFormat="1" ht="69" customHeight="1" x14ac:dyDescent="0.25">
      <c r="A63" s="340"/>
      <c r="B63" s="341"/>
      <c r="C63" s="342"/>
      <c r="D63" s="249" t="s">
        <v>83</v>
      </c>
      <c r="E63" s="140">
        <v>103.58</v>
      </c>
      <c r="F63" s="127">
        <f>SUM(G63:K63)</f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59"/>
      <c r="M63" s="300"/>
    </row>
    <row r="64" spans="1:13" s="99" customFormat="1" ht="120" customHeight="1" x14ac:dyDescent="0.25">
      <c r="A64" s="340" t="s">
        <v>91</v>
      </c>
      <c r="B64" s="341" t="s">
        <v>170</v>
      </c>
      <c r="C64" s="342" t="s">
        <v>78</v>
      </c>
      <c r="D64" s="249" t="s">
        <v>2</v>
      </c>
      <c r="E64" s="169">
        <v>497</v>
      </c>
      <c r="F64" s="127">
        <f t="shared" ref="F64:F65" si="24">SUM(G64:K64)</f>
        <v>1500</v>
      </c>
      <c r="G64" s="169">
        <v>1500</v>
      </c>
      <c r="H64" s="169">
        <v>0</v>
      </c>
      <c r="I64" s="169">
        <v>0</v>
      </c>
      <c r="J64" s="169">
        <v>0</v>
      </c>
      <c r="K64" s="169">
        <v>0</v>
      </c>
      <c r="L64" s="334" t="s">
        <v>6</v>
      </c>
      <c r="M64" s="335" t="s">
        <v>72</v>
      </c>
    </row>
    <row r="65" spans="1:15" s="99" customFormat="1" ht="120" customHeight="1" x14ac:dyDescent="0.25">
      <c r="A65" s="340"/>
      <c r="B65" s="341"/>
      <c r="C65" s="342"/>
      <c r="D65" s="249" t="s">
        <v>83</v>
      </c>
      <c r="E65" s="169">
        <v>1488.3896299999999</v>
      </c>
      <c r="F65" s="127">
        <f t="shared" si="24"/>
        <v>2276.0100000000002</v>
      </c>
      <c r="G65" s="169">
        <f>1500+776.01</f>
        <v>2276.0100000000002</v>
      </c>
      <c r="H65" s="169">
        <v>0</v>
      </c>
      <c r="I65" s="169">
        <v>0</v>
      </c>
      <c r="J65" s="169">
        <v>0</v>
      </c>
      <c r="K65" s="169">
        <v>0</v>
      </c>
      <c r="L65" s="334"/>
      <c r="M65" s="335"/>
    </row>
    <row r="66" spans="1:15" s="99" customFormat="1" ht="64.5" customHeight="1" x14ac:dyDescent="0.25">
      <c r="A66" s="389" t="s">
        <v>169</v>
      </c>
      <c r="B66" s="390" t="s">
        <v>171</v>
      </c>
      <c r="C66" s="391" t="s">
        <v>78</v>
      </c>
      <c r="D66" s="103" t="s">
        <v>2</v>
      </c>
      <c r="E66" s="170">
        <v>0</v>
      </c>
      <c r="F66" s="137">
        <f t="shared" ref="F66" si="25">SUM(G66:K66)</f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359" t="s">
        <v>6</v>
      </c>
      <c r="M66" s="322" t="s">
        <v>117</v>
      </c>
    </row>
    <row r="67" spans="1:15" s="99" customFormat="1" ht="64.5" customHeight="1" x14ac:dyDescent="0.25">
      <c r="A67" s="389"/>
      <c r="B67" s="390"/>
      <c r="C67" s="391"/>
      <c r="D67" s="249" t="s">
        <v>83</v>
      </c>
      <c r="E67" s="169">
        <v>0</v>
      </c>
      <c r="F67" s="127">
        <f>SUM(G67:K67)</f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359"/>
      <c r="M67" s="322"/>
    </row>
    <row r="68" spans="1:15" s="99" customFormat="1" ht="54.75" customHeight="1" x14ac:dyDescent="0.25">
      <c r="A68" s="296" t="s">
        <v>172</v>
      </c>
      <c r="B68" s="279" t="s">
        <v>110</v>
      </c>
      <c r="C68" s="280" t="s">
        <v>78</v>
      </c>
      <c r="D68" s="233" t="s">
        <v>2</v>
      </c>
      <c r="E68" s="156">
        <v>7175</v>
      </c>
      <c r="F68" s="127">
        <f>SUM(G68:K68)</f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359" t="s">
        <v>6</v>
      </c>
      <c r="M68" s="335" t="s">
        <v>110</v>
      </c>
      <c r="N68" s="97"/>
      <c r="O68" s="97"/>
    </row>
    <row r="69" spans="1:15" s="99" customFormat="1" ht="63" customHeight="1" x14ac:dyDescent="0.25">
      <c r="A69" s="296"/>
      <c r="B69" s="279"/>
      <c r="C69" s="280"/>
      <c r="D69" s="233" t="s">
        <v>81</v>
      </c>
      <c r="E69" s="156">
        <v>4419</v>
      </c>
      <c r="F69" s="127">
        <f>SUM(G69:K69)</f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359"/>
      <c r="M69" s="335"/>
      <c r="N69" s="97"/>
      <c r="O69" s="97"/>
    </row>
    <row r="70" spans="1:15" s="99" customFormat="1" ht="43.5" customHeight="1" x14ac:dyDescent="0.25">
      <c r="A70" s="340" t="s">
        <v>173</v>
      </c>
      <c r="B70" s="341" t="s">
        <v>184</v>
      </c>
      <c r="C70" s="342" t="s">
        <v>78</v>
      </c>
      <c r="D70" s="249" t="s">
        <v>68</v>
      </c>
      <c r="E70" s="140">
        <v>2407.6675399999999</v>
      </c>
      <c r="F70" s="127">
        <f t="shared" si="6"/>
        <v>17656.098829999999</v>
      </c>
      <c r="G70" s="140">
        <f>2513.37858+0.03044</f>
        <v>2513.4090200000001</v>
      </c>
      <c r="H70" s="140">
        <v>7596.1710599999997</v>
      </c>
      <c r="I70" s="140">
        <v>7546.5187500000002</v>
      </c>
      <c r="J70" s="140">
        <v>0</v>
      </c>
      <c r="K70" s="140">
        <v>0</v>
      </c>
      <c r="L70" s="359" t="s">
        <v>6</v>
      </c>
      <c r="M70" s="300" t="s">
        <v>73</v>
      </c>
    </row>
    <row r="71" spans="1:15" s="99" customFormat="1" ht="47.25" customHeight="1" x14ac:dyDescent="0.25">
      <c r="A71" s="340"/>
      <c r="B71" s="341"/>
      <c r="C71" s="342"/>
      <c r="D71" s="249" t="s">
        <v>2</v>
      </c>
      <c r="E71" s="140">
        <v>802.55584999999996</v>
      </c>
      <c r="F71" s="127">
        <f t="shared" si="6"/>
        <v>5887.9011699999992</v>
      </c>
      <c r="G71" s="140">
        <f>837.79285+0.79813</f>
        <v>838.59098000000006</v>
      </c>
      <c r="H71" s="140">
        <v>2532.8289399999999</v>
      </c>
      <c r="I71" s="140">
        <v>2516.4812499999998</v>
      </c>
      <c r="J71" s="140">
        <v>0</v>
      </c>
      <c r="K71" s="140">
        <v>0</v>
      </c>
      <c r="L71" s="359"/>
      <c r="M71" s="300"/>
    </row>
    <row r="72" spans="1:15" s="99" customFormat="1" ht="65.25" customHeight="1" x14ac:dyDescent="0.25">
      <c r="A72" s="340"/>
      <c r="B72" s="341"/>
      <c r="C72" s="342"/>
      <c r="D72" s="249" t="s">
        <v>83</v>
      </c>
      <c r="E72" s="140">
        <v>80.255589999999998</v>
      </c>
      <c r="F72" s="127">
        <f t="shared" ref="F72" si="26">SUM(G72:K72)</f>
        <v>588.53561000000002</v>
      </c>
      <c r="G72" s="140">
        <v>83.77928</v>
      </c>
      <c r="H72" s="140">
        <v>253.20570000000001</v>
      </c>
      <c r="I72" s="140">
        <v>251.55063000000001</v>
      </c>
      <c r="J72" s="140">
        <v>0</v>
      </c>
      <c r="K72" s="140">
        <v>0</v>
      </c>
      <c r="L72" s="359"/>
      <c r="M72" s="300"/>
    </row>
    <row r="73" spans="1:15" s="99" customFormat="1" ht="216" customHeight="1" x14ac:dyDescent="0.25">
      <c r="A73" s="255" t="s">
        <v>174</v>
      </c>
      <c r="B73" s="256" t="s">
        <v>154</v>
      </c>
      <c r="C73" s="257" t="s">
        <v>78</v>
      </c>
      <c r="D73" s="103" t="s">
        <v>83</v>
      </c>
      <c r="E73" s="170">
        <v>0</v>
      </c>
      <c r="F73" s="127">
        <f t="shared" ref="F73" si="27">SUM(G73:K73)</f>
        <v>243286.55261000001</v>
      </c>
      <c r="G73" s="260">
        <f>130402+133500-222.6-9160.13926-11232.70813</f>
        <v>243286.55261000001</v>
      </c>
      <c r="H73" s="170">
        <v>0</v>
      </c>
      <c r="I73" s="170">
        <v>0</v>
      </c>
      <c r="J73" s="170">
        <v>0</v>
      </c>
      <c r="K73" s="170">
        <v>0</v>
      </c>
      <c r="L73" s="252" t="s">
        <v>6</v>
      </c>
      <c r="M73" s="241" t="s">
        <v>258</v>
      </c>
      <c r="N73" s="99" t="s">
        <v>266</v>
      </c>
    </row>
    <row r="74" spans="1:15" s="99" customFormat="1" ht="29.25" customHeight="1" x14ac:dyDescent="0.25">
      <c r="A74" s="336" t="s">
        <v>55</v>
      </c>
      <c r="B74" s="337" t="s">
        <v>129</v>
      </c>
      <c r="C74" s="337" t="s">
        <v>78</v>
      </c>
      <c r="D74" s="246" t="s">
        <v>5</v>
      </c>
      <c r="E74" s="113">
        <f>E75+E76</f>
        <v>0</v>
      </c>
      <c r="F74" s="127">
        <f t="shared" si="6"/>
        <v>0</v>
      </c>
      <c r="G74" s="113">
        <f>G75+G76</f>
        <v>0</v>
      </c>
      <c r="H74" s="113">
        <f>H75+H76</f>
        <v>0</v>
      </c>
      <c r="I74" s="113">
        <f>I75+I76</f>
        <v>0</v>
      </c>
      <c r="J74" s="113">
        <f>J75+J76</f>
        <v>0</v>
      </c>
      <c r="K74" s="113">
        <f>K75+K76</f>
        <v>0</v>
      </c>
      <c r="L74" s="338"/>
      <c r="M74" s="339"/>
    </row>
    <row r="75" spans="1:15" s="99" customFormat="1" ht="39.75" customHeight="1" x14ac:dyDescent="0.25">
      <c r="A75" s="336"/>
      <c r="B75" s="337"/>
      <c r="C75" s="337"/>
      <c r="D75" s="246" t="s">
        <v>2</v>
      </c>
      <c r="E75" s="171">
        <f>E77</f>
        <v>0</v>
      </c>
      <c r="F75" s="127">
        <f t="shared" si="6"/>
        <v>0</v>
      </c>
      <c r="G75" s="171">
        <f t="shared" ref="G75:K76" si="28">G77</f>
        <v>0</v>
      </c>
      <c r="H75" s="171">
        <f t="shared" si="28"/>
        <v>0</v>
      </c>
      <c r="I75" s="171">
        <f t="shared" si="28"/>
        <v>0</v>
      </c>
      <c r="J75" s="171">
        <f t="shared" si="28"/>
        <v>0</v>
      </c>
      <c r="K75" s="171">
        <f t="shared" si="28"/>
        <v>0</v>
      </c>
      <c r="L75" s="338"/>
      <c r="M75" s="339"/>
    </row>
    <row r="76" spans="1:15" s="99" customFormat="1" ht="58.5" customHeight="1" x14ac:dyDescent="0.25">
      <c r="A76" s="336"/>
      <c r="B76" s="337"/>
      <c r="C76" s="337"/>
      <c r="D76" s="246" t="s">
        <v>82</v>
      </c>
      <c r="E76" s="171">
        <f>E78</f>
        <v>0</v>
      </c>
      <c r="F76" s="127">
        <f t="shared" si="6"/>
        <v>0</v>
      </c>
      <c r="G76" s="171">
        <f t="shared" si="28"/>
        <v>0</v>
      </c>
      <c r="H76" s="171">
        <f t="shared" si="28"/>
        <v>0</v>
      </c>
      <c r="I76" s="171">
        <f t="shared" si="28"/>
        <v>0</v>
      </c>
      <c r="J76" s="171">
        <f t="shared" si="28"/>
        <v>0</v>
      </c>
      <c r="K76" s="171">
        <f t="shared" si="28"/>
        <v>0</v>
      </c>
      <c r="L76" s="338"/>
      <c r="M76" s="339"/>
    </row>
    <row r="77" spans="1:15" s="99" customFormat="1" ht="70.5" customHeight="1" x14ac:dyDescent="0.25">
      <c r="A77" s="340" t="s">
        <v>114</v>
      </c>
      <c r="B77" s="341" t="s">
        <v>95</v>
      </c>
      <c r="C77" s="342" t="s">
        <v>78</v>
      </c>
      <c r="D77" s="249" t="s">
        <v>2</v>
      </c>
      <c r="E77" s="169">
        <v>0</v>
      </c>
      <c r="F77" s="127">
        <f t="shared" si="6"/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334" t="s">
        <v>6</v>
      </c>
      <c r="M77" s="335" t="s">
        <v>95</v>
      </c>
    </row>
    <row r="78" spans="1:15" s="99" customFormat="1" ht="70.5" customHeight="1" x14ac:dyDescent="0.25">
      <c r="A78" s="340"/>
      <c r="B78" s="341"/>
      <c r="C78" s="342"/>
      <c r="D78" s="249" t="s">
        <v>82</v>
      </c>
      <c r="E78" s="169">
        <v>0</v>
      </c>
      <c r="F78" s="127">
        <f t="shared" si="6"/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334"/>
      <c r="M78" s="335"/>
    </row>
    <row r="79" spans="1:15" ht="18.75" x14ac:dyDescent="0.25">
      <c r="A79" s="347" t="s">
        <v>29</v>
      </c>
      <c r="B79" s="348"/>
      <c r="C79" s="348"/>
      <c r="D79" s="348"/>
      <c r="E79" s="121">
        <f>E80+E81+E82+E84+E85</f>
        <v>4550919.7354699997</v>
      </c>
      <c r="F79" s="174">
        <f>SUM(G79:K79)</f>
        <v>27328350.841599997</v>
      </c>
      <c r="G79" s="121">
        <f>G80+G81+G82+G84+G85</f>
        <v>5508819.1595799997</v>
      </c>
      <c r="H79" s="121">
        <f>H80+H81+H82+H84+H85</f>
        <v>5479660.1979700001</v>
      </c>
      <c r="I79" s="121">
        <f>I80+I81+I82+I84+I85</f>
        <v>5454457.3636100003</v>
      </c>
      <c r="J79" s="121">
        <f>J80+J81+J82+J84+J85</f>
        <v>5448201.31372</v>
      </c>
      <c r="K79" s="121">
        <f>K80+K81+K82+K84+K85</f>
        <v>5437212.8067199998</v>
      </c>
      <c r="L79" s="36"/>
      <c r="M79" s="53"/>
    </row>
    <row r="80" spans="1:15" ht="18.75" x14ac:dyDescent="0.25">
      <c r="A80" s="343" t="s">
        <v>68</v>
      </c>
      <c r="B80" s="344"/>
      <c r="C80" s="344"/>
      <c r="D80" s="344"/>
      <c r="E80" s="122">
        <f>E58</f>
        <v>5515.06754</v>
      </c>
      <c r="F80" s="174">
        <f>SUM(G80:K80)</f>
        <v>961179.35211999994</v>
      </c>
      <c r="G80" s="122">
        <f>G58+G11+G37</f>
        <v>102667.7975</v>
      </c>
      <c r="H80" s="122">
        <f>H58+H11+H37</f>
        <v>282051.55886999995</v>
      </c>
      <c r="I80" s="122">
        <f t="shared" ref="I80:K80" si="29">I58+I11+I37</f>
        <v>296321.99575</v>
      </c>
      <c r="J80" s="122">
        <f t="shared" si="29"/>
        <v>140069</v>
      </c>
      <c r="K80" s="122">
        <f t="shared" si="29"/>
        <v>140069</v>
      </c>
      <c r="L80" s="37"/>
      <c r="M80" s="54"/>
    </row>
    <row r="81" spans="1:13" ht="18.75" x14ac:dyDescent="0.25">
      <c r="A81" s="343" t="s">
        <v>2</v>
      </c>
      <c r="B81" s="344"/>
      <c r="C81" s="344"/>
      <c r="D81" s="344"/>
      <c r="E81" s="122">
        <f>E12+E34+E38+E59+E75</f>
        <v>3468603.3558499999</v>
      </c>
      <c r="F81" s="174">
        <f>SUM(G81:K81)</f>
        <v>18685262.647879999</v>
      </c>
      <c r="G81" s="122">
        <f>G12+G34+G38+G59+G75</f>
        <v>3722181.2024999997</v>
      </c>
      <c r="H81" s="122">
        <f>H12+H34+H38+H59+H75</f>
        <v>3732338.4411299997</v>
      </c>
      <c r="I81" s="122">
        <f>I12+I34+I38+I59+I75</f>
        <v>3689273.0042500002</v>
      </c>
      <c r="J81" s="122">
        <f>J12+J34+J38+J59+J75</f>
        <v>3771575</v>
      </c>
      <c r="K81" s="122">
        <f>K12+K34+K38+K59+K75</f>
        <v>3769895</v>
      </c>
      <c r="L81" s="37"/>
      <c r="M81" s="54"/>
    </row>
    <row r="82" spans="1:13" ht="18.75" x14ac:dyDescent="0.25">
      <c r="A82" s="343" t="s">
        <v>82</v>
      </c>
      <c r="B82" s="344"/>
      <c r="C82" s="344"/>
      <c r="D82" s="344"/>
      <c r="E82" s="122">
        <f>E13+E39+E55+E60+E76</f>
        <v>805697.33238000004</v>
      </c>
      <c r="F82" s="174">
        <f>SUM(G82:K82)</f>
        <v>6274681.3728999998</v>
      </c>
      <c r="G82" s="122">
        <f>G13+G39+G55+G60+G76</f>
        <v>1451535.2937600003</v>
      </c>
      <c r="H82" s="122">
        <f>H13+H39+H55+H60+H76</f>
        <v>1171572.0472500001</v>
      </c>
      <c r="I82" s="122">
        <f>I13+I39+I55+I60+I76</f>
        <v>1175164.2128899998</v>
      </c>
      <c r="J82" s="122">
        <f>J13+J39+J55+J60+J76</f>
        <v>1242859.1629999999</v>
      </c>
      <c r="K82" s="122">
        <f>K13+K39+K55+K60+K76</f>
        <v>1233550.656</v>
      </c>
      <c r="L82" s="38"/>
      <c r="M82" s="54"/>
    </row>
    <row r="83" spans="1:13" ht="18.75" x14ac:dyDescent="0.3">
      <c r="A83" s="286" t="s">
        <v>140</v>
      </c>
      <c r="B83" s="287"/>
      <c r="C83" s="287"/>
      <c r="D83" s="287"/>
      <c r="E83" s="116">
        <f>E20</f>
        <v>0</v>
      </c>
      <c r="F83" s="174">
        <f>SUM(G83:K83)</f>
        <v>51181.165000000001</v>
      </c>
      <c r="G83" s="116">
        <f t="shared" ref="G83:K83" si="30">G20</f>
        <v>10236.233</v>
      </c>
      <c r="H83" s="116">
        <f t="shared" si="30"/>
        <v>10236.233</v>
      </c>
      <c r="I83" s="116">
        <f t="shared" si="30"/>
        <v>10236.233</v>
      </c>
      <c r="J83" s="116">
        <f t="shared" si="30"/>
        <v>10236.233</v>
      </c>
      <c r="K83" s="116">
        <f t="shared" si="30"/>
        <v>10236.233</v>
      </c>
      <c r="L83" s="21"/>
      <c r="M83" s="64"/>
    </row>
    <row r="84" spans="1:13" ht="18.75" x14ac:dyDescent="0.3">
      <c r="A84" s="286" t="s">
        <v>26</v>
      </c>
      <c r="B84" s="287"/>
      <c r="C84" s="287"/>
      <c r="D84" s="287"/>
      <c r="E84" s="116">
        <f>E15</f>
        <v>262352.43170000002</v>
      </c>
      <c r="F84" s="174">
        <f t="shared" ref="F84:F85" si="31">SUM(G84:K84)</f>
        <v>1404324.6257</v>
      </c>
      <c r="G84" s="116">
        <f t="shared" ref="G84:K85" si="32">G15</f>
        <v>231961.41082000005</v>
      </c>
      <c r="H84" s="116">
        <f t="shared" si="32"/>
        <v>293090.80372000003</v>
      </c>
      <c r="I84" s="116">
        <f t="shared" si="32"/>
        <v>293090.80372000003</v>
      </c>
      <c r="J84" s="116">
        <f t="shared" si="32"/>
        <v>293090.80372000003</v>
      </c>
      <c r="K84" s="116">
        <f t="shared" si="32"/>
        <v>293090.80372000003</v>
      </c>
      <c r="L84" s="21"/>
      <c r="M84" s="64"/>
    </row>
    <row r="85" spans="1:13" ht="19.5" thickBot="1" x14ac:dyDescent="0.35">
      <c r="A85" s="284" t="s">
        <v>33</v>
      </c>
      <c r="B85" s="285"/>
      <c r="C85" s="285"/>
      <c r="D85" s="285"/>
      <c r="E85" s="125">
        <f>E16</f>
        <v>8751.5480000000007</v>
      </c>
      <c r="F85" s="174">
        <f t="shared" si="31"/>
        <v>2902.8429999999998</v>
      </c>
      <c r="G85" s="125">
        <f t="shared" si="32"/>
        <v>473.45499999999998</v>
      </c>
      <c r="H85" s="125">
        <f>H16</f>
        <v>607.34699999999998</v>
      </c>
      <c r="I85" s="125">
        <f t="shared" si="32"/>
        <v>607.34699999999998</v>
      </c>
      <c r="J85" s="125">
        <f t="shared" si="32"/>
        <v>607.34699999999998</v>
      </c>
      <c r="K85" s="125">
        <f t="shared" si="32"/>
        <v>607.34699999999998</v>
      </c>
      <c r="L85" s="48"/>
      <c r="M85" s="49"/>
    </row>
    <row r="86" spans="1:13" ht="15.75" x14ac:dyDescent="0.25">
      <c r="A86" s="39"/>
      <c r="B86" s="39"/>
      <c r="C86" s="39"/>
      <c r="D86" s="39"/>
      <c r="E86" s="40"/>
      <c r="F86" s="41"/>
      <c r="G86" s="40"/>
      <c r="H86" s="101"/>
      <c r="I86" s="133"/>
      <c r="J86" s="123"/>
      <c r="K86" s="123"/>
      <c r="L86" s="42"/>
      <c r="M86" s="43"/>
    </row>
    <row r="87" spans="1:13" ht="18.75" x14ac:dyDescent="0.3">
      <c r="B87" s="277" t="s">
        <v>37</v>
      </c>
      <c r="C87" s="278"/>
      <c r="D87" s="278"/>
      <c r="E87" s="119">
        <f>E40</f>
        <v>13649</v>
      </c>
      <c r="F87" s="126">
        <f>SUM(G87:K87)</f>
        <v>70668</v>
      </c>
      <c r="G87" s="119">
        <f>G40</f>
        <v>14040</v>
      </c>
      <c r="H87" s="119">
        <f>H40</f>
        <v>14157</v>
      </c>
      <c r="I87" s="119">
        <f>I40</f>
        <v>14157</v>
      </c>
      <c r="J87" s="119">
        <f>J40</f>
        <v>14157</v>
      </c>
      <c r="K87" s="119">
        <f>K40</f>
        <v>14157</v>
      </c>
      <c r="L87" s="118"/>
    </row>
    <row r="88" spans="1:13" ht="18.75" x14ac:dyDescent="0.3">
      <c r="B88" s="277" t="s">
        <v>39</v>
      </c>
      <c r="C88" s="278"/>
      <c r="D88" s="278"/>
      <c r="E88" s="119">
        <f>E41</f>
        <v>0</v>
      </c>
      <c r="F88" s="126">
        <f>SUM(G88:K88)</f>
        <v>79740.650999999998</v>
      </c>
      <c r="G88" s="119">
        <f>16195+G41-5837</f>
        <v>15839.099000000002</v>
      </c>
      <c r="H88" s="119">
        <f>H41+10358</f>
        <v>15975.387999999999</v>
      </c>
      <c r="I88" s="119">
        <f>I41+10358</f>
        <v>15975.387999999999</v>
      </c>
      <c r="J88" s="119">
        <f>J41+10358</f>
        <v>15975.387999999999</v>
      </c>
      <c r="K88" s="119">
        <f>K41+10358</f>
        <v>15975.387999999999</v>
      </c>
    </row>
    <row r="89" spans="1:13" ht="18.75" x14ac:dyDescent="0.3">
      <c r="B89" s="282" t="s">
        <v>38</v>
      </c>
      <c r="C89" s="283"/>
      <c r="D89" s="283"/>
      <c r="E89" s="120">
        <f>SUM(E87:E88)</f>
        <v>13649</v>
      </c>
      <c r="F89" s="120">
        <f t="shared" ref="F89:K89" si="33">SUM(F87:F88)</f>
        <v>150408.65100000001</v>
      </c>
      <c r="G89" s="120">
        <f t="shared" si="33"/>
        <v>29879.099000000002</v>
      </c>
      <c r="H89" s="120">
        <f t="shared" si="33"/>
        <v>30132.387999999999</v>
      </c>
      <c r="I89" s="120">
        <f t="shared" si="33"/>
        <v>30132.387999999999</v>
      </c>
      <c r="J89" s="120">
        <f t="shared" si="33"/>
        <v>30132.387999999999</v>
      </c>
      <c r="K89" s="120">
        <f t="shared" si="33"/>
        <v>30132.387999999999</v>
      </c>
    </row>
    <row r="90" spans="1:13" ht="18.75" x14ac:dyDescent="0.3">
      <c r="B90" s="277" t="s">
        <v>145</v>
      </c>
      <c r="C90" s="278"/>
      <c r="D90" s="278"/>
      <c r="E90" s="119">
        <v>0</v>
      </c>
      <c r="F90" s="126">
        <f>SUM(G90:K90)</f>
        <v>4273.514000000001</v>
      </c>
      <c r="G90" s="119">
        <f>10317.004-6043.49</f>
        <v>4273.514000000001</v>
      </c>
      <c r="H90" s="119">
        <v>0</v>
      </c>
      <c r="I90" s="119">
        <v>0</v>
      </c>
      <c r="J90" s="119">
        <v>0</v>
      </c>
      <c r="K90" s="119">
        <v>0</v>
      </c>
      <c r="L90" s="22"/>
    </row>
    <row r="91" spans="1:13" ht="18.75" x14ac:dyDescent="0.3">
      <c r="B91" s="277" t="s">
        <v>146</v>
      </c>
      <c r="C91" s="278"/>
      <c r="D91" s="278"/>
      <c r="E91" s="119">
        <v>0</v>
      </c>
      <c r="F91" s="126">
        <f t="shared" ref="F91:F97" si="34">SUM(G91:K91)</f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22"/>
    </row>
    <row r="92" spans="1:13" ht="18.75" x14ac:dyDescent="0.3">
      <c r="B92" s="282" t="s">
        <v>147</v>
      </c>
      <c r="C92" s="283"/>
      <c r="D92" s="283"/>
      <c r="E92" s="120">
        <f t="shared" ref="E92" si="35">SUM(E90:E91)</f>
        <v>0</v>
      </c>
      <c r="F92" s="126">
        <f t="shared" si="34"/>
        <v>4273.514000000001</v>
      </c>
      <c r="G92" s="120">
        <f>SUM(G90:G91)</f>
        <v>4273.514000000001</v>
      </c>
      <c r="H92" s="120">
        <f t="shared" ref="H92:K92" si="36">SUM(H90:H91)</f>
        <v>0</v>
      </c>
      <c r="I92" s="120">
        <f t="shared" si="36"/>
        <v>0</v>
      </c>
      <c r="J92" s="120">
        <f t="shared" si="36"/>
        <v>0</v>
      </c>
      <c r="K92" s="120">
        <f t="shared" si="36"/>
        <v>0</v>
      </c>
      <c r="L92" s="22"/>
    </row>
    <row r="93" spans="1:13" ht="18.75" x14ac:dyDescent="0.3">
      <c r="B93" s="277" t="s">
        <v>71</v>
      </c>
      <c r="C93" s="278"/>
      <c r="D93" s="278"/>
      <c r="E93" s="119">
        <f t="shared" ref="E93" si="37">E80</f>
        <v>5515.06754</v>
      </c>
      <c r="F93" s="126">
        <f t="shared" si="34"/>
        <v>961179.35211999994</v>
      </c>
      <c r="G93" s="119">
        <f>G80</f>
        <v>102667.7975</v>
      </c>
      <c r="H93" s="119">
        <f t="shared" ref="H93:K93" si="38">H80</f>
        <v>282051.55886999995</v>
      </c>
      <c r="I93" s="119">
        <f t="shared" si="38"/>
        <v>296321.99575</v>
      </c>
      <c r="J93" s="119">
        <f t="shared" si="38"/>
        <v>140069</v>
      </c>
      <c r="K93" s="119">
        <f t="shared" si="38"/>
        <v>140069</v>
      </c>
    </row>
    <row r="94" spans="1:13" ht="18.75" x14ac:dyDescent="0.3">
      <c r="B94" s="277" t="s">
        <v>41</v>
      </c>
      <c r="C94" s="278"/>
      <c r="D94" s="278"/>
      <c r="E94" s="119">
        <f t="shared" ref="E94" si="39">E81-E87-E91</f>
        <v>3454954.3558499999</v>
      </c>
      <c r="F94" s="126">
        <f t="shared" si="34"/>
        <v>18614594.647879999</v>
      </c>
      <c r="G94" s="119">
        <f>G81-G87-G91</f>
        <v>3708141.2024999997</v>
      </c>
      <c r="H94" s="119">
        <f t="shared" ref="H94:K94" si="40">H81-H87-H91</f>
        <v>3718181.4411299997</v>
      </c>
      <c r="I94" s="119">
        <f t="shared" si="40"/>
        <v>3675116.0042500002</v>
      </c>
      <c r="J94" s="119">
        <f t="shared" si="40"/>
        <v>3757418</v>
      </c>
      <c r="K94" s="119">
        <f t="shared" si="40"/>
        <v>3755738</v>
      </c>
    </row>
    <row r="95" spans="1:13" ht="18.75" x14ac:dyDescent="0.3">
      <c r="B95" s="277" t="s">
        <v>40</v>
      </c>
      <c r="C95" s="278"/>
      <c r="D95" s="278"/>
      <c r="E95" s="119">
        <f t="shared" ref="E95" si="41">E82-E88-E90</f>
        <v>805697.33238000004</v>
      </c>
      <c r="F95" s="126">
        <f t="shared" si="34"/>
        <v>6190667.2078999998</v>
      </c>
      <c r="G95" s="119">
        <f>G82-G88-G90</f>
        <v>1431422.6807600004</v>
      </c>
      <c r="H95" s="119">
        <f t="shared" ref="H95:K95" si="42">H82-H88-H90</f>
        <v>1155596.65925</v>
      </c>
      <c r="I95" s="119">
        <f t="shared" si="42"/>
        <v>1159188.8248899998</v>
      </c>
      <c r="J95" s="119">
        <f t="shared" si="42"/>
        <v>1226883.7749999999</v>
      </c>
      <c r="K95" s="119">
        <f t="shared" si="42"/>
        <v>1217575.2679999999</v>
      </c>
    </row>
    <row r="96" spans="1:13" ht="18.75" x14ac:dyDescent="0.3">
      <c r="B96" s="277" t="s">
        <v>26</v>
      </c>
      <c r="C96" s="278"/>
      <c r="D96" s="278"/>
      <c r="E96" s="119">
        <f t="shared" ref="E96" si="43">E84</f>
        <v>262352.43170000002</v>
      </c>
      <c r="F96" s="126">
        <f t="shared" si="34"/>
        <v>1404324.6257</v>
      </c>
      <c r="G96" s="119">
        <f>G84</f>
        <v>231961.41082000005</v>
      </c>
      <c r="H96" s="119">
        <f t="shared" ref="H96:K96" si="44">H84</f>
        <v>293090.80372000003</v>
      </c>
      <c r="I96" s="119">
        <f t="shared" si="44"/>
        <v>293090.80372000003</v>
      </c>
      <c r="J96" s="119">
        <f t="shared" si="44"/>
        <v>293090.80372000003</v>
      </c>
      <c r="K96" s="119">
        <f t="shared" si="44"/>
        <v>293090.80372000003</v>
      </c>
    </row>
    <row r="97" spans="2:11" ht="18.75" x14ac:dyDescent="0.3">
      <c r="B97" s="277" t="s">
        <v>33</v>
      </c>
      <c r="C97" s="278"/>
      <c r="D97" s="278"/>
      <c r="E97" s="119">
        <f t="shared" ref="E97" si="45">E85</f>
        <v>8751.5480000000007</v>
      </c>
      <c r="F97" s="126">
        <f t="shared" si="34"/>
        <v>2902.8429999999998</v>
      </c>
      <c r="G97" s="119">
        <f>G85</f>
        <v>473.45499999999998</v>
      </c>
      <c r="H97" s="119">
        <f t="shared" ref="H97:K97" si="46">H85</f>
        <v>607.34699999999998</v>
      </c>
      <c r="I97" s="119">
        <f t="shared" si="46"/>
        <v>607.34699999999998</v>
      </c>
      <c r="J97" s="119">
        <f t="shared" si="46"/>
        <v>607.34699999999998</v>
      </c>
      <c r="K97" s="119">
        <f t="shared" si="46"/>
        <v>607.34699999999998</v>
      </c>
    </row>
    <row r="98" spans="2:11" ht="18.75" x14ac:dyDescent="0.3">
      <c r="B98" s="282" t="s">
        <v>42</v>
      </c>
      <c r="C98" s="283"/>
      <c r="D98" s="283"/>
      <c r="E98" s="120">
        <f t="shared" ref="E98:K98" si="47">SUM(E93:E97)</f>
        <v>4537270.7354699997</v>
      </c>
      <c r="F98" s="126">
        <f t="shared" si="47"/>
        <v>27173668.676599998</v>
      </c>
      <c r="G98" s="120">
        <f t="shared" si="47"/>
        <v>5474666.5465799998</v>
      </c>
      <c r="H98" s="120">
        <f t="shared" si="47"/>
        <v>5449527.8099699998</v>
      </c>
      <c r="I98" s="131">
        <f t="shared" si="47"/>
        <v>5424324.9756100001</v>
      </c>
      <c r="J98" s="120">
        <f t="shared" si="47"/>
        <v>5418068.9257200006</v>
      </c>
      <c r="K98" s="120">
        <f t="shared" si="47"/>
        <v>5407080.4187200004</v>
      </c>
    </row>
    <row r="99" spans="2:11" x14ac:dyDescent="0.25">
      <c r="F99" s="23"/>
    </row>
    <row r="100" spans="2:11" x14ac:dyDescent="0.25">
      <c r="F100" s="197">
        <f>F89+F92+F98</f>
        <v>27328350.841599997</v>
      </c>
      <c r="G100" s="118">
        <f>G89+G92+G98</f>
        <v>5508819.1595799997</v>
      </c>
      <c r="H100" s="118">
        <f t="shared" ref="H100:K100" si="48">H89+H92+H98</f>
        <v>5479660.1979700001</v>
      </c>
      <c r="I100" s="118">
        <f t="shared" si="48"/>
        <v>5454457.3636100003</v>
      </c>
      <c r="J100" s="118">
        <f t="shared" si="48"/>
        <v>5448201.3137200009</v>
      </c>
      <c r="K100" s="118">
        <f t="shared" si="48"/>
        <v>5437212.8067200007</v>
      </c>
    </row>
    <row r="101" spans="2:11" ht="15.75" x14ac:dyDescent="0.25">
      <c r="H101" s="98"/>
      <c r="I101" s="97"/>
      <c r="J101" s="16"/>
      <c r="K101" s="16"/>
    </row>
    <row r="102" spans="2:11" ht="15.75" x14ac:dyDescent="0.25">
      <c r="G102" s="118"/>
      <c r="H102" s="98"/>
    </row>
    <row r="103" spans="2:11" ht="15.75" x14ac:dyDescent="0.25">
      <c r="H103" s="98">
        <v>1219793.196</v>
      </c>
      <c r="I103" s="99">
        <v>1221758.808</v>
      </c>
      <c r="J103" s="5">
        <v>1216477.405</v>
      </c>
    </row>
    <row r="104" spans="2:11" x14ac:dyDescent="0.25">
      <c r="H104" s="97">
        <f>H95-H103</f>
        <v>-64196.53674999997</v>
      </c>
      <c r="I104" s="97">
        <f t="shared" ref="I104:J104" si="49">I95-I103</f>
        <v>-62569.983110000147</v>
      </c>
      <c r="J104" s="97">
        <f t="shared" si="49"/>
        <v>10406.369999999879</v>
      </c>
    </row>
    <row r="105" spans="2:11" x14ac:dyDescent="0.25">
      <c r="H105" s="97"/>
    </row>
    <row r="107" spans="2:11" x14ac:dyDescent="0.25">
      <c r="H107" s="102"/>
    </row>
    <row r="108" spans="2:11" x14ac:dyDescent="0.25">
      <c r="H108" s="102"/>
    </row>
    <row r="109" spans="2:11" x14ac:dyDescent="0.25">
      <c r="H109" s="102"/>
    </row>
  </sheetData>
  <mergeCells count="137">
    <mergeCell ref="A49:A50"/>
    <mergeCell ref="B49:B50"/>
    <mergeCell ref="C49:C50"/>
    <mergeCell ref="L49:L50"/>
    <mergeCell ref="M49:M50"/>
    <mergeCell ref="A51:A53"/>
    <mergeCell ref="B51:B53"/>
    <mergeCell ref="C51:C53"/>
    <mergeCell ref="L51:L53"/>
    <mergeCell ref="M51:M53"/>
    <mergeCell ref="B28:B30"/>
    <mergeCell ref="C28:C30"/>
    <mergeCell ref="M28:M30"/>
    <mergeCell ref="L28:L30"/>
    <mergeCell ref="B31:B32"/>
    <mergeCell ref="A31:A32"/>
    <mergeCell ref="C31:C32"/>
    <mergeCell ref="L31:L32"/>
    <mergeCell ref="M31:M32"/>
    <mergeCell ref="L64:L65"/>
    <mergeCell ref="M64:M65"/>
    <mergeCell ref="M68:M69"/>
    <mergeCell ref="L68:L69"/>
    <mergeCell ref="A61:A63"/>
    <mergeCell ref="C61:C63"/>
    <mergeCell ref="L61:L63"/>
    <mergeCell ref="M61:M63"/>
    <mergeCell ref="B61:B63"/>
    <mergeCell ref="L66:L67"/>
    <mergeCell ref="M66:M67"/>
    <mergeCell ref="A68:A69"/>
    <mergeCell ref="B68:B69"/>
    <mergeCell ref="C68:C69"/>
    <mergeCell ref="A66:A67"/>
    <mergeCell ref="B66:B67"/>
    <mergeCell ref="C66:C67"/>
    <mergeCell ref="A64:A65"/>
    <mergeCell ref="B64:B65"/>
    <mergeCell ref="C64:C65"/>
    <mergeCell ref="L70:L72"/>
    <mergeCell ref="M70:M72"/>
    <mergeCell ref="L57:L60"/>
    <mergeCell ref="M57:M60"/>
    <mergeCell ref="A33:A34"/>
    <mergeCell ref="B33:B34"/>
    <mergeCell ref="C33:C34"/>
    <mergeCell ref="L33:L34"/>
    <mergeCell ref="A47:A48"/>
    <mergeCell ref="B47:B48"/>
    <mergeCell ref="C47:C48"/>
    <mergeCell ref="L45:L46"/>
    <mergeCell ref="M33:M34"/>
    <mergeCell ref="M36:M39"/>
    <mergeCell ref="M45:M46"/>
    <mergeCell ref="L36:L39"/>
    <mergeCell ref="A54:A55"/>
    <mergeCell ref="B54:B55"/>
    <mergeCell ref="L54:L55"/>
    <mergeCell ref="M54:M55"/>
    <mergeCell ref="A40:A41"/>
    <mergeCell ref="B40:B41"/>
    <mergeCell ref="M42:M43"/>
    <mergeCell ref="L42:L43"/>
    <mergeCell ref="A9:M9"/>
    <mergeCell ref="L10:L16"/>
    <mergeCell ref="M10:M16"/>
    <mergeCell ref="L19:L22"/>
    <mergeCell ref="A36:A39"/>
    <mergeCell ref="L47:L48"/>
    <mergeCell ref="M47:M48"/>
    <mergeCell ref="M19:M22"/>
    <mergeCell ref="L2:M2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E1:G2"/>
    <mergeCell ref="C40:C41"/>
    <mergeCell ref="L40:L41"/>
    <mergeCell ref="M40:M41"/>
    <mergeCell ref="A42:A43"/>
    <mergeCell ref="A80:D80"/>
    <mergeCell ref="B93:D93"/>
    <mergeCell ref="A10:A16"/>
    <mergeCell ref="B10:B16"/>
    <mergeCell ref="C10:C16"/>
    <mergeCell ref="B36:B39"/>
    <mergeCell ref="C36:C39"/>
    <mergeCell ref="A57:A60"/>
    <mergeCell ref="A19:A22"/>
    <mergeCell ref="B19:B22"/>
    <mergeCell ref="C19:C22"/>
    <mergeCell ref="A79:D79"/>
    <mergeCell ref="A45:A46"/>
    <mergeCell ref="B45:B46"/>
    <mergeCell ref="C45:C46"/>
    <mergeCell ref="C54:C55"/>
    <mergeCell ref="B57:B60"/>
    <mergeCell ref="C57:C60"/>
    <mergeCell ref="A70:A72"/>
    <mergeCell ref="B70:B72"/>
    <mergeCell ref="C70:C72"/>
    <mergeCell ref="C42:C43"/>
    <mergeCell ref="B42:B43"/>
    <mergeCell ref="A28:A30"/>
    <mergeCell ref="B98:D98"/>
    <mergeCell ref="A82:D82"/>
    <mergeCell ref="A81:D81"/>
    <mergeCell ref="B96:D96"/>
    <mergeCell ref="B97:D97"/>
    <mergeCell ref="B88:D88"/>
    <mergeCell ref="B87:D87"/>
    <mergeCell ref="B89:D89"/>
    <mergeCell ref="A85:D85"/>
    <mergeCell ref="A84:D84"/>
    <mergeCell ref="B95:D95"/>
    <mergeCell ref="B94:D94"/>
    <mergeCell ref="B90:D90"/>
    <mergeCell ref="B91:D91"/>
    <mergeCell ref="B92:D92"/>
    <mergeCell ref="A83:D83"/>
    <mergeCell ref="L77:L78"/>
    <mergeCell ref="M77:M78"/>
    <mergeCell ref="A74:A76"/>
    <mergeCell ref="B74:B76"/>
    <mergeCell ref="C74:C76"/>
    <mergeCell ref="L74:L76"/>
    <mergeCell ref="M74:M76"/>
    <mergeCell ref="A77:A78"/>
    <mergeCell ref="B77:B78"/>
    <mergeCell ref="C77:C78"/>
  </mergeCells>
  <pageMargins left="0.19685039370078741" right="0.19685039370078741" top="0.59055118110236227" bottom="0.19685039370078741" header="0.39370078740157483" footer="0"/>
  <pageSetup paperSize="9" scale="45" firstPageNumber="5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18" max="12" man="1"/>
    <brk id="27" max="12" man="1"/>
    <brk id="55" max="12" man="1"/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93"/>
  <sheetViews>
    <sheetView view="pageBreakPreview" topLeftCell="A58" zoomScale="70" zoomScaleNormal="70" zoomScaleSheetLayoutView="70" workbookViewId="0">
      <selection activeCell="F9" sqref="F9"/>
    </sheetView>
  </sheetViews>
  <sheetFormatPr defaultColWidth="9.140625" defaultRowHeight="15" x14ac:dyDescent="0.25"/>
  <cols>
    <col min="1" max="1" width="8.28515625" style="5" customWidth="1"/>
    <col min="2" max="2" width="66.28515625" style="5" customWidth="1"/>
    <col min="3" max="3" width="18.5703125" style="50" customWidth="1"/>
    <col min="4" max="4" width="31.140625" style="5" customWidth="1"/>
    <col min="5" max="5" width="20.7109375" style="5" customWidth="1"/>
    <col min="6" max="6" width="21.7109375" style="27" customWidth="1"/>
    <col min="7" max="7" width="18" style="5" customWidth="1"/>
    <col min="8" max="9" width="18" style="99" customWidth="1"/>
    <col min="10" max="11" width="18" style="5" customWidth="1"/>
    <col min="12" max="12" width="23.42578125" style="5" customWidth="1"/>
    <col min="13" max="13" width="34.85546875" style="5" customWidth="1"/>
    <col min="14" max="16" width="23.140625" style="5" hidden="1" customWidth="1"/>
    <col min="17" max="17" width="20" style="5" hidden="1" customWidth="1"/>
    <col min="18" max="18" width="23.42578125" style="28" customWidth="1"/>
    <col min="19" max="20" width="9.140625" style="28" customWidth="1"/>
    <col min="21" max="28" width="9.140625" style="28"/>
    <col min="29" max="16384" width="9.140625" style="5"/>
  </cols>
  <sheetData>
    <row r="1" spans="1:20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20" ht="15.75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361"/>
      <c r="M2" s="361"/>
      <c r="N2" s="110"/>
      <c r="O2" s="110"/>
      <c r="P2" s="110"/>
    </row>
    <row r="3" spans="1:20" ht="15.75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  <c r="N3" s="110"/>
      <c r="O3" s="110"/>
      <c r="P3" s="110"/>
    </row>
    <row r="4" spans="1:20" ht="15.75" customHeight="1" x14ac:dyDescent="0.25">
      <c r="A4" s="418" t="s">
        <v>0</v>
      </c>
      <c r="B4" s="411" t="s">
        <v>8</v>
      </c>
      <c r="C4" s="411" t="s">
        <v>94</v>
      </c>
      <c r="D4" s="411" t="s">
        <v>9</v>
      </c>
      <c r="E4" s="411" t="s">
        <v>74</v>
      </c>
      <c r="F4" s="421" t="s">
        <v>10</v>
      </c>
      <c r="G4" s="411" t="s">
        <v>23</v>
      </c>
      <c r="H4" s="411"/>
      <c r="I4" s="411"/>
      <c r="J4" s="411"/>
      <c r="K4" s="411"/>
      <c r="L4" s="417" t="s">
        <v>11</v>
      </c>
      <c r="M4" s="413" t="s">
        <v>4</v>
      </c>
      <c r="N4" s="82"/>
      <c r="O4" s="82"/>
      <c r="P4" s="82"/>
    </row>
    <row r="5" spans="1:20" ht="15.75" customHeight="1" x14ac:dyDescent="0.25">
      <c r="A5" s="419"/>
      <c r="B5" s="412"/>
      <c r="C5" s="412"/>
      <c r="D5" s="420"/>
      <c r="E5" s="412"/>
      <c r="F5" s="422"/>
      <c r="G5" s="412"/>
      <c r="H5" s="412"/>
      <c r="I5" s="412"/>
      <c r="J5" s="412"/>
      <c r="K5" s="412"/>
      <c r="L5" s="416"/>
      <c r="M5" s="414"/>
      <c r="N5" s="82"/>
      <c r="O5" s="82"/>
      <c r="P5" s="82"/>
    </row>
    <row r="6" spans="1:20" ht="46.5" customHeight="1" x14ac:dyDescent="0.25">
      <c r="A6" s="419"/>
      <c r="B6" s="412"/>
      <c r="C6" s="420"/>
      <c r="D6" s="420"/>
      <c r="E6" s="412"/>
      <c r="F6" s="422"/>
      <c r="G6" s="258" t="s">
        <v>59</v>
      </c>
      <c r="H6" s="103" t="s">
        <v>60</v>
      </c>
      <c r="I6" s="103" t="s">
        <v>75</v>
      </c>
      <c r="J6" s="258" t="s">
        <v>76</v>
      </c>
      <c r="K6" s="258" t="s">
        <v>77</v>
      </c>
      <c r="L6" s="416"/>
      <c r="M6" s="414"/>
      <c r="N6" s="82" t="s">
        <v>69</v>
      </c>
      <c r="O6" s="82" t="s">
        <v>70</v>
      </c>
      <c r="P6" s="82"/>
    </row>
    <row r="7" spans="1:20" ht="21" customHeight="1" x14ac:dyDescent="0.25">
      <c r="A7" s="12">
        <v>1</v>
      </c>
      <c r="B7" s="13">
        <v>2</v>
      </c>
      <c r="C7" s="13" t="s">
        <v>12</v>
      </c>
      <c r="D7" s="13" t="s">
        <v>58</v>
      </c>
      <c r="E7" s="13" t="s">
        <v>13</v>
      </c>
      <c r="F7" s="14" t="s">
        <v>55</v>
      </c>
      <c r="G7" s="13" t="s">
        <v>14</v>
      </c>
      <c r="H7" s="96" t="s">
        <v>56</v>
      </c>
      <c r="I7" s="96" t="s">
        <v>15</v>
      </c>
      <c r="J7" s="13" t="s">
        <v>16</v>
      </c>
      <c r="K7" s="13" t="s">
        <v>19</v>
      </c>
      <c r="L7" s="13" t="s">
        <v>20</v>
      </c>
      <c r="M7" s="15" t="s">
        <v>25</v>
      </c>
      <c r="N7" s="80"/>
      <c r="O7" s="80"/>
      <c r="P7" s="80"/>
    </row>
    <row r="8" spans="1:20" ht="33" customHeight="1" x14ac:dyDescent="0.25">
      <c r="A8" s="415" t="s">
        <v>187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4"/>
      <c r="N8" s="82"/>
      <c r="O8" s="82"/>
      <c r="P8" s="82"/>
    </row>
    <row r="9" spans="1:20" s="99" customFormat="1" ht="37.5" customHeight="1" x14ac:dyDescent="0.25">
      <c r="A9" s="336" t="s">
        <v>18</v>
      </c>
      <c r="B9" s="337" t="s">
        <v>130</v>
      </c>
      <c r="C9" s="337" t="s">
        <v>78</v>
      </c>
      <c r="D9" s="246" t="s">
        <v>5</v>
      </c>
      <c r="E9" s="113">
        <f>E10</f>
        <v>1000</v>
      </c>
      <c r="F9" s="127">
        <f>SUM(G9:K9)</f>
        <v>5000</v>
      </c>
      <c r="G9" s="113">
        <f t="shared" ref="G9:K10" si="0">G10</f>
        <v>1000</v>
      </c>
      <c r="H9" s="113">
        <f t="shared" si="0"/>
        <v>1000</v>
      </c>
      <c r="I9" s="113">
        <f t="shared" si="0"/>
        <v>1000</v>
      </c>
      <c r="J9" s="113">
        <f t="shared" si="0"/>
        <v>1000</v>
      </c>
      <c r="K9" s="113">
        <f t="shared" si="0"/>
        <v>1000</v>
      </c>
      <c r="L9" s="338"/>
      <c r="M9" s="339"/>
      <c r="N9" s="188"/>
      <c r="O9" s="188"/>
      <c r="P9" s="188"/>
    </row>
    <row r="10" spans="1:20" s="99" customFormat="1" ht="58.5" customHeight="1" x14ac:dyDescent="0.25">
      <c r="A10" s="336"/>
      <c r="B10" s="337"/>
      <c r="C10" s="337"/>
      <c r="D10" s="246" t="s">
        <v>82</v>
      </c>
      <c r="E10" s="171">
        <f>E11</f>
        <v>1000</v>
      </c>
      <c r="F10" s="127">
        <f>SUM(G10:K10)</f>
        <v>5000</v>
      </c>
      <c r="G10" s="171">
        <f t="shared" si="0"/>
        <v>1000</v>
      </c>
      <c r="H10" s="171">
        <f t="shared" si="0"/>
        <v>1000</v>
      </c>
      <c r="I10" s="171">
        <f t="shared" si="0"/>
        <v>1000</v>
      </c>
      <c r="J10" s="171">
        <f t="shared" si="0"/>
        <v>1000</v>
      </c>
      <c r="K10" s="171">
        <f t="shared" si="0"/>
        <v>1000</v>
      </c>
      <c r="L10" s="338"/>
      <c r="M10" s="339"/>
      <c r="N10" s="188"/>
      <c r="O10" s="188"/>
      <c r="P10" s="188"/>
    </row>
    <row r="11" spans="1:20" s="99" customFormat="1" ht="76.900000000000006" customHeight="1" x14ac:dyDescent="0.25">
      <c r="A11" s="247" t="s">
        <v>44</v>
      </c>
      <c r="B11" s="248" t="s">
        <v>224</v>
      </c>
      <c r="C11" s="249" t="s">
        <v>78</v>
      </c>
      <c r="D11" s="249" t="s">
        <v>83</v>
      </c>
      <c r="E11" s="169">
        <v>1000</v>
      </c>
      <c r="F11" s="127">
        <f t="shared" ref="F11:F43" si="1">SUM(G11:K11)</f>
        <v>5000</v>
      </c>
      <c r="G11" s="169">
        <v>1000</v>
      </c>
      <c r="H11" s="169">
        <v>1000</v>
      </c>
      <c r="I11" s="169">
        <v>1000</v>
      </c>
      <c r="J11" s="169">
        <v>1000</v>
      </c>
      <c r="K11" s="169">
        <v>1000</v>
      </c>
      <c r="L11" s="244" t="s">
        <v>6</v>
      </c>
      <c r="M11" s="245" t="s">
        <v>180</v>
      </c>
      <c r="N11" s="189">
        <v>0</v>
      </c>
      <c r="O11" s="190">
        <v>0</v>
      </c>
      <c r="P11" s="191">
        <f t="shared" ref="P11:P25" si="2">N11-O11</f>
        <v>0</v>
      </c>
    </row>
    <row r="12" spans="1:20" s="99" customFormat="1" ht="31.5" customHeight="1" x14ac:dyDescent="0.3">
      <c r="A12" s="276" t="s">
        <v>254</v>
      </c>
      <c r="B12" s="281" t="s">
        <v>131</v>
      </c>
      <c r="C12" s="309" t="s">
        <v>78</v>
      </c>
      <c r="D12" s="162" t="s">
        <v>5</v>
      </c>
      <c r="E12" s="163">
        <f>E13+E14</f>
        <v>88624.948039999988</v>
      </c>
      <c r="F12" s="127">
        <f t="shared" ref="F12:F16" si="3">SUM(G12:K12)</f>
        <v>2806273.7626299998</v>
      </c>
      <c r="G12" s="163">
        <f>G13+G14</f>
        <v>543859.64962999988</v>
      </c>
      <c r="H12" s="163">
        <f>H13+H14</f>
        <v>566143.84400000004</v>
      </c>
      <c r="I12" s="163">
        <f>I13+I14</f>
        <v>565423.42299999995</v>
      </c>
      <c r="J12" s="163">
        <f>J13+J14</f>
        <v>565423.42299999995</v>
      </c>
      <c r="K12" s="163">
        <f>K13+K14</f>
        <v>565423.42299999995</v>
      </c>
      <c r="L12" s="312"/>
      <c r="M12" s="308"/>
      <c r="N12" s="192"/>
      <c r="O12" s="192"/>
      <c r="P12" s="192"/>
    </row>
    <row r="13" spans="1:20" s="99" customFormat="1" ht="56.25" x14ac:dyDescent="0.3">
      <c r="A13" s="276"/>
      <c r="B13" s="281"/>
      <c r="C13" s="309"/>
      <c r="D13" s="239" t="s">
        <v>81</v>
      </c>
      <c r="E13" s="165">
        <f>E15+E17+E18+E19+E20</f>
        <v>74745.548039999994</v>
      </c>
      <c r="F13" s="127">
        <f t="shared" si="3"/>
        <v>2335506.6139799994</v>
      </c>
      <c r="G13" s="165">
        <f t="shared" ref="G13:K13" si="4">G15+G17+G18+G19+G20</f>
        <v>459197.61697999993</v>
      </c>
      <c r="H13" s="165">
        <f t="shared" si="4"/>
        <v>469617.565</v>
      </c>
      <c r="I13" s="165">
        <f t="shared" si="4"/>
        <v>468897.14399999997</v>
      </c>
      <c r="J13" s="165">
        <f t="shared" si="4"/>
        <v>468897.14399999997</v>
      </c>
      <c r="K13" s="165">
        <f t="shared" si="4"/>
        <v>468897.14399999997</v>
      </c>
      <c r="L13" s="312"/>
      <c r="M13" s="308"/>
      <c r="N13" s="192"/>
      <c r="O13" s="192"/>
      <c r="P13" s="192"/>
      <c r="Q13" s="97"/>
    </row>
    <row r="14" spans="1:20" s="99" customFormat="1" ht="75" x14ac:dyDescent="0.3">
      <c r="A14" s="276"/>
      <c r="B14" s="281"/>
      <c r="C14" s="309"/>
      <c r="D14" s="234" t="s">
        <v>26</v>
      </c>
      <c r="E14" s="166">
        <f>E16</f>
        <v>13879.4</v>
      </c>
      <c r="F14" s="127">
        <f t="shared" si="3"/>
        <v>470767.14864999999</v>
      </c>
      <c r="G14" s="166">
        <f t="shared" ref="G14:K14" si="5">G16</f>
        <v>84662.032650000008</v>
      </c>
      <c r="H14" s="166">
        <f t="shared" si="5"/>
        <v>96526.27900000001</v>
      </c>
      <c r="I14" s="166">
        <f t="shared" si="5"/>
        <v>96526.27900000001</v>
      </c>
      <c r="J14" s="166">
        <f t="shared" si="5"/>
        <v>96526.27900000001</v>
      </c>
      <c r="K14" s="166">
        <f t="shared" si="5"/>
        <v>96526.27900000001</v>
      </c>
      <c r="L14" s="312"/>
      <c r="M14" s="308"/>
      <c r="N14" s="192"/>
      <c r="O14" s="192"/>
      <c r="P14" s="192"/>
      <c r="R14" s="97"/>
      <c r="S14" s="193"/>
      <c r="T14" s="193"/>
    </row>
    <row r="15" spans="1:20" s="99" customFormat="1" ht="60" customHeight="1" x14ac:dyDescent="0.25">
      <c r="A15" s="321" t="s">
        <v>48</v>
      </c>
      <c r="B15" s="323" t="s">
        <v>175</v>
      </c>
      <c r="C15" s="275" t="s">
        <v>78</v>
      </c>
      <c r="D15" s="236" t="s">
        <v>81</v>
      </c>
      <c r="E15" s="157">
        <v>74745.548039999994</v>
      </c>
      <c r="F15" s="127">
        <f t="shared" si="3"/>
        <v>2313178.2199799996</v>
      </c>
      <c r="G15" s="230">
        <f>94313.663+826+375808.1-4392+416.394-416.394-3674-5175.2291-0.62092+1284.7+1163.01-5864.4+100</f>
        <v>454389.22297999996</v>
      </c>
      <c r="H15" s="158">
        <f>85063.651+379358.914+815</f>
        <v>465237.565</v>
      </c>
      <c r="I15" s="158">
        <f>84343.23+379358.914+815</f>
        <v>464517.14399999997</v>
      </c>
      <c r="J15" s="158">
        <f>84343.23+379358.914+815</f>
        <v>464517.14399999997</v>
      </c>
      <c r="K15" s="158">
        <f>84343.23+379358.914+815</f>
        <v>464517.14399999997</v>
      </c>
      <c r="L15" s="294" t="s">
        <v>142</v>
      </c>
      <c r="M15" s="300" t="s">
        <v>181</v>
      </c>
      <c r="N15" s="189">
        <v>1441905</v>
      </c>
      <c r="O15" s="194">
        <v>1369809</v>
      </c>
      <c r="P15" s="194">
        <f t="shared" ref="P15" si="6">N15-O15</f>
        <v>72096</v>
      </c>
      <c r="R15" s="99" t="s">
        <v>270</v>
      </c>
    </row>
    <row r="16" spans="1:20" s="99" customFormat="1" ht="78.75" customHeight="1" x14ac:dyDescent="0.25">
      <c r="A16" s="321"/>
      <c r="B16" s="323"/>
      <c r="C16" s="275"/>
      <c r="D16" s="236" t="s">
        <v>26</v>
      </c>
      <c r="E16" s="157">
        <v>13879.4</v>
      </c>
      <c r="F16" s="127">
        <f t="shared" si="3"/>
        <v>470767.14864999999</v>
      </c>
      <c r="G16" s="158">
        <f>23525.8+67644.22765+4275-3353.795-7429.2</f>
        <v>84662.032650000008</v>
      </c>
      <c r="H16" s="158">
        <f>23525.8+68725.479+4275</f>
        <v>96526.27900000001</v>
      </c>
      <c r="I16" s="158">
        <f>23525.8+68725.479+4275</f>
        <v>96526.27900000001</v>
      </c>
      <c r="J16" s="158">
        <f>23525.8+68725.479+4275</f>
        <v>96526.27900000001</v>
      </c>
      <c r="K16" s="158">
        <f>23525.8+68725.479+4275</f>
        <v>96526.27900000001</v>
      </c>
      <c r="L16" s="294"/>
      <c r="M16" s="300"/>
      <c r="N16" s="194"/>
      <c r="O16" s="194"/>
      <c r="P16" s="194"/>
    </row>
    <row r="17" spans="1:18" s="99" customFormat="1" ht="243.75" x14ac:dyDescent="0.25">
      <c r="A17" s="226" t="s">
        <v>49</v>
      </c>
      <c r="B17" s="159" t="s">
        <v>211</v>
      </c>
      <c r="C17" s="160" t="s">
        <v>78</v>
      </c>
      <c r="D17" s="232" t="s">
        <v>81</v>
      </c>
      <c r="E17" s="158">
        <v>0</v>
      </c>
      <c r="F17" s="139">
        <f t="shared" ref="F17:F19" si="7">SUM(G17:K17)</f>
        <v>416.39400000000001</v>
      </c>
      <c r="G17" s="158">
        <v>416.39400000000001</v>
      </c>
      <c r="H17" s="158">
        <v>0</v>
      </c>
      <c r="I17" s="158">
        <v>0</v>
      </c>
      <c r="J17" s="158">
        <v>0</v>
      </c>
      <c r="K17" s="158">
        <v>0</v>
      </c>
      <c r="L17" s="161" t="s">
        <v>6</v>
      </c>
      <c r="M17" s="238" t="s">
        <v>247</v>
      </c>
    </row>
    <row r="18" spans="1:18" s="99" customFormat="1" ht="106.5" customHeight="1" x14ac:dyDescent="0.25">
      <c r="A18" s="226" t="s">
        <v>50</v>
      </c>
      <c r="B18" s="159" t="s">
        <v>212</v>
      </c>
      <c r="C18" s="160" t="s">
        <v>78</v>
      </c>
      <c r="D18" s="232" t="s">
        <v>81</v>
      </c>
      <c r="E18" s="158">
        <v>0</v>
      </c>
      <c r="F18" s="139">
        <f t="shared" si="7"/>
        <v>21912</v>
      </c>
      <c r="G18" s="158">
        <v>4392</v>
      </c>
      <c r="H18" s="158">
        <v>4380</v>
      </c>
      <c r="I18" s="158">
        <v>4380</v>
      </c>
      <c r="J18" s="158">
        <v>4380</v>
      </c>
      <c r="K18" s="158">
        <v>4380</v>
      </c>
      <c r="L18" s="161" t="s">
        <v>6</v>
      </c>
      <c r="M18" s="238" t="s">
        <v>213</v>
      </c>
    </row>
    <row r="19" spans="1:18" s="99" customFormat="1" ht="56.25" x14ac:dyDescent="0.25">
      <c r="A19" s="226" t="s">
        <v>51</v>
      </c>
      <c r="B19" s="159" t="s">
        <v>108</v>
      </c>
      <c r="C19" s="160" t="s">
        <v>78</v>
      </c>
      <c r="D19" s="232" t="s">
        <v>81</v>
      </c>
      <c r="E19" s="158">
        <v>0</v>
      </c>
      <c r="F19" s="139">
        <f t="shared" si="7"/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61" t="s">
        <v>6</v>
      </c>
      <c r="M19" s="238" t="s">
        <v>108</v>
      </c>
    </row>
    <row r="20" spans="1:18" s="99" customFormat="1" ht="177" customHeight="1" x14ac:dyDescent="0.25">
      <c r="A20" s="255" t="s">
        <v>196</v>
      </c>
      <c r="B20" s="256" t="s">
        <v>154</v>
      </c>
      <c r="C20" s="257" t="s">
        <v>78</v>
      </c>
      <c r="D20" s="233" t="s">
        <v>81</v>
      </c>
      <c r="E20" s="170">
        <v>0</v>
      </c>
      <c r="F20" s="127">
        <f t="shared" ref="F20" si="8">SUM(G20:K20)</f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252" t="s">
        <v>6</v>
      </c>
      <c r="M20" s="241" t="s">
        <v>116</v>
      </c>
      <c r="N20" s="195"/>
    </row>
    <row r="21" spans="1:18" s="99" customFormat="1" ht="27" customHeight="1" x14ac:dyDescent="0.25">
      <c r="A21" s="276" t="s">
        <v>12</v>
      </c>
      <c r="B21" s="281" t="s">
        <v>225</v>
      </c>
      <c r="C21" s="309" t="s">
        <v>78</v>
      </c>
      <c r="D21" s="162" t="s">
        <v>5</v>
      </c>
      <c r="E21" s="163">
        <f>E22+E23</f>
        <v>0</v>
      </c>
      <c r="F21" s="127">
        <f t="shared" si="1"/>
        <v>0</v>
      </c>
      <c r="G21" s="163">
        <f>G22+G23</f>
        <v>0</v>
      </c>
      <c r="H21" s="163">
        <f t="shared" ref="H21:K21" si="9">H22+H23</f>
        <v>0</v>
      </c>
      <c r="I21" s="163">
        <f t="shared" si="9"/>
        <v>0</v>
      </c>
      <c r="J21" s="163">
        <f t="shared" si="9"/>
        <v>0</v>
      </c>
      <c r="K21" s="163">
        <f t="shared" si="9"/>
        <v>0</v>
      </c>
      <c r="L21" s="314"/>
      <c r="M21" s="315"/>
      <c r="N21" s="189"/>
      <c r="O21" s="194">
        <v>503399.7</v>
      </c>
      <c r="P21" s="194">
        <f t="shared" si="2"/>
        <v>-503399.7</v>
      </c>
    </row>
    <row r="22" spans="1:18" s="99" customFormat="1" ht="36.75" customHeight="1" x14ac:dyDescent="0.25">
      <c r="A22" s="276"/>
      <c r="B22" s="281"/>
      <c r="C22" s="309"/>
      <c r="D22" s="239" t="s">
        <v>2</v>
      </c>
      <c r="E22" s="165">
        <f>E24+E26</f>
        <v>0</v>
      </c>
      <c r="F22" s="127">
        <f t="shared" si="1"/>
        <v>0</v>
      </c>
      <c r="G22" s="165">
        <f>G24+G26</f>
        <v>0</v>
      </c>
      <c r="H22" s="165">
        <f>H24+H26</f>
        <v>0</v>
      </c>
      <c r="I22" s="165">
        <f>I24+I26</f>
        <v>0</v>
      </c>
      <c r="J22" s="165">
        <f>J24+J26</f>
        <v>0</v>
      </c>
      <c r="K22" s="165">
        <f>K24+K26</f>
        <v>0</v>
      </c>
      <c r="L22" s="314"/>
      <c r="M22" s="315"/>
      <c r="N22" s="189">
        <v>67697</v>
      </c>
      <c r="O22" s="194">
        <v>67697</v>
      </c>
      <c r="P22" s="194">
        <f t="shared" si="2"/>
        <v>0</v>
      </c>
    </row>
    <row r="23" spans="1:18" s="99" customFormat="1" ht="57" customHeight="1" x14ac:dyDescent="0.25">
      <c r="A23" s="276"/>
      <c r="B23" s="281"/>
      <c r="C23" s="309"/>
      <c r="D23" s="239" t="s">
        <v>81</v>
      </c>
      <c r="E23" s="166">
        <f>E25+E27</f>
        <v>0</v>
      </c>
      <c r="F23" s="127">
        <f t="shared" si="1"/>
        <v>0</v>
      </c>
      <c r="G23" s="166">
        <f t="shared" ref="G23:K23" si="10">G25+G27</f>
        <v>0</v>
      </c>
      <c r="H23" s="166">
        <f t="shared" si="10"/>
        <v>0</v>
      </c>
      <c r="I23" s="166">
        <f t="shared" si="10"/>
        <v>0</v>
      </c>
      <c r="J23" s="166">
        <f t="shared" si="10"/>
        <v>0</v>
      </c>
      <c r="K23" s="166">
        <f t="shared" si="10"/>
        <v>0</v>
      </c>
      <c r="L23" s="314"/>
      <c r="M23" s="315"/>
      <c r="N23" s="189">
        <v>1326</v>
      </c>
      <c r="O23" s="194">
        <v>1326</v>
      </c>
      <c r="P23" s="194">
        <f t="shared" si="2"/>
        <v>0</v>
      </c>
    </row>
    <row r="24" spans="1:18" s="99" customFormat="1" ht="117.75" customHeight="1" x14ac:dyDescent="0.25">
      <c r="A24" s="296" t="s">
        <v>52</v>
      </c>
      <c r="B24" s="279" t="s">
        <v>143</v>
      </c>
      <c r="C24" s="280" t="s">
        <v>78</v>
      </c>
      <c r="D24" s="233" t="s">
        <v>2</v>
      </c>
      <c r="E24" s="156">
        <v>0</v>
      </c>
      <c r="F24" s="127">
        <f t="shared" si="1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324" t="s">
        <v>6</v>
      </c>
      <c r="M24" s="322" t="s">
        <v>143</v>
      </c>
      <c r="N24" s="189"/>
      <c r="O24" s="194">
        <v>0</v>
      </c>
      <c r="P24" s="194">
        <f t="shared" si="2"/>
        <v>0</v>
      </c>
      <c r="Q24" s="97"/>
      <c r="R24" s="97"/>
    </row>
    <row r="25" spans="1:18" s="99" customFormat="1" ht="117.75" customHeight="1" x14ac:dyDescent="0.25">
      <c r="A25" s="296"/>
      <c r="B25" s="279"/>
      <c r="C25" s="280"/>
      <c r="D25" s="233" t="s">
        <v>81</v>
      </c>
      <c r="E25" s="156">
        <v>0</v>
      </c>
      <c r="F25" s="127">
        <f t="shared" si="1"/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324"/>
      <c r="M25" s="322"/>
      <c r="N25" s="189"/>
      <c r="O25" s="194">
        <v>0</v>
      </c>
      <c r="P25" s="194">
        <f t="shared" si="2"/>
        <v>0</v>
      </c>
      <c r="Q25" s="97"/>
      <c r="R25" s="97"/>
    </row>
    <row r="26" spans="1:18" s="99" customFormat="1" ht="123.75" customHeight="1" x14ac:dyDescent="0.25">
      <c r="A26" s="429" t="s">
        <v>53</v>
      </c>
      <c r="B26" s="431" t="s">
        <v>214</v>
      </c>
      <c r="C26" s="433" t="s">
        <v>78</v>
      </c>
      <c r="D26" s="233" t="s">
        <v>2</v>
      </c>
      <c r="E26" s="170">
        <v>0</v>
      </c>
      <c r="F26" s="127">
        <f t="shared" si="1"/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377" t="s">
        <v>6</v>
      </c>
      <c r="M26" s="297" t="s">
        <v>215</v>
      </c>
      <c r="N26" s="195"/>
    </row>
    <row r="27" spans="1:18" s="99" customFormat="1" ht="131.25" customHeight="1" x14ac:dyDescent="0.25">
      <c r="A27" s="430"/>
      <c r="B27" s="432"/>
      <c r="C27" s="434"/>
      <c r="D27" s="233" t="s">
        <v>81</v>
      </c>
      <c r="E27" s="170">
        <v>0</v>
      </c>
      <c r="F27" s="127">
        <f t="shared" si="1"/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378"/>
      <c r="M27" s="299"/>
      <c r="N27" s="195"/>
    </row>
    <row r="28" spans="1:18" s="99" customFormat="1" ht="31.5" customHeight="1" x14ac:dyDescent="0.3">
      <c r="A28" s="276" t="s">
        <v>58</v>
      </c>
      <c r="B28" s="281" t="s">
        <v>249</v>
      </c>
      <c r="C28" s="309" t="s">
        <v>78</v>
      </c>
      <c r="D28" s="162" t="s">
        <v>5</v>
      </c>
      <c r="E28" s="163">
        <f>E29</f>
        <v>0</v>
      </c>
      <c r="F28" s="127">
        <f t="shared" ref="F28:F30" si="11">SUM(G28:K28)</f>
        <v>0</v>
      </c>
      <c r="G28" s="163">
        <f>G29</f>
        <v>0</v>
      </c>
      <c r="H28" s="163">
        <f t="shared" ref="H28:K29" si="12">H29</f>
        <v>0</v>
      </c>
      <c r="I28" s="163">
        <f t="shared" si="12"/>
        <v>0</v>
      </c>
      <c r="J28" s="163">
        <f t="shared" si="12"/>
        <v>0</v>
      </c>
      <c r="K28" s="163">
        <f t="shared" si="12"/>
        <v>0</v>
      </c>
      <c r="L28" s="312"/>
      <c r="M28" s="308"/>
      <c r="N28" s="192"/>
      <c r="O28" s="192"/>
      <c r="P28" s="192"/>
    </row>
    <row r="29" spans="1:18" s="99" customFormat="1" ht="56.25" x14ac:dyDescent="0.3">
      <c r="A29" s="276"/>
      <c r="B29" s="281"/>
      <c r="C29" s="309"/>
      <c r="D29" s="239" t="s">
        <v>81</v>
      </c>
      <c r="E29" s="165">
        <f>E30+E31</f>
        <v>0</v>
      </c>
      <c r="F29" s="127">
        <f t="shared" si="11"/>
        <v>0</v>
      </c>
      <c r="G29" s="165">
        <f>G30</f>
        <v>0</v>
      </c>
      <c r="H29" s="165">
        <f t="shared" si="12"/>
        <v>0</v>
      </c>
      <c r="I29" s="165">
        <f t="shared" si="12"/>
        <v>0</v>
      </c>
      <c r="J29" s="165">
        <f t="shared" si="12"/>
        <v>0</v>
      </c>
      <c r="K29" s="165">
        <f t="shared" si="12"/>
        <v>0</v>
      </c>
      <c r="L29" s="312"/>
      <c r="M29" s="308"/>
      <c r="N29" s="192"/>
      <c r="O29" s="192"/>
      <c r="P29" s="192"/>
      <c r="Q29" s="97"/>
    </row>
    <row r="30" spans="1:18" s="99" customFormat="1" ht="75" x14ac:dyDescent="0.25">
      <c r="A30" s="240" t="s">
        <v>86</v>
      </c>
      <c r="B30" s="242" t="s">
        <v>250</v>
      </c>
      <c r="C30" s="232" t="s">
        <v>78</v>
      </c>
      <c r="D30" s="236" t="s">
        <v>81</v>
      </c>
      <c r="E30" s="157">
        <v>0</v>
      </c>
      <c r="F30" s="127">
        <f t="shared" si="11"/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237" t="s">
        <v>97</v>
      </c>
      <c r="M30" s="238" t="s">
        <v>255</v>
      </c>
      <c r="N30" s="189">
        <v>1441905</v>
      </c>
      <c r="O30" s="194">
        <v>1369809</v>
      </c>
      <c r="P30" s="194">
        <f t="shared" ref="P30" si="13">N30-O30</f>
        <v>72096</v>
      </c>
    </row>
    <row r="31" spans="1:18" s="99" customFormat="1" ht="31.5" customHeight="1" x14ac:dyDescent="0.3">
      <c r="A31" s="276" t="s">
        <v>13</v>
      </c>
      <c r="B31" s="281" t="s">
        <v>262</v>
      </c>
      <c r="C31" s="309" t="s">
        <v>78</v>
      </c>
      <c r="D31" s="162" t="s">
        <v>5</v>
      </c>
      <c r="E31" s="163">
        <f>E32</f>
        <v>0</v>
      </c>
      <c r="F31" s="127">
        <f t="shared" ref="F31:F33" si="14">SUM(G31:K31)</f>
        <v>33065.807999999997</v>
      </c>
      <c r="G31" s="163">
        <f>G32</f>
        <v>5864.4</v>
      </c>
      <c r="H31" s="163">
        <f t="shared" ref="H31:K31" si="15">H32</f>
        <v>14094</v>
      </c>
      <c r="I31" s="163">
        <f t="shared" si="15"/>
        <v>4369.1359999999986</v>
      </c>
      <c r="J31" s="163">
        <f t="shared" si="15"/>
        <v>4369.1359999999986</v>
      </c>
      <c r="K31" s="163">
        <f t="shared" si="15"/>
        <v>4369.1359999999986</v>
      </c>
      <c r="L31" s="312"/>
      <c r="M31" s="308"/>
      <c r="N31" s="192"/>
      <c r="O31" s="192"/>
      <c r="P31" s="192"/>
    </row>
    <row r="32" spans="1:18" s="99" customFormat="1" ht="56.25" x14ac:dyDescent="0.3">
      <c r="A32" s="276"/>
      <c r="B32" s="281"/>
      <c r="C32" s="309"/>
      <c r="D32" s="239" t="s">
        <v>81</v>
      </c>
      <c r="E32" s="165">
        <f>E33+E34</f>
        <v>0</v>
      </c>
      <c r="F32" s="127">
        <f t="shared" si="14"/>
        <v>33065.807999999997</v>
      </c>
      <c r="G32" s="165">
        <f>G33+G34</f>
        <v>5864.4</v>
      </c>
      <c r="H32" s="165">
        <f t="shared" ref="H32:K32" si="16">H33+H34</f>
        <v>14094</v>
      </c>
      <c r="I32" s="165">
        <f t="shared" si="16"/>
        <v>4369.1359999999986</v>
      </c>
      <c r="J32" s="165">
        <f t="shared" si="16"/>
        <v>4369.1359999999986</v>
      </c>
      <c r="K32" s="165">
        <f t="shared" si="16"/>
        <v>4369.1359999999986</v>
      </c>
      <c r="L32" s="312"/>
      <c r="M32" s="308"/>
      <c r="N32" s="192"/>
      <c r="O32" s="192"/>
      <c r="P32" s="192"/>
      <c r="Q32" s="97"/>
    </row>
    <row r="33" spans="1:18" s="99" customFormat="1" ht="117.75" customHeight="1" x14ac:dyDescent="0.25">
      <c r="A33" s="240" t="s">
        <v>90</v>
      </c>
      <c r="B33" s="242" t="s">
        <v>176</v>
      </c>
      <c r="C33" s="232" t="s">
        <v>78</v>
      </c>
      <c r="D33" s="236" t="s">
        <v>81</v>
      </c>
      <c r="E33" s="157">
        <v>0</v>
      </c>
      <c r="F33" s="127">
        <f t="shared" si="14"/>
        <v>33065.807999999997</v>
      </c>
      <c r="G33" s="230">
        <v>5864.4</v>
      </c>
      <c r="H33" s="158">
        <f>4369.136+9724.864</f>
        <v>14094</v>
      </c>
      <c r="I33" s="158">
        <v>4369.1359999999986</v>
      </c>
      <c r="J33" s="158">
        <v>4369.1359999999986</v>
      </c>
      <c r="K33" s="158">
        <v>4369.1359999999986</v>
      </c>
      <c r="L33" s="237" t="s">
        <v>178</v>
      </c>
      <c r="M33" s="238" t="s">
        <v>221</v>
      </c>
      <c r="N33" s="189">
        <v>1441905</v>
      </c>
      <c r="O33" s="194">
        <v>1369809</v>
      </c>
      <c r="P33" s="194">
        <f t="shared" ref="P33" si="17">N33-O33</f>
        <v>72096</v>
      </c>
      <c r="R33" s="99" t="s">
        <v>263</v>
      </c>
    </row>
    <row r="34" spans="1:18" s="99" customFormat="1" ht="155.25" customHeight="1" x14ac:dyDescent="0.25">
      <c r="A34" s="240" t="s">
        <v>91</v>
      </c>
      <c r="B34" s="242" t="s">
        <v>115</v>
      </c>
      <c r="C34" s="232" t="s">
        <v>78</v>
      </c>
      <c r="D34" s="236" t="s">
        <v>81</v>
      </c>
      <c r="E34" s="157">
        <v>0</v>
      </c>
      <c r="F34" s="127">
        <f t="shared" ref="F34:F38" si="18">SUM(G34:K34)</f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237" t="s">
        <v>178</v>
      </c>
      <c r="M34" s="238" t="s">
        <v>115</v>
      </c>
      <c r="N34" s="189">
        <v>1441905</v>
      </c>
      <c r="O34" s="194">
        <v>1369809</v>
      </c>
      <c r="P34" s="194">
        <f t="shared" ref="P34" si="19">N34-O34</f>
        <v>72096</v>
      </c>
    </row>
    <row r="35" spans="1:18" s="99" customFormat="1" ht="37.5" customHeight="1" x14ac:dyDescent="0.25">
      <c r="A35" s="336" t="s">
        <v>55</v>
      </c>
      <c r="B35" s="337" t="s">
        <v>132</v>
      </c>
      <c r="C35" s="337" t="s">
        <v>78</v>
      </c>
      <c r="D35" s="246" t="s">
        <v>5</v>
      </c>
      <c r="E35" s="113">
        <f>E37+E38+E36</f>
        <v>0</v>
      </c>
      <c r="F35" s="127">
        <f t="shared" si="18"/>
        <v>0</v>
      </c>
      <c r="G35" s="113">
        <f t="shared" ref="G35:K35" si="20">G37+G38+G36</f>
        <v>0</v>
      </c>
      <c r="H35" s="113">
        <f t="shared" si="20"/>
        <v>0</v>
      </c>
      <c r="I35" s="113">
        <f t="shared" si="20"/>
        <v>0</v>
      </c>
      <c r="J35" s="113">
        <f t="shared" si="20"/>
        <v>0</v>
      </c>
      <c r="K35" s="113">
        <f t="shared" si="20"/>
        <v>0</v>
      </c>
      <c r="L35" s="338"/>
      <c r="M35" s="339"/>
      <c r="N35" s="188"/>
      <c r="O35" s="188"/>
      <c r="P35" s="188"/>
    </row>
    <row r="36" spans="1:18" s="99" customFormat="1" ht="37.5" customHeight="1" x14ac:dyDescent="0.25">
      <c r="A36" s="336"/>
      <c r="B36" s="337"/>
      <c r="C36" s="337"/>
      <c r="D36" s="246" t="s">
        <v>68</v>
      </c>
      <c r="E36" s="171">
        <f>E39</f>
        <v>0</v>
      </c>
      <c r="F36" s="127">
        <f t="shared" si="18"/>
        <v>0</v>
      </c>
      <c r="G36" s="171">
        <f t="shared" ref="G36:K36" si="21">G39</f>
        <v>0</v>
      </c>
      <c r="H36" s="171">
        <f t="shared" si="21"/>
        <v>0</v>
      </c>
      <c r="I36" s="171">
        <f t="shared" si="21"/>
        <v>0</v>
      </c>
      <c r="J36" s="171">
        <f t="shared" si="21"/>
        <v>0</v>
      </c>
      <c r="K36" s="171">
        <f t="shared" si="21"/>
        <v>0</v>
      </c>
      <c r="L36" s="338"/>
      <c r="M36" s="339"/>
      <c r="N36" s="188"/>
      <c r="O36" s="188"/>
      <c r="P36" s="188"/>
    </row>
    <row r="37" spans="1:18" s="99" customFormat="1" ht="39.75" customHeight="1" x14ac:dyDescent="0.25">
      <c r="A37" s="336"/>
      <c r="B37" s="337"/>
      <c r="C37" s="337"/>
      <c r="D37" s="246" t="s">
        <v>2</v>
      </c>
      <c r="E37" s="171">
        <f>E40+E42+E44</f>
        <v>0</v>
      </c>
      <c r="F37" s="127">
        <f t="shared" si="18"/>
        <v>0</v>
      </c>
      <c r="G37" s="171">
        <f t="shared" ref="G37:K37" si="22">G40+G42+G44</f>
        <v>0</v>
      </c>
      <c r="H37" s="171">
        <f t="shared" si="22"/>
        <v>0</v>
      </c>
      <c r="I37" s="171">
        <f t="shared" si="22"/>
        <v>0</v>
      </c>
      <c r="J37" s="171">
        <f t="shared" si="22"/>
        <v>0</v>
      </c>
      <c r="K37" s="171">
        <f t="shared" si="22"/>
        <v>0</v>
      </c>
      <c r="L37" s="338"/>
      <c r="M37" s="339"/>
      <c r="N37" s="188"/>
      <c r="O37" s="188"/>
      <c r="P37" s="188"/>
    </row>
    <row r="38" spans="1:18" s="99" customFormat="1" ht="58.5" customHeight="1" x14ac:dyDescent="0.25">
      <c r="A38" s="336"/>
      <c r="B38" s="337"/>
      <c r="C38" s="337"/>
      <c r="D38" s="246" t="s">
        <v>82</v>
      </c>
      <c r="E38" s="171">
        <f>E41+E43+E45</f>
        <v>0</v>
      </c>
      <c r="F38" s="127">
        <f t="shared" si="18"/>
        <v>0</v>
      </c>
      <c r="G38" s="171">
        <f t="shared" ref="G38:K38" si="23">G41+G43+G45</f>
        <v>0</v>
      </c>
      <c r="H38" s="171">
        <f>H41+H43+H45</f>
        <v>0</v>
      </c>
      <c r="I38" s="171">
        <f t="shared" si="23"/>
        <v>0</v>
      </c>
      <c r="J38" s="171">
        <f t="shared" si="23"/>
        <v>0</v>
      </c>
      <c r="K38" s="171">
        <f t="shared" si="23"/>
        <v>0</v>
      </c>
      <c r="L38" s="338"/>
      <c r="M38" s="339"/>
      <c r="N38" s="188"/>
      <c r="O38" s="188"/>
      <c r="P38" s="188"/>
    </row>
    <row r="39" spans="1:18" s="99" customFormat="1" ht="74.25" customHeight="1" x14ac:dyDescent="0.25">
      <c r="A39" s="381" t="s">
        <v>114</v>
      </c>
      <c r="B39" s="353" t="s">
        <v>226</v>
      </c>
      <c r="C39" s="351" t="s">
        <v>78</v>
      </c>
      <c r="D39" s="249" t="s">
        <v>68</v>
      </c>
      <c r="E39" s="140">
        <v>0</v>
      </c>
      <c r="F39" s="127">
        <f t="shared" si="1"/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423" t="s">
        <v>97</v>
      </c>
      <c r="M39" s="426" t="s">
        <v>219</v>
      </c>
      <c r="N39" s="188"/>
      <c r="O39" s="188"/>
      <c r="P39" s="188"/>
    </row>
    <row r="40" spans="1:18" s="99" customFormat="1" ht="74.25" customHeight="1" x14ac:dyDescent="0.25">
      <c r="A40" s="406"/>
      <c r="B40" s="407"/>
      <c r="C40" s="408"/>
      <c r="D40" s="249" t="s">
        <v>2</v>
      </c>
      <c r="E40" s="140">
        <v>0</v>
      </c>
      <c r="F40" s="127">
        <f t="shared" ref="F40:F41" si="24">SUM(G40:K40)</f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424"/>
      <c r="M40" s="427"/>
      <c r="N40" s="189">
        <f>'[1]Лист 1'!$F$401/1000</f>
        <v>1000</v>
      </c>
      <c r="O40" s="196">
        <v>1000</v>
      </c>
      <c r="P40" s="191">
        <f t="shared" ref="P40" si="25">N40-O40</f>
        <v>0</v>
      </c>
    </row>
    <row r="41" spans="1:18" s="99" customFormat="1" ht="74.25" customHeight="1" x14ac:dyDescent="0.25">
      <c r="A41" s="382"/>
      <c r="B41" s="354"/>
      <c r="C41" s="352"/>
      <c r="D41" s="249" t="s">
        <v>81</v>
      </c>
      <c r="E41" s="140">
        <v>0</v>
      </c>
      <c r="F41" s="127">
        <f t="shared" si="24"/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425"/>
      <c r="M41" s="428"/>
      <c r="N41" s="189"/>
      <c r="O41" s="196"/>
      <c r="P41" s="191"/>
    </row>
    <row r="42" spans="1:18" s="99" customFormat="1" ht="75" customHeight="1" x14ac:dyDescent="0.25">
      <c r="A42" s="340" t="s">
        <v>118</v>
      </c>
      <c r="B42" s="341" t="s">
        <v>96</v>
      </c>
      <c r="C42" s="342" t="s">
        <v>78</v>
      </c>
      <c r="D42" s="249" t="s">
        <v>2</v>
      </c>
      <c r="E42" s="140">
        <v>0</v>
      </c>
      <c r="F42" s="127">
        <f t="shared" si="1"/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359" t="s">
        <v>97</v>
      </c>
      <c r="M42" s="300" t="s">
        <v>96</v>
      </c>
      <c r="N42" s="189">
        <f>'[1]Лист 1'!$F$401/1000</f>
        <v>1000</v>
      </c>
      <c r="O42" s="196">
        <v>1000</v>
      </c>
      <c r="P42" s="191">
        <f t="shared" ref="P42" si="26">N42-O42</f>
        <v>0</v>
      </c>
    </row>
    <row r="43" spans="1:18" s="99" customFormat="1" ht="82.5" customHeight="1" x14ac:dyDescent="0.25">
      <c r="A43" s="340"/>
      <c r="B43" s="341"/>
      <c r="C43" s="342"/>
      <c r="D43" s="249" t="s">
        <v>81</v>
      </c>
      <c r="E43" s="140">
        <v>0</v>
      </c>
      <c r="F43" s="127">
        <f t="shared" si="1"/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359"/>
      <c r="M43" s="300"/>
      <c r="N43" s="189"/>
      <c r="O43" s="196"/>
      <c r="P43" s="191"/>
    </row>
    <row r="44" spans="1:18" s="99" customFormat="1" ht="99" customHeight="1" x14ac:dyDescent="0.25">
      <c r="A44" s="296" t="s">
        <v>251</v>
      </c>
      <c r="B44" s="279" t="s">
        <v>98</v>
      </c>
      <c r="C44" s="280" t="s">
        <v>78</v>
      </c>
      <c r="D44" s="233" t="s">
        <v>2</v>
      </c>
      <c r="E44" s="156">
        <v>0</v>
      </c>
      <c r="F44" s="127">
        <f t="shared" ref="F44:F51" si="27">SUM(G44:K44)</f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324" t="s">
        <v>97</v>
      </c>
      <c r="M44" s="322" t="s">
        <v>98</v>
      </c>
      <c r="N44" s="189"/>
      <c r="O44" s="194">
        <v>0</v>
      </c>
      <c r="P44" s="194">
        <f t="shared" ref="P44:P45" si="28">N44-O44</f>
        <v>0</v>
      </c>
      <c r="Q44" s="97"/>
      <c r="R44" s="97"/>
    </row>
    <row r="45" spans="1:18" s="99" customFormat="1" ht="99" customHeight="1" x14ac:dyDescent="0.25">
      <c r="A45" s="296"/>
      <c r="B45" s="279"/>
      <c r="C45" s="280"/>
      <c r="D45" s="233" t="s">
        <v>81</v>
      </c>
      <c r="E45" s="156">
        <v>0</v>
      </c>
      <c r="F45" s="127">
        <f t="shared" si="27"/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324"/>
      <c r="M45" s="322"/>
      <c r="N45" s="189"/>
      <c r="O45" s="194">
        <v>0</v>
      </c>
      <c r="P45" s="194">
        <f t="shared" si="28"/>
        <v>0</v>
      </c>
      <c r="Q45" s="97"/>
      <c r="R45" s="97"/>
    </row>
    <row r="46" spans="1:18" s="99" customFormat="1" ht="30.75" customHeight="1" x14ac:dyDescent="0.25">
      <c r="A46" s="336" t="s">
        <v>14</v>
      </c>
      <c r="B46" s="337" t="s">
        <v>133</v>
      </c>
      <c r="C46" s="337" t="s">
        <v>78</v>
      </c>
      <c r="D46" s="246" t="s">
        <v>5</v>
      </c>
      <c r="E46" s="113">
        <f>E47+E48</f>
        <v>0</v>
      </c>
      <c r="F46" s="127">
        <f t="shared" si="27"/>
        <v>0</v>
      </c>
      <c r="G46" s="113">
        <f>G47+G48</f>
        <v>0</v>
      </c>
      <c r="H46" s="113">
        <f>H47+H48</f>
        <v>0</v>
      </c>
      <c r="I46" s="113">
        <f>I47+I48</f>
        <v>0</v>
      </c>
      <c r="J46" s="113">
        <f>J47+J48</f>
        <v>0</v>
      </c>
      <c r="K46" s="113">
        <f>K47+K48</f>
        <v>0</v>
      </c>
      <c r="L46" s="338"/>
      <c r="M46" s="339"/>
      <c r="N46" s="188"/>
      <c r="O46" s="188"/>
      <c r="P46" s="188"/>
    </row>
    <row r="47" spans="1:18" s="99" customFormat="1" ht="39.75" customHeight="1" x14ac:dyDescent="0.25">
      <c r="A47" s="336"/>
      <c r="B47" s="337"/>
      <c r="C47" s="337"/>
      <c r="D47" s="246" t="s">
        <v>2</v>
      </c>
      <c r="E47" s="171">
        <f>E49</f>
        <v>0</v>
      </c>
      <c r="F47" s="127">
        <f t="shared" si="27"/>
        <v>0</v>
      </c>
      <c r="G47" s="171">
        <f>G49</f>
        <v>0</v>
      </c>
      <c r="H47" s="171">
        <f>H49</f>
        <v>0</v>
      </c>
      <c r="I47" s="171">
        <f>I49</f>
        <v>0</v>
      </c>
      <c r="J47" s="171">
        <f>J49</f>
        <v>0</v>
      </c>
      <c r="K47" s="171">
        <f>K49</f>
        <v>0</v>
      </c>
      <c r="L47" s="338"/>
      <c r="M47" s="339"/>
      <c r="N47" s="188"/>
      <c r="O47" s="188"/>
      <c r="P47" s="188"/>
    </row>
    <row r="48" spans="1:18" s="99" customFormat="1" ht="58.5" customHeight="1" x14ac:dyDescent="0.25">
      <c r="A48" s="336"/>
      <c r="B48" s="337"/>
      <c r="C48" s="337"/>
      <c r="D48" s="246" t="s">
        <v>82</v>
      </c>
      <c r="E48" s="171">
        <f>E50+E51</f>
        <v>0</v>
      </c>
      <c r="F48" s="127">
        <f t="shared" si="27"/>
        <v>0</v>
      </c>
      <c r="G48" s="171">
        <f>G50+G51</f>
        <v>0</v>
      </c>
      <c r="H48" s="171">
        <f>H50+H51</f>
        <v>0</v>
      </c>
      <c r="I48" s="171">
        <f>I50+I51</f>
        <v>0</v>
      </c>
      <c r="J48" s="171">
        <f>J50+J51</f>
        <v>0</v>
      </c>
      <c r="K48" s="171">
        <f>K50+K51</f>
        <v>0</v>
      </c>
      <c r="L48" s="338"/>
      <c r="M48" s="339"/>
      <c r="N48" s="188"/>
      <c r="O48" s="188"/>
      <c r="P48" s="188"/>
    </row>
    <row r="49" spans="1:16" s="99" customFormat="1" ht="69.75" customHeight="1" x14ac:dyDescent="0.25">
      <c r="A49" s="340" t="s">
        <v>119</v>
      </c>
      <c r="B49" s="341" t="s">
        <v>99</v>
      </c>
      <c r="C49" s="342" t="s">
        <v>78</v>
      </c>
      <c r="D49" s="249" t="s">
        <v>2</v>
      </c>
      <c r="E49" s="140">
        <v>0</v>
      </c>
      <c r="F49" s="127">
        <f t="shared" si="27"/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359" t="s">
        <v>97</v>
      </c>
      <c r="M49" s="300" t="s">
        <v>99</v>
      </c>
      <c r="N49" s="189">
        <f>'[1]Лист 1'!$F$401/1000</f>
        <v>1000</v>
      </c>
      <c r="O49" s="196">
        <v>1000</v>
      </c>
      <c r="P49" s="191">
        <f t="shared" ref="P49" si="29">N49-O49</f>
        <v>0</v>
      </c>
    </row>
    <row r="50" spans="1:16" s="99" customFormat="1" ht="69.75" customHeight="1" x14ac:dyDescent="0.25">
      <c r="A50" s="340"/>
      <c r="B50" s="341"/>
      <c r="C50" s="342"/>
      <c r="D50" s="249" t="s">
        <v>81</v>
      </c>
      <c r="E50" s="140">
        <v>0</v>
      </c>
      <c r="F50" s="127">
        <f t="shared" si="27"/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359"/>
      <c r="M50" s="300"/>
      <c r="N50" s="189"/>
      <c r="O50" s="196"/>
      <c r="P50" s="191"/>
    </row>
    <row r="51" spans="1:16" s="99" customFormat="1" ht="132.75" customHeight="1" x14ac:dyDescent="0.25">
      <c r="A51" s="247" t="s">
        <v>120</v>
      </c>
      <c r="B51" s="248" t="s">
        <v>101</v>
      </c>
      <c r="C51" s="249" t="s">
        <v>78</v>
      </c>
      <c r="D51" s="249" t="s">
        <v>83</v>
      </c>
      <c r="E51" s="140">
        <v>0</v>
      </c>
      <c r="F51" s="127">
        <f t="shared" si="27"/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252" t="s">
        <v>97</v>
      </c>
      <c r="M51" s="238" t="s">
        <v>101</v>
      </c>
      <c r="N51" s="189">
        <f>'[1]Лист 1'!$F$401/1000</f>
        <v>1000</v>
      </c>
      <c r="O51" s="196">
        <v>1000</v>
      </c>
      <c r="P51" s="191">
        <f t="shared" ref="P51" si="30">N51-O51</f>
        <v>0</v>
      </c>
    </row>
    <row r="52" spans="1:16" s="99" customFormat="1" ht="18.75" x14ac:dyDescent="0.25">
      <c r="A52" s="336" t="s">
        <v>56</v>
      </c>
      <c r="B52" s="337" t="s">
        <v>134</v>
      </c>
      <c r="C52" s="337" t="s">
        <v>78</v>
      </c>
      <c r="D52" s="246" t="s">
        <v>5</v>
      </c>
      <c r="E52" s="113">
        <f>E54+E55+E53</f>
        <v>0</v>
      </c>
      <c r="F52" s="127">
        <f t="shared" ref="F52:F58" si="31">SUM(G52:K52)</f>
        <v>0</v>
      </c>
      <c r="G52" s="113">
        <f>G54+G55+G53</f>
        <v>0</v>
      </c>
      <c r="H52" s="113">
        <f t="shared" ref="H52:K52" si="32">H54+H55+H53</f>
        <v>0</v>
      </c>
      <c r="I52" s="113">
        <f t="shared" si="32"/>
        <v>0</v>
      </c>
      <c r="J52" s="113">
        <f t="shared" si="32"/>
        <v>0</v>
      </c>
      <c r="K52" s="113">
        <f t="shared" si="32"/>
        <v>0</v>
      </c>
      <c r="L52" s="338"/>
      <c r="M52" s="339"/>
      <c r="N52" s="188"/>
      <c r="O52" s="188"/>
      <c r="P52" s="188"/>
    </row>
    <row r="53" spans="1:16" s="99" customFormat="1" ht="37.5" customHeight="1" x14ac:dyDescent="0.25">
      <c r="A53" s="336"/>
      <c r="B53" s="337"/>
      <c r="C53" s="337"/>
      <c r="D53" s="246" t="s">
        <v>68</v>
      </c>
      <c r="E53" s="171">
        <f>E56</f>
        <v>0</v>
      </c>
      <c r="F53" s="127">
        <f t="shared" si="31"/>
        <v>0</v>
      </c>
      <c r="G53" s="171">
        <f>G56</f>
        <v>0</v>
      </c>
      <c r="H53" s="171">
        <f t="shared" ref="H53:K53" si="33">H56</f>
        <v>0</v>
      </c>
      <c r="I53" s="171">
        <f t="shared" si="33"/>
        <v>0</v>
      </c>
      <c r="J53" s="171">
        <f t="shared" si="33"/>
        <v>0</v>
      </c>
      <c r="K53" s="171">
        <f t="shared" si="33"/>
        <v>0</v>
      </c>
      <c r="L53" s="338"/>
      <c r="M53" s="339"/>
      <c r="N53" s="188"/>
      <c r="O53" s="188"/>
      <c r="P53" s="188"/>
    </row>
    <row r="54" spans="1:16" s="99" customFormat="1" ht="39.75" customHeight="1" x14ac:dyDescent="0.25">
      <c r="A54" s="336"/>
      <c r="B54" s="337"/>
      <c r="C54" s="337"/>
      <c r="D54" s="246" t="s">
        <v>2</v>
      </c>
      <c r="E54" s="171">
        <f>E57+E59</f>
        <v>0</v>
      </c>
      <c r="F54" s="127">
        <f t="shared" si="31"/>
        <v>0</v>
      </c>
      <c r="G54" s="171">
        <f>G57+G59</f>
        <v>0</v>
      </c>
      <c r="H54" s="171">
        <f t="shared" ref="H54:K54" si="34">H57+H59</f>
        <v>0</v>
      </c>
      <c r="I54" s="171">
        <f t="shared" si="34"/>
        <v>0</v>
      </c>
      <c r="J54" s="171">
        <f t="shared" si="34"/>
        <v>0</v>
      </c>
      <c r="K54" s="171">
        <f t="shared" si="34"/>
        <v>0</v>
      </c>
      <c r="L54" s="338"/>
      <c r="M54" s="339"/>
      <c r="N54" s="188"/>
      <c r="O54" s="188"/>
      <c r="P54" s="188"/>
    </row>
    <row r="55" spans="1:16" s="99" customFormat="1" ht="58.5" customHeight="1" x14ac:dyDescent="0.25">
      <c r="A55" s="336"/>
      <c r="B55" s="337"/>
      <c r="C55" s="337"/>
      <c r="D55" s="246" t="s">
        <v>82</v>
      </c>
      <c r="E55" s="171">
        <f>E58+E60</f>
        <v>0</v>
      </c>
      <c r="F55" s="127">
        <f t="shared" si="31"/>
        <v>0</v>
      </c>
      <c r="G55" s="171">
        <f>G58+G60</f>
        <v>0</v>
      </c>
      <c r="H55" s="171">
        <f t="shared" ref="H55:K55" si="35">H58+H60</f>
        <v>0</v>
      </c>
      <c r="I55" s="171">
        <f t="shared" si="35"/>
        <v>0</v>
      </c>
      <c r="J55" s="171">
        <f t="shared" si="35"/>
        <v>0</v>
      </c>
      <c r="K55" s="171">
        <f t="shared" si="35"/>
        <v>0</v>
      </c>
      <c r="L55" s="338"/>
      <c r="M55" s="339"/>
      <c r="N55" s="188"/>
      <c r="O55" s="188"/>
      <c r="P55" s="188"/>
    </row>
    <row r="56" spans="1:16" s="99" customFormat="1" ht="37.5" x14ac:dyDescent="0.25">
      <c r="A56" s="340" t="s">
        <v>100</v>
      </c>
      <c r="B56" s="341" t="s">
        <v>121</v>
      </c>
      <c r="C56" s="342" t="s">
        <v>78</v>
      </c>
      <c r="D56" s="249" t="s">
        <v>68</v>
      </c>
      <c r="E56" s="140">
        <v>0</v>
      </c>
      <c r="F56" s="127">
        <f t="shared" si="31"/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359" t="s">
        <v>6</v>
      </c>
      <c r="M56" s="300" t="s">
        <v>121</v>
      </c>
      <c r="N56" s="189">
        <f>'[1]Лист 1'!$F$401/1000</f>
        <v>1000</v>
      </c>
      <c r="O56" s="196">
        <v>1000</v>
      </c>
      <c r="P56" s="191">
        <f t="shared" ref="P56" si="36">N56-O56</f>
        <v>0</v>
      </c>
    </row>
    <row r="57" spans="1:16" s="99" customFormat="1" ht="37.5" x14ac:dyDescent="0.25">
      <c r="A57" s="340"/>
      <c r="B57" s="341"/>
      <c r="C57" s="342"/>
      <c r="D57" s="249" t="s">
        <v>2</v>
      </c>
      <c r="E57" s="140">
        <v>0</v>
      </c>
      <c r="F57" s="127">
        <f t="shared" si="31"/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359"/>
      <c r="M57" s="300"/>
      <c r="N57" s="189"/>
      <c r="O57" s="196"/>
      <c r="P57" s="191"/>
    </row>
    <row r="58" spans="1:16" s="99" customFormat="1" ht="56.25" x14ac:dyDescent="0.25">
      <c r="A58" s="340"/>
      <c r="B58" s="341"/>
      <c r="C58" s="342"/>
      <c r="D58" s="249" t="s">
        <v>83</v>
      </c>
      <c r="E58" s="140">
        <v>0</v>
      </c>
      <c r="F58" s="127">
        <f t="shared" si="31"/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359"/>
      <c r="M58" s="300"/>
      <c r="N58" s="189">
        <f>'[1]Лист 1'!$F$401/1000</f>
        <v>1000</v>
      </c>
      <c r="O58" s="196">
        <v>1000</v>
      </c>
      <c r="P58" s="191">
        <f t="shared" ref="P58:P59" si="37">N58-O58</f>
        <v>0</v>
      </c>
    </row>
    <row r="59" spans="1:16" s="99" customFormat="1" ht="69.75" customHeight="1" x14ac:dyDescent="0.25">
      <c r="A59" s="340" t="s">
        <v>252</v>
      </c>
      <c r="B59" s="341" t="s">
        <v>216</v>
      </c>
      <c r="C59" s="342" t="s">
        <v>78</v>
      </c>
      <c r="D59" s="249" t="s">
        <v>2</v>
      </c>
      <c r="E59" s="140">
        <v>0</v>
      </c>
      <c r="F59" s="127">
        <f t="shared" ref="F59:F64" si="38">SUM(G59:K59)</f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359" t="s">
        <v>6</v>
      </c>
      <c r="M59" s="300" t="s">
        <v>216</v>
      </c>
      <c r="N59" s="189">
        <f>'[1]Лист 1'!$F$401/1000</f>
        <v>1000</v>
      </c>
      <c r="O59" s="196">
        <v>1000</v>
      </c>
      <c r="P59" s="191">
        <f t="shared" si="37"/>
        <v>0</v>
      </c>
    </row>
    <row r="60" spans="1:16" s="99" customFormat="1" ht="69.75" customHeight="1" x14ac:dyDescent="0.25">
      <c r="A60" s="340"/>
      <c r="B60" s="341"/>
      <c r="C60" s="342"/>
      <c r="D60" s="249" t="s">
        <v>81</v>
      </c>
      <c r="E60" s="140">
        <v>0</v>
      </c>
      <c r="F60" s="127">
        <f t="shared" si="38"/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359"/>
      <c r="M60" s="300"/>
      <c r="N60" s="189"/>
      <c r="O60" s="196"/>
      <c r="P60" s="191"/>
    </row>
    <row r="61" spans="1:16" s="99" customFormat="1" ht="18.75" x14ac:dyDescent="0.25">
      <c r="A61" s="336" t="s">
        <v>15</v>
      </c>
      <c r="B61" s="337" t="s">
        <v>135</v>
      </c>
      <c r="C61" s="337" t="s">
        <v>78</v>
      </c>
      <c r="D61" s="246" t="s">
        <v>5</v>
      </c>
      <c r="E61" s="113">
        <f>E63+E64+E62</f>
        <v>0</v>
      </c>
      <c r="F61" s="127">
        <f t="shared" si="38"/>
        <v>0</v>
      </c>
      <c r="G61" s="113">
        <f>G63+G64+G62</f>
        <v>0</v>
      </c>
      <c r="H61" s="113">
        <f>H63+H64+H62</f>
        <v>0</v>
      </c>
      <c r="I61" s="113">
        <f>I63+I64+I62</f>
        <v>0</v>
      </c>
      <c r="J61" s="113">
        <f>J63+J64+J62</f>
        <v>0</v>
      </c>
      <c r="K61" s="113">
        <f>K63+K64+K62</f>
        <v>0</v>
      </c>
      <c r="L61" s="338"/>
      <c r="M61" s="339"/>
      <c r="N61" s="188"/>
      <c r="O61" s="188"/>
      <c r="P61" s="188"/>
    </row>
    <row r="62" spans="1:16" s="99" customFormat="1" ht="37.5" customHeight="1" x14ac:dyDescent="0.25">
      <c r="A62" s="336"/>
      <c r="B62" s="337"/>
      <c r="C62" s="337"/>
      <c r="D62" s="246" t="s">
        <v>68</v>
      </c>
      <c r="E62" s="171">
        <f>E65</f>
        <v>0</v>
      </c>
      <c r="F62" s="127">
        <f t="shared" si="38"/>
        <v>0</v>
      </c>
      <c r="G62" s="171">
        <f t="shared" ref="G62:K62" si="39">G65</f>
        <v>0</v>
      </c>
      <c r="H62" s="171">
        <f t="shared" si="39"/>
        <v>0</v>
      </c>
      <c r="I62" s="171">
        <f t="shared" si="39"/>
        <v>0</v>
      </c>
      <c r="J62" s="171">
        <f t="shared" si="39"/>
        <v>0</v>
      </c>
      <c r="K62" s="171">
        <f t="shared" si="39"/>
        <v>0</v>
      </c>
      <c r="L62" s="338"/>
      <c r="M62" s="339"/>
      <c r="N62" s="188"/>
      <c r="O62" s="188"/>
      <c r="P62" s="188"/>
    </row>
    <row r="63" spans="1:16" s="99" customFormat="1" ht="39.75" customHeight="1" x14ac:dyDescent="0.25">
      <c r="A63" s="336"/>
      <c r="B63" s="337"/>
      <c r="C63" s="337"/>
      <c r="D63" s="246" t="s">
        <v>2</v>
      </c>
      <c r="E63" s="171">
        <f>E66</f>
        <v>0</v>
      </c>
      <c r="F63" s="127">
        <f t="shared" si="38"/>
        <v>0</v>
      </c>
      <c r="G63" s="171">
        <f t="shared" ref="G63:K63" si="40">G66</f>
        <v>0</v>
      </c>
      <c r="H63" s="171">
        <f t="shared" si="40"/>
        <v>0</v>
      </c>
      <c r="I63" s="171">
        <f t="shared" si="40"/>
        <v>0</v>
      </c>
      <c r="J63" s="171">
        <f t="shared" si="40"/>
        <v>0</v>
      </c>
      <c r="K63" s="171">
        <f t="shared" si="40"/>
        <v>0</v>
      </c>
      <c r="L63" s="338"/>
      <c r="M63" s="339"/>
      <c r="N63" s="188"/>
      <c r="O63" s="188"/>
      <c r="P63" s="188"/>
    </row>
    <row r="64" spans="1:16" s="99" customFormat="1" ht="58.5" customHeight="1" x14ac:dyDescent="0.25">
      <c r="A64" s="336"/>
      <c r="B64" s="337"/>
      <c r="C64" s="337"/>
      <c r="D64" s="246" t="s">
        <v>82</v>
      </c>
      <c r="E64" s="171">
        <f>E67</f>
        <v>0</v>
      </c>
      <c r="F64" s="127">
        <f t="shared" si="38"/>
        <v>0</v>
      </c>
      <c r="G64" s="171">
        <f t="shared" ref="G64:K64" si="41">G67</f>
        <v>0</v>
      </c>
      <c r="H64" s="171">
        <f t="shared" si="41"/>
        <v>0</v>
      </c>
      <c r="I64" s="171">
        <f t="shared" si="41"/>
        <v>0</v>
      </c>
      <c r="J64" s="171">
        <f t="shared" si="41"/>
        <v>0</v>
      </c>
      <c r="K64" s="171">
        <f t="shared" si="41"/>
        <v>0</v>
      </c>
      <c r="L64" s="338"/>
      <c r="M64" s="339"/>
      <c r="N64" s="188"/>
      <c r="O64" s="188"/>
      <c r="P64" s="188"/>
    </row>
    <row r="65" spans="1:28" s="99" customFormat="1" ht="37.5" x14ac:dyDescent="0.25">
      <c r="A65" s="340" t="s">
        <v>253</v>
      </c>
      <c r="B65" s="341" t="s">
        <v>102</v>
      </c>
      <c r="C65" s="342" t="s">
        <v>78</v>
      </c>
      <c r="D65" s="249" t="s">
        <v>68</v>
      </c>
      <c r="E65" s="140">
        <v>0</v>
      </c>
      <c r="F65" s="127">
        <f t="shared" ref="F65:F67" si="42">SUM(G65:K65)</f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359" t="s">
        <v>6</v>
      </c>
      <c r="M65" s="300" t="s">
        <v>102</v>
      </c>
      <c r="N65" s="189">
        <f>'[1]Лист 1'!$F$401/1000</f>
        <v>1000</v>
      </c>
      <c r="O65" s="196">
        <v>1000</v>
      </c>
      <c r="P65" s="191">
        <f t="shared" ref="P65" si="43">N65-O65</f>
        <v>0</v>
      </c>
    </row>
    <row r="66" spans="1:28" s="99" customFormat="1" ht="37.5" x14ac:dyDescent="0.25">
      <c r="A66" s="340"/>
      <c r="B66" s="341"/>
      <c r="C66" s="342"/>
      <c r="D66" s="249" t="s">
        <v>2</v>
      </c>
      <c r="E66" s="140">
        <v>0</v>
      </c>
      <c r="F66" s="127">
        <f t="shared" si="42"/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359"/>
      <c r="M66" s="300"/>
      <c r="N66" s="189"/>
      <c r="O66" s="196"/>
      <c r="P66" s="191"/>
    </row>
    <row r="67" spans="1:28" s="99" customFormat="1" ht="56.25" x14ac:dyDescent="0.25">
      <c r="A67" s="340"/>
      <c r="B67" s="341"/>
      <c r="C67" s="342"/>
      <c r="D67" s="249" t="s">
        <v>83</v>
      </c>
      <c r="E67" s="140">
        <v>0</v>
      </c>
      <c r="F67" s="127">
        <f t="shared" si="42"/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359"/>
      <c r="M67" s="300"/>
      <c r="N67" s="189">
        <f>'[1]Лист 1'!$F$401/1000</f>
        <v>1000</v>
      </c>
      <c r="O67" s="196">
        <v>1000</v>
      </c>
      <c r="P67" s="191">
        <f t="shared" ref="P67" si="44">N67-O67</f>
        <v>0</v>
      </c>
    </row>
    <row r="68" spans="1:28" ht="18.75" x14ac:dyDescent="0.25">
      <c r="A68" s="409" t="s">
        <v>30</v>
      </c>
      <c r="B68" s="410"/>
      <c r="C68" s="410"/>
      <c r="D68" s="410"/>
      <c r="E68" s="124">
        <f>E69+E70+E71+E72</f>
        <v>89624.948039999988</v>
      </c>
      <c r="F68" s="177">
        <f>SUM(G68:K68)</f>
        <v>2844339.57063</v>
      </c>
      <c r="G68" s="124">
        <f>G69+G70+G71+G72</f>
        <v>550724.04963000002</v>
      </c>
      <c r="H68" s="124">
        <f t="shared" ref="H68:K68" si="45">H69+H70+H71+H72</f>
        <v>581237.84400000004</v>
      </c>
      <c r="I68" s="124">
        <f t="shared" si="45"/>
        <v>570792.55900000001</v>
      </c>
      <c r="J68" s="124">
        <f t="shared" si="45"/>
        <v>570792.55900000001</v>
      </c>
      <c r="K68" s="124">
        <f t="shared" si="45"/>
        <v>570792.55900000001</v>
      </c>
      <c r="L68" s="44"/>
      <c r="M68" s="45"/>
      <c r="N68" s="83"/>
      <c r="O68" s="83"/>
      <c r="P68" s="83"/>
    </row>
    <row r="69" spans="1:28" ht="18.75" x14ac:dyDescent="0.25">
      <c r="A69" s="343" t="s">
        <v>68</v>
      </c>
      <c r="B69" s="344"/>
      <c r="C69" s="344"/>
      <c r="D69" s="344"/>
      <c r="E69" s="122">
        <f>E36+E53+E62</f>
        <v>0</v>
      </c>
      <c r="F69" s="177">
        <f t="shared" ref="F69:F72" si="46">SUM(G69:K69)</f>
        <v>0</v>
      </c>
      <c r="G69" s="122">
        <f t="shared" ref="G69:K69" si="47">G36+G53+G62</f>
        <v>0</v>
      </c>
      <c r="H69" s="122">
        <f t="shared" si="47"/>
        <v>0</v>
      </c>
      <c r="I69" s="122">
        <f t="shared" si="47"/>
        <v>0</v>
      </c>
      <c r="J69" s="122">
        <f t="shared" si="47"/>
        <v>0</v>
      </c>
      <c r="K69" s="122">
        <f t="shared" si="47"/>
        <v>0</v>
      </c>
      <c r="L69" s="46"/>
      <c r="M69" s="47"/>
      <c r="N69" s="92" t="e">
        <f>#REF!+#REF!+#REF!+#REF!</f>
        <v>#REF!</v>
      </c>
      <c r="O69" s="92" t="e">
        <f>#REF!+#REF!+#REF!+#REF!</f>
        <v>#REF!</v>
      </c>
      <c r="P69" s="92" t="e">
        <f>#REF!+#REF!+#REF!+#REF!</f>
        <v>#REF!</v>
      </c>
      <c r="Q69" s="92" t="e">
        <f>#REF!+#REF!+#REF!+#REF!</f>
        <v>#REF!</v>
      </c>
      <c r="R69" s="92"/>
    </row>
    <row r="70" spans="1:28" ht="18.75" x14ac:dyDescent="0.25">
      <c r="A70" s="343" t="s">
        <v>2</v>
      </c>
      <c r="B70" s="344"/>
      <c r="C70" s="344"/>
      <c r="D70" s="344"/>
      <c r="E70" s="122">
        <f>E22+E37+E47+E54+E63</f>
        <v>0</v>
      </c>
      <c r="F70" s="177">
        <f t="shared" si="46"/>
        <v>0</v>
      </c>
      <c r="G70" s="122">
        <f>G22+G37+G47+G54+G63</f>
        <v>0</v>
      </c>
      <c r="H70" s="122">
        <f>H22+H37+H47+H54+H63</f>
        <v>0</v>
      </c>
      <c r="I70" s="122">
        <f>I22+I37+I47+I54+I63</f>
        <v>0</v>
      </c>
      <c r="J70" s="122">
        <f>J22+J37+J47+J54+J63</f>
        <v>0</v>
      </c>
      <c r="K70" s="122">
        <f>K22+K37+K47+K54+K63</f>
        <v>0</v>
      </c>
      <c r="L70" s="46"/>
      <c r="M70" s="47"/>
      <c r="N70" s="92" t="e">
        <f>#REF!+#REF!+#REF!+#REF!</f>
        <v>#REF!</v>
      </c>
      <c r="O70" s="92" t="e">
        <f>#REF!+#REF!+#REF!+#REF!</f>
        <v>#REF!</v>
      </c>
      <c r="P70" s="92" t="e">
        <f>#REF!+#REF!+#REF!+#REF!</f>
        <v>#REF!</v>
      </c>
      <c r="Q70" s="92" t="e">
        <f>#REF!+#REF!+#REF!+#REF!</f>
        <v>#REF!</v>
      </c>
      <c r="R70" s="92"/>
    </row>
    <row r="71" spans="1:28" ht="18.75" x14ac:dyDescent="0.25">
      <c r="A71" s="343" t="s">
        <v>82</v>
      </c>
      <c r="B71" s="344"/>
      <c r="C71" s="344"/>
      <c r="D71" s="344"/>
      <c r="E71" s="122">
        <f>E10+E13+E23+E32+E38+E48+E55+E64+E29</f>
        <v>75745.548039999994</v>
      </c>
      <c r="F71" s="177">
        <f t="shared" si="46"/>
        <v>2373572.4219800001</v>
      </c>
      <c r="G71" s="122">
        <f>G10+G13+G23+G32+G38+G48+G55+G64+G29</f>
        <v>466062.01697999996</v>
      </c>
      <c r="H71" s="122">
        <f>H10+H13+H23+H32+H38+H48+H55+H64+H29</f>
        <v>484711.565</v>
      </c>
      <c r="I71" s="122">
        <f t="shared" ref="I71:K71" si="48">I10+I13+I23+I32+I38+I48+I55+I64+I29</f>
        <v>474266.27999999997</v>
      </c>
      <c r="J71" s="122">
        <f t="shared" si="48"/>
        <v>474266.27999999997</v>
      </c>
      <c r="K71" s="122">
        <f t="shared" si="48"/>
        <v>474266.27999999997</v>
      </c>
      <c r="L71" s="46"/>
      <c r="M71" s="47"/>
      <c r="N71" s="92" t="e">
        <f>#REF!+#REF!+#REF!+#REF!+#REF!+#REF!+#REF!+#REF!+#REF!+#REF!+#REF!</f>
        <v>#REF!</v>
      </c>
      <c r="O71" s="92" t="e">
        <f>#REF!+#REF!+#REF!+#REF!+#REF!+#REF!+#REF!+#REF!+#REF!+#REF!+#REF!</f>
        <v>#REF!</v>
      </c>
      <c r="P71" s="92" t="e">
        <f>#REF!+#REF!+#REF!+#REF!+#REF!+#REF!+#REF!+#REF!+#REF!+#REF!+#REF!</f>
        <v>#REF!</v>
      </c>
      <c r="Q71" s="92" t="e">
        <f>#REF!+#REF!+#REF!+#REF!+#REF!+#REF!+#REF!+#REF!+#REF!+#REF!+#REF!</f>
        <v>#REF!</v>
      </c>
      <c r="R71" s="92"/>
    </row>
    <row r="72" spans="1:28" ht="19.5" thickBot="1" x14ac:dyDescent="0.35">
      <c r="A72" s="284" t="s">
        <v>26</v>
      </c>
      <c r="B72" s="285"/>
      <c r="C72" s="285"/>
      <c r="D72" s="285"/>
      <c r="E72" s="125">
        <f>E14</f>
        <v>13879.4</v>
      </c>
      <c r="F72" s="178">
        <f t="shared" si="46"/>
        <v>470767.14864999999</v>
      </c>
      <c r="G72" s="125">
        <f>G14</f>
        <v>84662.032650000008</v>
      </c>
      <c r="H72" s="125">
        <f>H14</f>
        <v>96526.27900000001</v>
      </c>
      <c r="I72" s="125">
        <f>I14</f>
        <v>96526.27900000001</v>
      </c>
      <c r="J72" s="125">
        <f>J14</f>
        <v>96526.27900000001</v>
      </c>
      <c r="K72" s="125">
        <f>K14</f>
        <v>96526.27900000001</v>
      </c>
      <c r="L72" s="48"/>
      <c r="M72" s="49"/>
      <c r="N72" s="91" t="e">
        <f>#REF!+#REF!</f>
        <v>#REF!</v>
      </c>
      <c r="O72" s="91" t="e">
        <f>#REF!+#REF!</f>
        <v>#REF!</v>
      </c>
      <c r="P72" s="91" t="e">
        <f>#REF!+#REF!</f>
        <v>#REF!</v>
      </c>
      <c r="Q72" s="91" t="e">
        <f>#REF!+#REF!</f>
        <v>#REF!</v>
      </c>
      <c r="R72" s="187"/>
    </row>
    <row r="73" spans="1:28" x14ac:dyDescent="0.25">
      <c r="F73" s="23"/>
      <c r="I73" s="134"/>
      <c r="J73" s="118"/>
      <c r="K73" s="118"/>
    </row>
    <row r="74" spans="1:28" x14ac:dyDescent="0.25">
      <c r="H74" s="97"/>
      <c r="I74" s="134"/>
      <c r="J74" s="118"/>
      <c r="K74" s="118"/>
    </row>
    <row r="75" spans="1:28" ht="18.75" x14ac:dyDescent="0.3">
      <c r="B75" s="277" t="s">
        <v>37</v>
      </c>
      <c r="C75" s="278"/>
      <c r="D75" s="278"/>
      <c r="E75" s="198">
        <v>0</v>
      </c>
      <c r="F75" s="199">
        <f>SUM(G75:K75)</f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1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.75" x14ac:dyDescent="0.3">
      <c r="B76" s="277" t="s">
        <v>39</v>
      </c>
      <c r="C76" s="278"/>
      <c r="D76" s="278"/>
      <c r="E76" s="198">
        <v>0</v>
      </c>
      <c r="F76" s="199">
        <f t="shared" ref="F76:F87" si="49">SUM(G76:K76)</f>
        <v>4075</v>
      </c>
      <c r="G76" s="198">
        <f>826-11</f>
        <v>815</v>
      </c>
      <c r="H76" s="198">
        <v>815</v>
      </c>
      <c r="I76" s="198">
        <v>815</v>
      </c>
      <c r="J76" s="198">
        <v>815</v>
      </c>
      <c r="K76" s="198">
        <v>815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.75" x14ac:dyDescent="0.3">
      <c r="B77" s="282" t="s">
        <v>38</v>
      </c>
      <c r="C77" s="283"/>
      <c r="D77" s="283"/>
      <c r="E77" s="200">
        <f>SUM(E75:E76)</f>
        <v>0</v>
      </c>
      <c r="F77" s="199">
        <f t="shared" si="49"/>
        <v>4075</v>
      </c>
      <c r="G77" s="200">
        <f t="shared" ref="G77" si="50">SUM(G75:G76)</f>
        <v>815</v>
      </c>
      <c r="H77" s="200">
        <f t="shared" ref="H77" si="51">SUM(H75:H76)</f>
        <v>815</v>
      </c>
      <c r="I77" s="200">
        <f t="shared" ref="I77" si="52">SUM(I75:I76)</f>
        <v>815</v>
      </c>
      <c r="J77" s="200">
        <f t="shared" ref="J77" si="53">SUM(J75:J76)</f>
        <v>815</v>
      </c>
      <c r="K77" s="200">
        <f t="shared" ref="K77" si="54">SUM(K75:K76)</f>
        <v>815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.75" x14ac:dyDescent="0.3">
      <c r="B78" s="277" t="s">
        <v>220</v>
      </c>
      <c r="C78" s="278"/>
      <c r="D78" s="278"/>
      <c r="E78" s="198">
        <f t="shared" ref="E78" si="55">E36</f>
        <v>0</v>
      </c>
      <c r="F78" s="199">
        <f t="shared" si="49"/>
        <v>0</v>
      </c>
      <c r="G78" s="198">
        <f>G36</f>
        <v>0</v>
      </c>
      <c r="H78" s="198">
        <f t="shared" ref="H78:K78" si="56">H36</f>
        <v>0</v>
      </c>
      <c r="I78" s="198">
        <f t="shared" si="56"/>
        <v>0</v>
      </c>
      <c r="J78" s="198">
        <f t="shared" si="56"/>
        <v>0</v>
      </c>
      <c r="K78" s="198">
        <f t="shared" si="56"/>
        <v>0</v>
      </c>
    </row>
    <row r="79" spans="1:28" ht="18.75" x14ac:dyDescent="0.3">
      <c r="B79" s="277" t="s">
        <v>149</v>
      </c>
      <c r="C79" s="278"/>
      <c r="D79" s="278" t="s">
        <v>37</v>
      </c>
      <c r="E79" s="198">
        <f t="shared" ref="E79:G79" si="57">E37</f>
        <v>0</v>
      </c>
      <c r="F79" s="199">
        <f t="shared" si="49"/>
        <v>0</v>
      </c>
      <c r="G79" s="198">
        <f t="shared" si="57"/>
        <v>0</v>
      </c>
      <c r="H79" s="198">
        <f>H37</f>
        <v>0</v>
      </c>
      <c r="I79" s="198">
        <f t="shared" ref="I79:K79" si="58">I37</f>
        <v>0</v>
      </c>
      <c r="J79" s="198">
        <f t="shared" si="58"/>
        <v>0</v>
      </c>
      <c r="K79" s="198">
        <f t="shared" si="58"/>
        <v>0</v>
      </c>
    </row>
    <row r="80" spans="1:28" ht="18.75" x14ac:dyDescent="0.3">
      <c r="B80" s="277" t="s">
        <v>150</v>
      </c>
      <c r="C80" s="278"/>
      <c r="D80" s="278"/>
      <c r="E80" s="201">
        <v>0</v>
      </c>
      <c r="F80" s="199">
        <f t="shared" si="49"/>
        <v>1888168.5268999999</v>
      </c>
      <c r="G80" s="198">
        <f>375808.1+G43-5175.2291+100</f>
        <v>370732.87089999998</v>
      </c>
      <c r="H80" s="198">
        <f>379358.914+H38</f>
        <v>379358.91399999999</v>
      </c>
      <c r="I80" s="198">
        <f>379358.914+I38</f>
        <v>379358.91399999999</v>
      </c>
      <c r="J80" s="198">
        <f>379358.914+J38</f>
        <v>379358.91399999999</v>
      </c>
      <c r="K80" s="198">
        <f>379358.914+K38</f>
        <v>379358.91399999999</v>
      </c>
    </row>
    <row r="81" spans="2:12" ht="18.75" x14ac:dyDescent="0.3">
      <c r="B81" s="277" t="s">
        <v>26</v>
      </c>
      <c r="C81" s="278"/>
      <c r="D81" s="278"/>
      <c r="E81" s="198">
        <v>0</v>
      </c>
      <c r="F81" s="199">
        <f t="shared" si="49"/>
        <v>342546.14364999998</v>
      </c>
      <c r="G81" s="198">
        <f>67644.22765</f>
        <v>67644.227650000001</v>
      </c>
      <c r="H81" s="198">
        <v>68725.479000000007</v>
      </c>
      <c r="I81" s="198">
        <v>68725.479000000007</v>
      </c>
      <c r="J81" s="198">
        <v>68725.479000000007</v>
      </c>
      <c r="K81" s="198">
        <v>68725.479000000007</v>
      </c>
    </row>
    <row r="82" spans="2:12" ht="18.75" x14ac:dyDescent="0.3">
      <c r="B82" s="282" t="s">
        <v>151</v>
      </c>
      <c r="C82" s="283"/>
      <c r="D82" s="283"/>
      <c r="E82" s="200">
        <f>SUM(E78:E81)</f>
        <v>0</v>
      </c>
      <c r="F82" s="199">
        <f>SUM(G82:K82)</f>
        <v>2230714.6705499999</v>
      </c>
      <c r="G82" s="200">
        <f>SUM(G78:G81)</f>
        <v>438377.09855</v>
      </c>
      <c r="H82" s="200">
        <f t="shared" ref="H82:K82" si="59">SUM(H78:H81)</f>
        <v>448084.39299999998</v>
      </c>
      <c r="I82" s="200">
        <f t="shared" si="59"/>
        <v>448084.39299999998</v>
      </c>
      <c r="J82" s="200">
        <f t="shared" si="59"/>
        <v>448084.39299999998</v>
      </c>
      <c r="K82" s="200">
        <f t="shared" si="59"/>
        <v>448084.39299999998</v>
      </c>
    </row>
    <row r="83" spans="2:12" ht="18.75" x14ac:dyDescent="0.3">
      <c r="B83" s="277" t="s">
        <v>68</v>
      </c>
      <c r="C83" s="278"/>
      <c r="D83" s="278"/>
      <c r="E83" s="198">
        <f t="shared" ref="E83:G83" si="60">E69-E78</f>
        <v>0</v>
      </c>
      <c r="F83" s="199">
        <f t="shared" si="49"/>
        <v>0</v>
      </c>
      <c r="G83" s="198">
        <f t="shared" si="60"/>
        <v>0</v>
      </c>
      <c r="H83" s="198">
        <f>H69-H78</f>
        <v>0</v>
      </c>
      <c r="I83" s="198">
        <f t="shared" ref="I83:K83" si="61">I69-I78</f>
        <v>0</v>
      </c>
      <c r="J83" s="198">
        <f t="shared" si="61"/>
        <v>0</v>
      </c>
      <c r="K83" s="198">
        <f t="shared" si="61"/>
        <v>0</v>
      </c>
    </row>
    <row r="84" spans="2:12" ht="18.75" x14ac:dyDescent="0.3">
      <c r="B84" s="277" t="s">
        <v>2</v>
      </c>
      <c r="C84" s="278"/>
      <c r="D84" s="278"/>
      <c r="E84" s="198">
        <f t="shared" ref="E84" si="62">E70-E79</f>
        <v>0</v>
      </c>
      <c r="F84" s="199">
        <f t="shared" si="49"/>
        <v>0</v>
      </c>
      <c r="G84" s="198">
        <f>G70-G79</f>
        <v>0</v>
      </c>
      <c r="H84" s="198">
        <f>H70-H79</f>
        <v>0</v>
      </c>
      <c r="I84" s="198">
        <f t="shared" ref="I84:K84" si="63">I70-I79</f>
        <v>0</v>
      </c>
      <c r="J84" s="198">
        <f t="shared" si="63"/>
        <v>0</v>
      </c>
      <c r="K84" s="198">
        <f t="shared" si="63"/>
        <v>0</v>
      </c>
    </row>
    <row r="85" spans="2:12" ht="18.75" x14ac:dyDescent="0.3">
      <c r="B85" s="277" t="s">
        <v>82</v>
      </c>
      <c r="C85" s="278"/>
      <c r="D85" s="278"/>
      <c r="E85" s="198">
        <f t="shared" ref="E85" si="64">E71-E80</f>
        <v>75745.548039999994</v>
      </c>
      <c r="F85" s="199">
        <f t="shared" si="49"/>
        <v>481328.89507999993</v>
      </c>
      <c r="G85" s="198">
        <f>G71-G80-G76</f>
        <v>94514.146079999977</v>
      </c>
      <c r="H85" s="198">
        <f>H71-H80-H76</f>
        <v>104537.65100000001</v>
      </c>
      <c r="I85" s="198">
        <f t="shared" ref="I85:K85" si="65">I71-I80-I76</f>
        <v>94092.36599999998</v>
      </c>
      <c r="J85" s="198">
        <f t="shared" si="65"/>
        <v>94092.36599999998</v>
      </c>
      <c r="K85" s="198">
        <f t="shared" si="65"/>
        <v>94092.36599999998</v>
      </c>
    </row>
    <row r="86" spans="2:12" ht="18.75" x14ac:dyDescent="0.3">
      <c r="B86" s="277" t="s">
        <v>26</v>
      </c>
      <c r="C86" s="278"/>
      <c r="D86" s="278"/>
      <c r="E86" s="198">
        <f t="shared" ref="E86" si="66">E72-E81</f>
        <v>13879.4</v>
      </c>
      <c r="F86" s="199">
        <f t="shared" si="49"/>
        <v>128221.00500000002</v>
      </c>
      <c r="G86" s="198">
        <f>G72-G81</f>
        <v>17017.805000000008</v>
      </c>
      <c r="H86" s="198">
        <f t="shared" ref="H86:K86" si="67">H72-H81</f>
        <v>27800.800000000003</v>
      </c>
      <c r="I86" s="198">
        <f t="shared" si="67"/>
        <v>27800.800000000003</v>
      </c>
      <c r="J86" s="198">
        <f t="shared" si="67"/>
        <v>27800.800000000003</v>
      </c>
      <c r="K86" s="198">
        <f t="shared" si="67"/>
        <v>27800.800000000003</v>
      </c>
    </row>
    <row r="87" spans="2:12" ht="18.75" x14ac:dyDescent="0.3">
      <c r="B87" s="282" t="s">
        <v>43</v>
      </c>
      <c r="C87" s="283"/>
      <c r="D87" s="283"/>
      <c r="E87" s="200">
        <f t="shared" ref="E87" si="68">SUM(E83:E86)</f>
        <v>89624.948039999988</v>
      </c>
      <c r="F87" s="199">
        <f t="shared" si="49"/>
        <v>609549.90007999993</v>
      </c>
      <c r="G87" s="200">
        <f>SUM(G83:G86)</f>
        <v>111531.95107999998</v>
      </c>
      <c r="H87" s="200">
        <f t="shared" ref="H87:K87" si="69">SUM(H83:H86)</f>
        <v>132338.451</v>
      </c>
      <c r="I87" s="200">
        <f t="shared" si="69"/>
        <v>121893.16599999998</v>
      </c>
      <c r="J87" s="200">
        <f t="shared" si="69"/>
        <v>121893.16599999998</v>
      </c>
      <c r="K87" s="200">
        <f t="shared" si="69"/>
        <v>121893.16599999998</v>
      </c>
    </row>
    <row r="88" spans="2:12" x14ac:dyDescent="0.25">
      <c r="E88" s="118"/>
      <c r="F88" s="197"/>
      <c r="G88" s="118"/>
      <c r="H88" s="134"/>
      <c r="I88" s="134"/>
      <c r="J88" s="118"/>
      <c r="K88" s="118"/>
    </row>
    <row r="89" spans="2:12" x14ac:dyDescent="0.25">
      <c r="E89" s="118"/>
      <c r="F89" s="118">
        <f>F82+F87+F77</f>
        <v>2844339.57063</v>
      </c>
      <c r="G89" s="118">
        <f>G82+G87+G77</f>
        <v>550724.04963000002</v>
      </c>
      <c r="H89" s="118">
        <f t="shared" ref="H89:K89" si="70">H82+H87+H77</f>
        <v>581237.84400000004</v>
      </c>
      <c r="I89" s="118">
        <f t="shared" si="70"/>
        <v>570792.55900000001</v>
      </c>
      <c r="J89" s="118">
        <f t="shared" si="70"/>
        <v>570792.55900000001</v>
      </c>
      <c r="K89" s="118">
        <f t="shared" si="70"/>
        <v>570792.55900000001</v>
      </c>
      <c r="L89" s="118"/>
    </row>
    <row r="90" spans="2:12" x14ac:dyDescent="0.25">
      <c r="E90" s="118"/>
      <c r="F90" s="197"/>
      <c r="G90" s="118"/>
      <c r="H90" s="134"/>
      <c r="I90" s="134"/>
      <c r="J90" s="118"/>
      <c r="K90" s="118"/>
    </row>
    <row r="92" spans="2:12" x14ac:dyDescent="0.25">
      <c r="H92" s="99">
        <v>104085.35100000002</v>
      </c>
      <c r="I92" s="99">
        <v>103817.23000000001</v>
      </c>
      <c r="J92" s="5">
        <v>103817.23000000001</v>
      </c>
    </row>
    <row r="93" spans="2:12" x14ac:dyDescent="0.25">
      <c r="H93" s="134">
        <f>H85-H92</f>
        <v>452.29999999998836</v>
      </c>
      <c r="I93" s="134">
        <f t="shared" ref="I93:J93" si="71">I85-I92</f>
        <v>-9724.8640000000305</v>
      </c>
      <c r="J93" s="134">
        <f t="shared" si="71"/>
        <v>-9724.8640000000305</v>
      </c>
    </row>
  </sheetData>
  <mergeCells count="124">
    <mergeCell ref="L39:L41"/>
    <mergeCell ref="M39:M41"/>
    <mergeCell ref="B78:D78"/>
    <mergeCell ref="A15:A16"/>
    <mergeCell ref="B15:B16"/>
    <mergeCell ref="C15:C16"/>
    <mergeCell ref="L15:L16"/>
    <mergeCell ref="M15:M16"/>
    <mergeCell ref="A31:A32"/>
    <mergeCell ref="B31:B32"/>
    <mergeCell ref="C31:C32"/>
    <mergeCell ref="L31:L32"/>
    <mergeCell ref="M31:M32"/>
    <mergeCell ref="L21:L23"/>
    <mergeCell ref="M21:M23"/>
    <mergeCell ref="A26:A27"/>
    <mergeCell ref="B26:B27"/>
    <mergeCell ref="C26:C27"/>
    <mergeCell ref="M26:M27"/>
    <mergeCell ref="L26:L27"/>
    <mergeCell ref="L65:L67"/>
    <mergeCell ref="M65:M67"/>
    <mergeCell ref="A65:A67"/>
    <mergeCell ref="B65:B67"/>
    <mergeCell ref="C65:C67"/>
    <mergeCell ref="A59:A60"/>
    <mergeCell ref="B59:B60"/>
    <mergeCell ref="C59:C60"/>
    <mergeCell ref="L59:L60"/>
    <mergeCell ref="M59:M60"/>
    <mergeCell ref="A61:A64"/>
    <mergeCell ref="B61:B64"/>
    <mergeCell ref="C61:C64"/>
    <mergeCell ref="L61:L64"/>
    <mergeCell ref="M61:M64"/>
    <mergeCell ref="C52:C55"/>
    <mergeCell ref="L52:L55"/>
    <mergeCell ref="M52:M55"/>
    <mergeCell ref="M42:M43"/>
    <mergeCell ref="A49:A50"/>
    <mergeCell ref="B49:B50"/>
    <mergeCell ref="C49:C50"/>
    <mergeCell ref="M49:M50"/>
    <mergeCell ref="A46:A48"/>
    <mergeCell ref="B46:B48"/>
    <mergeCell ref="C46:C48"/>
    <mergeCell ref="L46:L48"/>
    <mergeCell ref="M46:M48"/>
    <mergeCell ref="L49:L50"/>
    <mergeCell ref="B42:B43"/>
    <mergeCell ref="C42:C43"/>
    <mergeCell ref="L42:L43"/>
    <mergeCell ref="C39:C41"/>
    <mergeCell ref="L56:L58"/>
    <mergeCell ref="M56:M58"/>
    <mergeCell ref="A56:A58"/>
    <mergeCell ref="B56:B58"/>
    <mergeCell ref="C56:C58"/>
    <mergeCell ref="A24:A25"/>
    <mergeCell ref="B24:B25"/>
    <mergeCell ref="C24:C25"/>
    <mergeCell ref="L24:L25"/>
    <mergeCell ref="M24:M25"/>
    <mergeCell ref="A35:A38"/>
    <mergeCell ref="B35:B38"/>
    <mergeCell ref="C35:C38"/>
    <mergeCell ref="L35:L38"/>
    <mergeCell ref="M35:M38"/>
    <mergeCell ref="A44:A45"/>
    <mergeCell ref="B44:B45"/>
    <mergeCell ref="C44:C45"/>
    <mergeCell ref="L44:L45"/>
    <mergeCell ref="M44:M45"/>
    <mergeCell ref="A42:A43"/>
    <mergeCell ref="A52:A55"/>
    <mergeCell ref="B52:B55"/>
    <mergeCell ref="M9:M10"/>
    <mergeCell ref="A21:A23"/>
    <mergeCell ref="B21:B23"/>
    <mergeCell ref="C21:C23"/>
    <mergeCell ref="A12:A14"/>
    <mergeCell ref="B12:B14"/>
    <mergeCell ref="C12:C14"/>
    <mergeCell ref="L2:M2"/>
    <mergeCell ref="E4:E6"/>
    <mergeCell ref="M4:M6"/>
    <mergeCell ref="A8:M8"/>
    <mergeCell ref="L4:L6"/>
    <mergeCell ref="G4:K5"/>
    <mergeCell ref="A4:A6"/>
    <mergeCell ref="A9:A10"/>
    <mergeCell ref="B9:B10"/>
    <mergeCell ref="C9:C10"/>
    <mergeCell ref="B4:B6"/>
    <mergeCell ref="C4:C6"/>
    <mergeCell ref="D4:D6"/>
    <mergeCell ref="F4:F6"/>
    <mergeCell ref="L9:L10"/>
    <mergeCell ref="L12:L14"/>
    <mergeCell ref="M12:M14"/>
    <mergeCell ref="A28:A29"/>
    <mergeCell ref="B28:B29"/>
    <mergeCell ref="C28:C29"/>
    <mergeCell ref="L28:L29"/>
    <mergeCell ref="M28:M29"/>
    <mergeCell ref="B86:D86"/>
    <mergeCell ref="B87:D87"/>
    <mergeCell ref="B80:D80"/>
    <mergeCell ref="B82:D82"/>
    <mergeCell ref="B84:D84"/>
    <mergeCell ref="B85:D85"/>
    <mergeCell ref="A71:D71"/>
    <mergeCell ref="A70:D70"/>
    <mergeCell ref="A68:D68"/>
    <mergeCell ref="A69:D69"/>
    <mergeCell ref="B79:D79"/>
    <mergeCell ref="A72:D72"/>
    <mergeCell ref="B81:D81"/>
    <mergeCell ref="B83:D83"/>
    <mergeCell ref="B75:D75"/>
    <mergeCell ref="B76:D76"/>
    <mergeCell ref="B77:D77"/>
    <mergeCell ref="A39:A41"/>
    <mergeCell ref="B39:B41"/>
  </mergeCells>
  <pageMargins left="0.19685039370078741" right="0.19685039370078741" top="0.59055118110236227" bottom="0.19685039370078741" header="0.39370078740157483" footer="0"/>
  <pageSetup paperSize="9" scale="45" firstPageNumber="11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19" max="12" man="1"/>
    <brk id="30" max="12" man="1"/>
    <brk id="45" max="12" man="1"/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2"/>
  <sheetViews>
    <sheetView view="pageBreakPreview" zoomScale="70" zoomScaleNormal="70" zoomScaleSheetLayoutView="70" workbookViewId="0">
      <selection activeCell="C6" sqref="C6"/>
    </sheetView>
  </sheetViews>
  <sheetFormatPr defaultColWidth="9.140625" defaultRowHeight="15" x14ac:dyDescent="0.25"/>
  <cols>
    <col min="1" max="1" width="6.7109375" style="5" customWidth="1"/>
    <col min="2" max="2" width="67.42578125" style="5" customWidth="1"/>
    <col min="3" max="3" width="18.5703125" style="5" customWidth="1"/>
    <col min="4" max="4" width="32.85546875" style="5" customWidth="1"/>
    <col min="5" max="5" width="21.28515625" style="5" customWidth="1"/>
    <col min="6" max="6" width="21.140625" style="27" customWidth="1"/>
    <col min="7" max="7" width="15.85546875" style="5" customWidth="1"/>
    <col min="8" max="8" width="15.85546875" style="99" customWidth="1"/>
    <col min="9" max="9" width="18.28515625" style="99" customWidth="1"/>
    <col min="10" max="10" width="17.28515625" style="5" customWidth="1"/>
    <col min="11" max="11" width="17.42578125" style="5" customWidth="1"/>
    <col min="12" max="12" width="26.5703125" style="5" customWidth="1"/>
    <col min="13" max="13" width="42" style="5" customWidth="1"/>
    <col min="14" max="14" width="31" style="5" hidden="1" customWidth="1"/>
    <col min="15" max="15" width="27.140625" style="5" hidden="1" customWidth="1"/>
    <col min="16" max="16" width="24.42578125" style="5" hidden="1" customWidth="1"/>
    <col min="17" max="17" width="50.5703125" style="5" hidden="1" customWidth="1"/>
    <col min="18" max="16384" width="9.140625" style="5"/>
  </cols>
  <sheetData>
    <row r="1" spans="1:16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16" ht="9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361"/>
      <c r="M2" s="361"/>
      <c r="N2" s="110"/>
      <c r="O2" s="110"/>
      <c r="P2" s="110"/>
    </row>
    <row r="3" spans="1:16" ht="6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  <c r="N3" s="110"/>
      <c r="O3" s="110"/>
      <c r="P3" s="110"/>
    </row>
    <row r="4" spans="1:16" ht="29.25" customHeight="1" x14ac:dyDescent="0.25">
      <c r="A4" s="445" t="s">
        <v>0</v>
      </c>
      <c r="B4" s="437" t="s">
        <v>8</v>
      </c>
      <c r="C4" s="437" t="s">
        <v>79</v>
      </c>
      <c r="D4" s="437" t="s">
        <v>9</v>
      </c>
      <c r="E4" s="437" t="s">
        <v>103</v>
      </c>
      <c r="F4" s="435" t="s">
        <v>10</v>
      </c>
      <c r="G4" s="437" t="s">
        <v>24</v>
      </c>
      <c r="H4" s="437"/>
      <c r="I4" s="437"/>
      <c r="J4" s="437"/>
      <c r="K4" s="437"/>
      <c r="L4" s="437" t="s">
        <v>11</v>
      </c>
      <c r="M4" s="453" t="s">
        <v>4</v>
      </c>
      <c r="N4" s="84"/>
      <c r="O4" s="84"/>
      <c r="P4" s="84"/>
    </row>
    <row r="5" spans="1:16" ht="57" customHeight="1" x14ac:dyDescent="0.25">
      <c r="A5" s="446"/>
      <c r="B5" s="438"/>
      <c r="C5" s="438"/>
      <c r="D5" s="438"/>
      <c r="E5" s="438"/>
      <c r="F5" s="436"/>
      <c r="G5" s="51" t="s">
        <v>104</v>
      </c>
      <c r="H5" s="104" t="s">
        <v>60</v>
      </c>
      <c r="I5" s="104" t="s">
        <v>75</v>
      </c>
      <c r="J5" s="51" t="s">
        <v>76</v>
      </c>
      <c r="K5" s="51" t="s">
        <v>77</v>
      </c>
      <c r="L5" s="438"/>
      <c r="M5" s="454"/>
      <c r="N5" s="84" t="s">
        <v>69</v>
      </c>
      <c r="O5" s="84" t="s">
        <v>70</v>
      </c>
      <c r="P5" s="84"/>
    </row>
    <row r="6" spans="1:16" ht="18.75" x14ac:dyDescent="0.25">
      <c r="A6" s="12" t="s">
        <v>18</v>
      </c>
      <c r="B6" s="13">
        <v>2</v>
      </c>
      <c r="C6" s="13" t="s">
        <v>12</v>
      </c>
      <c r="D6" s="13" t="s">
        <v>58</v>
      </c>
      <c r="E6" s="13" t="s">
        <v>13</v>
      </c>
      <c r="F6" s="14" t="s">
        <v>55</v>
      </c>
      <c r="G6" s="13" t="s">
        <v>14</v>
      </c>
      <c r="H6" s="96" t="s">
        <v>56</v>
      </c>
      <c r="I6" s="96" t="s">
        <v>15</v>
      </c>
      <c r="J6" s="13" t="s">
        <v>16</v>
      </c>
      <c r="K6" s="13" t="s">
        <v>19</v>
      </c>
      <c r="L6" s="13" t="s">
        <v>20</v>
      </c>
      <c r="M6" s="15" t="s">
        <v>25</v>
      </c>
      <c r="N6" s="80"/>
      <c r="O6" s="80"/>
      <c r="P6" s="80"/>
    </row>
    <row r="7" spans="1:16" ht="34.5" customHeight="1" x14ac:dyDescent="0.25">
      <c r="A7" s="52"/>
      <c r="B7" s="450" t="s">
        <v>188</v>
      </c>
      <c r="C7" s="450"/>
      <c r="D7" s="451"/>
      <c r="E7" s="451"/>
      <c r="F7" s="451"/>
      <c r="G7" s="451"/>
      <c r="H7" s="451"/>
      <c r="I7" s="451"/>
      <c r="J7" s="451"/>
      <c r="K7" s="451"/>
      <c r="L7" s="451"/>
      <c r="M7" s="452"/>
      <c r="N7" s="85"/>
      <c r="O7" s="85"/>
      <c r="P7" s="85"/>
    </row>
    <row r="8" spans="1:16" s="164" customFormat="1" ht="43.5" customHeight="1" x14ac:dyDescent="0.25">
      <c r="A8" s="447" t="s">
        <v>18</v>
      </c>
      <c r="B8" s="448" t="s">
        <v>136</v>
      </c>
      <c r="C8" s="449" t="s">
        <v>78</v>
      </c>
      <c r="D8" s="33" t="s">
        <v>5</v>
      </c>
      <c r="E8" s="172">
        <f>E9</f>
        <v>0</v>
      </c>
      <c r="F8" s="141">
        <f>SUM(G8:K8)</f>
        <v>0</v>
      </c>
      <c r="G8" s="172">
        <f>G9</f>
        <v>0</v>
      </c>
      <c r="H8" s="172">
        <f t="shared" ref="H8:K9" si="0">H9</f>
        <v>0</v>
      </c>
      <c r="I8" s="172">
        <f t="shared" si="0"/>
        <v>0</v>
      </c>
      <c r="J8" s="172">
        <f t="shared" si="0"/>
        <v>0</v>
      </c>
      <c r="K8" s="172">
        <f t="shared" si="0"/>
        <v>0</v>
      </c>
      <c r="L8" s="439"/>
      <c r="M8" s="441"/>
      <c r="N8" s="184"/>
      <c r="O8" s="184"/>
      <c r="P8" s="184"/>
    </row>
    <row r="9" spans="1:16" s="164" customFormat="1" ht="72" customHeight="1" x14ac:dyDescent="0.25">
      <c r="A9" s="447"/>
      <c r="B9" s="448"/>
      <c r="C9" s="449"/>
      <c r="D9" s="33" t="s">
        <v>2</v>
      </c>
      <c r="E9" s="173">
        <f>E10</f>
        <v>0</v>
      </c>
      <c r="F9" s="141">
        <f>SUM(G9:K9)</f>
        <v>0</v>
      </c>
      <c r="G9" s="173">
        <f>G10</f>
        <v>0</v>
      </c>
      <c r="H9" s="173">
        <f t="shared" si="0"/>
        <v>0</v>
      </c>
      <c r="I9" s="173">
        <f t="shared" si="0"/>
        <v>0</v>
      </c>
      <c r="J9" s="173">
        <f t="shared" si="0"/>
        <v>0</v>
      </c>
      <c r="K9" s="173">
        <f t="shared" si="0"/>
        <v>0</v>
      </c>
      <c r="L9" s="440"/>
      <c r="M9" s="442"/>
      <c r="N9" s="185"/>
      <c r="O9" s="185"/>
      <c r="P9" s="185"/>
    </row>
    <row r="10" spans="1:16" ht="237.75" customHeight="1" x14ac:dyDescent="0.25">
      <c r="A10" s="179" t="s">
        <v>44</v>
      </c>
      <c r="B10" s="180" t="s">
        <v>105</v>
      </c>
      <c r="C10" s="181" t="s">
        <v>78</v>
      </c>
      <c r="D10" s="167" t="s">
        <v>2</v>
      </c>
      <c r="E10" s="168">
        <v>0</v>
      </c>
      <c r="F10" s="142">
        <f t="shared" ref="F10" si="1">SUM(G10:K10)</f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82" t="s">
        <v>6</v>
      </c>
      <c r="M10" s="183" t="s">
        <v>105</v>
      </c>
      <c r="N10" s="143">
        <f>('[1]Лист 1'!$F$476+'[1]Лист 1'!$F$477)/1000</f>
        <v>16611.023000000001</v>
      </c>
      <c r="O10" s="34">
        <v>16611.023000000001</v>
      </c>
      <c r="P10" s="90">
        <f>N10-O10</f>
        <v>0</v>
      </c>
    </row>
    <row r="11" spans="1:16" s="164" customFormat="1" ht="34.5" customHeight="1" x14ac:dyDescent="0.25">
      <c r="A11" s="447" t="s">
        <v>254</v>
      </c>
      <c r="B11" s="448" t="s">
        <v>137</v>
      </c>
      <c r="C11" s="449" t="s">
        <v>78</v>
      </c>
      <c r="D11" s="33" t="s">
        <v>5</v>
      </c>
      <c r="E11" s="172">
        <f>E12</f>
        <v>0</v>
      </c>
      <c r="F11" s="141">
        <f>SUM(G11:K11)</f>
        <v>0</v>
      </c>
      <c r="G11" s="172">
        <f>G12</f>
        <v>0</v>
      </c>
      <c r="H11" s="172">
        <f t="shared" ref="H11:K12" si="2">H12</f>
        <v>0</v>
      </c>
      <c r="I11" s="172">
        <f t="shared" si="2"/>
        <v>0</v>
      </c>
      <c r="J11" s="172">
        <f t="shared" si="2"/>
        <v>0</v>
      </c>
      <c r="K11" s="172">
        <f t="shared" si="2"/>
        <v>0</v>
      </c>
      <c r="L11" s="439"/>
      <c r="M11" s="441"/>
      <c r="N11" s="184"/>
      <c r="O11" s="184"/>
      <c r="P11" s="184"/>
    </row>
    <row r="12" spans="1:16" s="164" customFormat="1" ht="56.25" x14ac:dyDescent="0.25">
      <c r="A12" s="447"/>
      <c r="B12" s="448"/>
      <c r="C12" s="449"/>
      <c r="D12" s="33" t="s">
        <v>84</v>
      </c>
      <c r="E12" s="173">
        <f>E13</f>
        <v>0</v>
      </c>
      <c r="F12" s="141">
        <f>SUM(G12:K12)</f>
        <v>0</v>
      </c>
      <c r="G12" s="173">
        <f>G13</f>
        <v>0</v>
      </c>
      <c r="H12" s="173">
        <f t="shared" si="2"/>
        <v>0</v>
      </c>
      <c r="I12" s="173">
        <f t="shared" si="2"/>
        <v>0</v>
      </c>
      <c r="J12" s="173">
        <f t="shared" si="2"/>
        <v>0</v>
      </c>
      <c r="K12" s="173">
        <f t="shared" si="2"/>
        <v>0</v>
      </c>
      <c r="L12" s="440"/>
      <c r="M12" s="442"/>
      <c r="N12" s="185"/>
      <c r="O12" s="185"/>
      <c r="P12" s="185"/>
    </row>
    <row r="13" spans="1:16" ht="75" x14ac:dyDescent="0.25">
      <c r="A13" s="179" t="s">
        <v>48</v>
      </c>
      <c r="B13" s="180" t="s">
        <v>138</v>
      </c>
      <c r="C13" s="181" t="s">
        <v>78</v>
      </c>
      <c r="D13" s="167" t="s">
        <v>84</v>
      </c>
      <c r="E13" s="168">
        <v>0</v>
      </c>
      <c r="F13" s="142">
        <f t="shared" ref="F13" si="3">SUM(G13:K13)</f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82" t="s">
        <v>6</v>
      </c>
      <c r="M13" s="183" t="s">
        <v>138</v>
      </c>
      <c r="N13" s="143">
        <f>('[1]Лист 1'!$F$476+'[1]Лист 1'!$F$477)/1000</f>
        <v>16611.023000000001</v>
      </c>
      <c r="O13" s="34">
        <v>16611.023000000001</v>
      </c>
      <c r="P13" s="90">
        <f>N13-O13</f>
        <v>0</v>
      </c>
    </row>
    <row r="14" spans="1:16" ht="18.75" x14ac:dyDescent="0.25">
      <c r="A14" s="347" t="s">
        <v>31</v>
      </c>
      <c r="B14" s="348"/>
      <c r="C14" s="348"/>
      <c r="D14" s="348"/>
      <c r="E14" s="121">
        <f>E15+E16</f>
        <v>0</v>
      </c>
      <c r="F14" s="174">
        <f>SUM(G14:K14)</f>
        <v>0</v>
      </c>
      <c r="G14" s="121">
        <f>G15+G16</f>
        <v>0</v>
      </c>
      <c r="H14" s="121">
        <f t="shared" ref="H14:K14" si="4">H15+H16</f>
        <v>0</v>
      </c>
      <c r="I14" s="121">
        <f t="shared" si="4"/>
        <v>0</v>
      </c>
      <c r="J14" s="121">
        <f t="shared" si="4"/>
        <v>0</v>
      </c>
      <c r="K14" s="121">
        <f t="shared" si="4"/>
        <v>0</v>
      </c>
      <c r="L14" s="36"/>
      <c r="M14" s="53"/>
      <c r="N14" s="87"/>
      <c r="O14" s="87"/>
      <c r="P14" s="87"/>
    </row>
    <row r="15" spans="1:16" ht="18.75" x14ac:dyDescent="0.25">
      <c r="A15" s="343" t="s">
        <v>2</v>
      </c>
      <c r="B15" s="344"/>
      <c r="C15" s="344"/>
      <c r="D15" s="344"/>
      <c r="E15" s="122">
        <f>E9</f>
        <v>0</v>
      </c>
      <c r="F15" s="174">
        <f t="shared" ref="F15:F16" si="5">SUM(G15:K15)</f>
        <v>0</v>
      </c>
      <c r="G15" s="122">
        <f>G9</f>
        <v>0</v>
      </c>
      <c r="H15" s="122">
        <f t="shared" ref="H15:K15" si="6">H9</f>
        <v>0</v>
      </c>
      <c r="I15" s="122">
        <f t="shared" si="6"/>
        <v>0</v>
      </c>
      <c r="J15" s="122">
        <f t="shared" si="6"/>
        <v>0</v>
      </c>
      <c r="K15" s="122">
        <f t="shared" si="6"/>
        <v>0</v>
      </c>
      <c r="L15" s="37"/>
      <c r="M15" s="54"/>
      <c r="N15" s="88"/>
      <c r="O15" s="88"/>
      <c r="P15" s="88"/>
    </row>
    <row r="16" spans="1:16" ht="19.5" thickBot="1" x14ac:dyDescent="0.3">
      <c r="A16" s="443" t="s">
        <v>82</v>
      </c>
      <c r="B16" s="444"/>
      <c r="C16" s="444"/>
      <c r="D16" s="444"/>
      <c r="E16" s="144">
        <f>E12</f>
        <v>0</v>
      </c>
      <c r="F16" s="175">
        <f t="shared" si="5"/>
        <v>0</v>
      </c>
      <c r="G16" s="144">
        <f>G12</f>
        <v>0</v>
      </c>
      <c r="H16" s="144">
        <f t="shared" ref="H16:K16" si="7">H12</f>
        <v>0</v>
      </c>
      <c r="I16" s="144">
        <f t="shared" si="7"/>
        <v>0</v>
      </c>
      <c r="J16" s="144">
        <f t="shared" si="7"/>
        <v>0</v>
      </c>
      <c r="K16" s="144">
        <f t="shared" si="7"/>
        <v>0</v>
      </c>
      <c r="L16" s="145"/>
      <c r="M16" s="146"/>
      <c r="N16" s="88"/>
      <c r="O16" s="88"/>
      <c r="P16" s="88"/>
    </row>
    <row r="17" spans="1:16" ht="15.75" x14ac:dyDescent="0.25">
      <c r="A17" s="55"/>
      <c r="B17" s="55"/>
      <c r="C17" s="56"/>
      <c r="D17" s="56"/>
      <c r="E17" s="56"/>
      <c r="F17" s="57"/>
      <c r="G17" s="58"/>
      <c r="H17" s="105"/>
      <c r="I17" s="136"/>
      <c r="J17" s="59"/>
      <c r="K17" s="59"/>
      <c r="L17" s="55"/>
      <c r="M17" s="55"/>
      <c r="N17" s="55"/>
      <c r="O17" s="55"/>
      <c r="P17" s="55"/>
    </row>
    <row r="18" spans="1:16" ht="15.75" x14ac:dyDescent="0.25">
      <c r="E18" s="16"/>
      <c r="F18" s="23"/>
      <c r="G18" s="16"/>
      <c r="H18" s="106"/>
    </row>
    <row r="19" spans="1:16" ht="15.75" x14ac:dyDescent="0.25">
      <c r="C19" s="22"/>
      <c r="D19" s="22"/>
      <c r="E19" s="22"/>
      <c r="F19" s="60"/>
      <c r="G19" s="22"/>
      <c r="H19" s="107"/>
      <c r="I19" s="107"/>
      <c r="J19" s="22"/>
      <c r="K19" s="22"/>
    </row>
    <row r="20" spans="1:16" x14ac:dyDescent="0.25">
      <c r="E20" s="16"/>
    </row>
    <row r="21" spans="1:16" x14ac:dyDescent="0.25">
      <c r="E21" s="16"/>
      <c r="F21" s="61"/>
      <c r="G21" s="32"/>
      <c r="H21" s="102"/>
      <c r="I21" s="102"/>
      <c r="J21" s="32"/>
      <c r="K21" s="32"/>
    </row>
    <row r="22" spans="1:16" x14ac:dyDescent="0.25">
      <c r="E22" s="16"/>
      <c r="F22" s="61"/>
      <c r="G22" s="32"/>
      <c r="H22" s="102"/>
      <c r="I22" s="97"/>
      <c r="J22" s="16"/>
      <c r="K22" s="16"/>
    </row>
    <row r="23" spans="1:16" x14ac:dyDescent="0.25">
      <c r="E23" s="16"/>
      <c r="F23" s="61"/>
      <c r="G23" s="32"/>
      <c r="H23" s="102"/>
      <c r="I23" s="102"/>
      <c r="J23" s="32"/>
      <c r="K23" s="32"/>
    </row>
    <row r="24" spans="1:16" x14ac:dyDescent="0.25">
      <c r="E24" s="32"/>
      <c r="F24" s="61"/>
      <c r="G24" s="32"/>
      <c r="H24" s="102"/>
      <c r="I24" s="102"/>
      <c r="J24" s="32"/>
      <c r="K24" s="32"/>
    </row>
    <row r="25" spans="1:16" x14ac:dyDescent="0.25">
      <c r="F25" s="61"/>
      <c r="G25" s="32"/>
    </row>
    <row r="26" spans="1:16" x14ac:dyDescent="0.25">
      <c r="E26" s="32"/>
      <c r="F26" s="61"/>
      <c r="G26" s="32"/>
      <c r="H26" s="102"/>
      <c r="I26" s="102"/>
      <c r="J26" s="32"/>
      <c r="K26" s="32"/>
    </row>
    <row r="27" spans="1:16" x14ac:dyDescent="0.25">
      <c r="E27" s="32"/>
      <c r="F27" s="61"/>
      <c r="G27" s="32"/>
      <c r="H27" s="102"/>
      <c r="I27" s="102"/>
      <c r="J27" s="32"/>
      <c r="K27" s="32"/>
    </row>
    <row r="28" spans="1:16" x14ac:dyDescent="0.25">
      <c r="F28" s="61"/>
      <c r="G28" s="32"/>
      <c r="H28" s="102"/>
    </row>
    <row r="30" spans="1:16" x14ac:dyDescent="0.25">
      <c r="F30" s="61"/>
      <c r="G30" s="32"/>
      <c r="H30" s="102"/>
      <c r="I30" s="102"/>
      <c r="J30" s="32"/>
      <c r="K30" s="32"/>
    </row>
    <row r="31" spans="1:16" x14ac:dyDescent="0.25">
      <c r="F31" s="61"/>
      <c r="G31" s="32"/>
      <c r="H31" s="102"/>
      <c r="I31" s="102"/>
      <c r="J31" s="32"/>
      <c r="K31" s="32"/>
    </row>
    <row r="32" spans="1:16" x14ac:dyDescent="0.25">
      <c r="F32" s="23"/>
      <c r="G32" s="16"/>
      <c r="H32" s="97"/>
      <c r="I32" s="97"/>
      <c r="J32" s="16"/>
      <c r="K32" s="16"/>
    </row>
  </sheetData>
  <mergeCells count="24">
    <mergeCell ref="A16:D16"/>
    <mergeCell ref="A4:A5"/>
    <mergeCell ref="A8:A9"/>
    <mergeCell ref="B8:B9"/>
    <mergeCell ref="C8:C9"/>
    <mergeCell ref="B7:M7"/>
    <mergeCell ref="D4:D5"/>
    <mergeCell ref="E4:E5"/>
    <mergeCell ref="B4:B5"/>
    <mergeCell ref="C4:C5"/>
    <mergeCell ref="M4:M5"/>
    <mergeCell ref="A11:A12"/>
    <mergeCell ref="B11:B12"/>
    <mergeCell ref="C11:C12"/>
    <mergeCell ref="L8:L9"/>
    <mergeCell ref="M8:M9"/>
    <mergeCell ref="L2:M2"/>
    <mergeCell ref="F4:F5"/>
    <mergeCell ref="L4:L5"/>
    <mergeCell ref="G4:K4"/>
    <mergeCell ref="A15:D15"/>
    <mergeCell ref="A14:D14"/>
    <mergeCell ref="L11:L12"/>
    <mergeCell ref="M11:M12"/>
  </mergeCells>
  <pageMargins left="0.19685039370078741" right="0.19685039370078741" top="0.59055118110236227" bottom="0.39370078740157483" header="0.39370078740157483" footer="0"/>
  <pageSetup paperSize="9" scale="44" firstPageNumber="16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1"/>
  <sheetViews>
    <sheetView view="pageBreakPreview" zoomScale="70" zoomScaleNormal="70" zoomScaleSheetLayoutView="70" workbookViewId="0">
      <selection activeCell="D4" sqref="D4:D5"/>
    </sheetView>
  </sheetViews>
  <sheetFormatPr defaultColWidth="9.140625" defaultRowHeight="15" x14ac:dyDescent="0.25"/>
  <cols>
    <col min="1" max="1" width="6.7109375" style="5" customWidth="1"/>
    <col min="2" max="2" width="64.42578125" style="5" customWidth="1"/>
    <col min="3" max="3" width="18.5703125" style="5" customWidth="1"/>
    <col min="4" max="4" width="32.85546875" style="5" customWidth="1"/>
    <col min="5" max="5" width="21.28515625" style="5" customWidth="1"/>
    <col min="6" max="6" width="22.7109375" style="27" customWidth="1"/>
    <col min="7" max="7" width="21.5703125" style="5" customWidth="1"/>
    <col min="8" max="8" width="22.85546875" style="99" customWidth="1"/>
    <col min="9" max="9" width="21.5703125" style="99" customWidth="1"/>
    <col min="10" max="10" width="22" style="5" customWidth="1"/>
    <col min="11" max="11" width="21.42578125" style="5" customWidth="1"/>
    <col min="12" max="12" width="26.5703125" style="5" customWidth="1"/>
    <col min="13" max="13" width="42" style="5" customWidth="1"/>
    <col min="14" max="14" width="31" style="5" hidden="1" customWidth="1"/>
    <col min="15" max="15" width="27.140625" style="5" hidden="1" customWidth="1"/>
    <col min="16" max="16" width="24.42578125" style="5" hidden="1" customWidth="1"/>
    <col min="17" max="17" width="50.5703125" style="5" hidden="1" customWidth="1"/>
    <col min="18" max="16384" width="9.140625" style="5"/>
  </cols>
  <sheetData>
    <row r="1" spans="1:18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18" ht="9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361"/>
      <c r="M2" s="361"/>
      <c r="N2" s="135"/>
      <c r="O2" s="135"/>
      <c r="P2" s="135"/>
    </row>
    <row r="3" spans="1:18" ht="6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35"/>
      <c r="M3" s="135"/>
      <c r="N3" s="135"/>
      <c r="O3" s="135"/>
      <c r="P3" s="135"/>
    </row>
    <row r="4" spans="1:18" ht="29.25" customHeight="1" x14ac:dyDescent="0.25">
      <c r="A4" s="445" t="s">
        <v>0</v>
      </c>
      <c r="B4" s="437" t="s">
        <v>8</v>
      </c>
      <c r="C4" s="437" t="s">
        <v>85</v>
      </c>
      <c r="D4" s="437" t="s">
        <v>9</v>
      </c>
      <c r="E4" s="437" t="s">
        <v>103</v>
      </c>
      <c r="F4" s="435" t="s">
        <v>10</v>
      </c>
      <c r="G4" s="437" t="s">
        <v>24</v>
      </c>
      <c r="H4" s="437"/>
      <c r="I4" s="437"/>
      <c r="J4" s="437"/>
      <c r="K4" s="437"/>
      <c r="L4" s="437" t="s">
        <v>11</v>
      </c>
      <c r="M4" s="453" t="s">
        <v>4</v>
      </c>
      <c r="N4" s="84"/>
      <c r="O4" s="84"/>
      <c r="P4" s="84"/>
    </row>
    <row r="5" spans="1:18" ht="57" customHeight="1" x14ac:dyDescent="0.25">
      <c r="A5" s="446"/>
      <c r="B5" s="438"/>
      <c r="C5" s="438"/>
      <c r="D5" s="438"/>
      <c r="E5" s="438"/>
      <c r="F5" s="436"/>
      <c r="G5" s="51" t="s">
        <v>109</v>
      </c>
      <c r="H5" s="104" t="s">
        <v>60</v>
      </c>
      <c r="I5" s="104" t="s">
        <v>75</v>
      </c>
      <c r="J5" s="51" t="s">
        <v>76</v>
      </c>
      <c r="K5" s="51" t="s">
        <v>77</v>
      </c>
      <c r="L5" s="438"/>
      <c r="M5" s="454"/>
      <c r="N5" s="84" t="s">
        <v>69</v>
      </c>
      <c r="O5" s="84" t="s">
        <v>70</v>
      </c>
      <c r="P5" s="84"/>
    </row>
    <row r="6" spans="1:18" ht="18.75" x14ac:dyDescent="0.25">
      <c r="A6" s="12" t="s">
        <v>18</v>
      </c>
      <c r="B6" s="13">
        <v>2</v>
      </c>
      <c r="C6" s="13" t="s">
        <v>12</v>
      </c>
      <c r="D6" s="13" t="s">
        <v>58</v>
      </c>
      <c r="E6" s="13" t="s">
        <v>13</v>
      </c>
      <c r="F6" s="14" t="s">
        <v>55</v>
      </c>
      <c r="G6" s="13" t="s">
        <v>14</v>
      </c>
      <c r="H6" s="96" t="s">
        <v>56</v>
      </c>
      <c r="I6" s="96" t="s">
        <v>15</v>
      </c>
      <c r="J6" s="13" t="s">
        <v>16</v>
      </c>
      <c r="K6" s="13" t="s">
        <v>19</v>
      </c>
      <c r="L6" s="13" t="s">
        <v>20</v>
      </c>
      <c r="M6" s="15" t="s">
        <v>25</v>
      </c>
      <c r="N6" s="80"/>
      <c r="O6" s="80"/>
      <c r="P6" s="80"/>
    </row>
    <row r="7" spans="1:18" ht="34.5" customHeight="1" x14ac:dyDescent="0.25">
      <c r="A7" s="52"/>
      <c r="B7" s="450" t="s">
        <v>189</v>
      </c>
      <c r="C7" s="450"/>
      <c r="D7" s="451"/>
      <c r="E7" s="451"/>
      <c r="F7" s="451"/>
      <c r="G7" s="451"/>
      <c r="H7" s="451"/>
      <c r="I7" s="451"/>
      <c r="J7" s="451"/>
      <c r="K7" s="451"/>
      <c r="L7" s="451"/>
      <c r="M7" s="452"/>
      <c r="N7" s="85"/>
      <c r="O7" s="85"/>
      <c r="P7" s="85"/>
    </row>
    <row r="8" spans="1:18" ht="34.5" customHeight="1" x14ac:dyDescent="0.25">
      <c r="A8" s="447" t="s">
        <v>18</v>
      </c>
      <c r="B8" s="448" t="s">
        <v>139</v>
      </c>
      <c r="C8" s="448" t="s">
        <v>78</v>
      </c>
      <c r="D8" s="227" t="s">
        <v>5</v>
      </c>
      <c r="E8" s="228">
        <f>E9</f>
        <v>181275.1586</v>
      </c>
      <c r="F8" s="142">
        <f>SUM(G8:K8)</f>
        <v>787999.35309000011</v>
      </c>
      <c r="G8" s="228">
        <f>G9</f>
        <v>147888.39708999998</v>
      </c>
      <c r="H8" s="228">
        <f>H9</f>
        <v>161150.239</v>
      </c>
      <c r="I8" s="228">
        <f>I9</f>
        <v>159660.239</v>
      </c>
      <c r="J8" s="228">
        <f>J9</f>
        <v>159650.239</v>
      </c>
      <c r="K8" s="228">
        <f>K9</f>
        <v>159650.239</v>
      </c>
      <c r="L8" s="439"/>
      <c r="M8" s="441"/>
      <c r="N8" s="85"/>
      <c r="O8" s="85"/>
      <c r="P8" s="85"/>
    </row>
    <row r="9" spans="1:18" ht="56.25" x14ac:dyDescent="0.25">
      <c r="A9" s="447"/>
      <c r="B9" s="448"/>
      <c r="C9" s="448"/>
      <c r="D9" s="227" t="s">
        <v>84</v>
      </c>
      <c r="E9" s="229">
        <f>E10+E11+E12</f>
        <v>181275.1586</v>
      </c>
      <c r="F9" s="142">
        <f>SUM(G9:K9)</f>
        <v>787999.35309000011</v>
      </c>
      <c r="G9" s="229">
        <f>G10+G11+G12</f>
        <v>147888.39708999998</v>
      </c>
      <c r="H9" s="229">
        <f>H10+H11+H12</f>
        <v>161150.239</v>
      </c>
      <c r="I9" s="229">
        <f>I10+I11+I12</f>
        <v>159660.239</v>
      </c>
      <c r="J9" s="229">
        <f>J10+J11+J12</f>
        <v>159650.239</v>
      </c>
      <c r="K9" s="229">
        <f>K10+K11+K12</f>
        <v>159650.239</v>
      </c>
      <c r="L9" s="440"/>
      <c r="M9" s="442"/>
      <c r="N9" s="86"/>
      <c r="O9" s="86"/>
      <c r="P9" s="86"/>
    </row>
    <row r="10" spans="1:18" ht="60.75" customHeight="1" x14ac:dyDescent="0.25">
      <c r="A10" s="179" t="s">
        <v>44</v>
      </c>
      <c r="B10" s="180" t="s">
        <v>217</v>
      </c>
      <c r="C10" s="202" t="s">
        <v>78</v>
      </c>
      <c r="D10" s="203" t="s">
        <v>84</v>
      </c>
      <c r="E10" s="168">
        <v>97858.007519999999</v>
      </c>
      <c r="F10" s="142">
        <f t="shared" ref="F10:F12" si="0">SUM(G10:K10)</f>
        <v>430881.94044999999</v>
      </c>
      <c r="G10" s="168">
        <f>84416.029-1539.055+5072.272+586-1516+1239.9233-33.72485-2594</f>
        <v>85631.444449999995</v>
      </c>
      <c r="H10" s="168">
        <v>86310.123999999996</v>
      </c>
      <c r="I10" s="168">
        <v>86320.123999999996</v>
      </c>
      <c r="J10" s="168">
        <v>86310.123999999996</v>
      </c>
      <c r="K10" s="168">
        <v>86310.123999999996</v>
      </c>
      <c r="L10" s="204" t="s">
        <v>6</v>
      </c>
      <c r="M10" s="205" t="s">
        <v>21</v>
      </c>
      <c r="N10" s="143">
        <f>('[1]Лист 1'!$F$476+'[1]Лист 1'!$F$477)/1000</f>
        <v>16611.023000000001</v>
      </c>
      <c r="O10" s="34">
        <v>16611.023000000001</v>
      </c>
      <c r="P10" s="90">
        <f>N10-O10</f>
        <v>0</v>
      </c>
      <c r="R10" s="5" t="s">
        <v>259</v>
      </c>
    </row>
    <row r="11" spans="1:18" ht="109.5" customHeight="1" x14ac:dyDescent="0.25">
      <c r="A11" s="179" t="s">
        <v>45</v>
      </c>
      <c r="B11" s="180" t="s">
        <v>218</v>
      </c>
      <c r="C11" s="202" t="s">
        <v>78</v>
      </c>
      <c r="D11" s="203" t="s">
        <v>84</v>
      </c>
      <c r="E11" s="168">
        <v>39046.151080000003</v>
      </c>
      <c r="F11" s="142">
        <f t="shared" si="0"/>
        <v>204267.09263999999</v>
      </c>
      <c r="G11" s="168">
        <f>41443.314-3918-15.27385-14.60751</f>
        <v>37495.432639999999</v>
      </c>
      <c r="H11" s="168">
        <v>41692.914999999994</v>
      </c>
      <c r="I11" s="168">
        <v>41692.914999999994</v>
      </c>
      <c r="J11" s="168">
        <v>41692.914999999994</v>
      </c>
      <c r="K11" s="168">
        <v>41692.914999999994</v>
      </c>
      <c r="L11" s="204" t="s">
        <v>177</v>
      </c>
      <c r="M11" s="205" t="s">
        <v>192</v>
      </c>
      <c r="N11" s="143">
        <f>'[1]Лист 1'!$F$478/1000</f>
        <v>0.27</v>
      </c>
      <c r="O11" s="35">
        <v>0.27</v>
      </c>
      <c r="P11" s="90">
        <f t="shared" ref="P11:P12" si="1">N11-O11</f>
        <v>0</v>
      </c>
      <c r="R11" s="5" t="s">
        <v>260</v>
      </c>
    </row>
    <row r="12" spans="1:18" ht="312.75" customHeight="1" x14ac:dyDescent="0.25">
      <c r="A12" s="209" t="s">
        <v>46</v>
      </c>
      <c r="B12" s="210" t="s">
        <v>108</v>
      </c>
      <c r="C12" s="211" t="s">
        <v>78</v>
      </c>
      <c r="D12" s="212" t="s">
        <v>84</v>
      </c>
      <c r="E12" s="213">
        <v>44371</v>
      </c>
      <c r="F12" s="215">
        <f t="shared" si="0"/>
        <v>152850.32</v>
      </c>
      <c r="G12" s="213">
        <f>36378.4+1539.055+586-586-13155.935</f>
        <v>24761.520000000004</v>
      </c>
      <c r="H12" s="213">
        <v>33147.199999999997</v>
      </c>
      <c r="I12" s="213">
        <v>31647.200000000001</v>
      </c>
      <c r="J12" s="213">
        <v>31647.200000000001</v>
      </c>
      <c r="K12" s="213">
        <v>31647.200000000001</v>
      </c>
      <c r="L12" s="214" t="s">
        <v>66</v>
      </c>
      <c r="M12" s="224" t="s">
        <v>179</v>
      </c>
      <c r="N12" s="143">
        <v>0</v>
      </c>
      <c r="O12" s="35">
        <v>0</v>
      </c>
      <c r="P12" s="90">
        <f t="shared" si="1"/>
        <v>0</v>
      </c>
      <c r="Q12" s="17"/>
      <c r="R12" s="17"/>
    </row>
    <row r="13" spans="1:18" ht="18.75" x14ac:dyDescent="0.25">
      <c r="A13" s="347" t="s">
        <v>106</v>
      </c>
      <c r="B13" s="348"/>
      <c r="C13" s="348"/>
      <c r="D13" s="348"/>
      <c r="E13" s="121">
        <f>E14</f>
        <v>181275.1586</v>
      </c>
      <c r="F13" s="174">
        <f>SUM(G13:K13)</f>
        <v>787999.35309000011</v>
      </c>
      <c r="G13" s="121">
        <f>G14</f>
        <v>147888.39708999998</v>
      </c>
      <c r="H13" s="121">
        <f>H14</f>
        <v>161150.239</v>
      </c>
      <c r="I13" s="121">
        <f t="shared" ref="I13:K13" si="2">I14</f>
        <v>159660.239</v>
      </c>
      <c r="J13" s="121">
        <f t="shared" si="2"/>
        <v>159650.239</v>
      </c>
      <c r="K13" s="121">
        <f t="shared" si="2"/>
        <v>159650.239</v>
      </c>
      <c r="L13" s="36"/>
      <c r="M13" s="53"/>
      <c r="N13" s="87"/>
      <c r="O13" s="87"/>
      <c r="P13" s="87"/>
    </row>
    <row r="14" spans="1:18" ht="19.5" thickBot="1" x14ac:dyDescent="0.3">
      <c r="A14" s="455" t="s">
        <v>82</v>
      </c>
      <c r="B14" s="456"/>
      <c r="C14" s="456"/>
      <c r="D14" s="456"/>
      <c r="E14" s="148">
        <f>E9</f>
        <v>181275.1586</v>
      </c>
      <c r="F14" s="216">
        <f>SUM(G14:K14)</f>
        <v>787999.35309000011</v>
      </c>
      <c r="G14" s="148">
        <f>G9</f>
        <v>147888.39708999998</v>
      </c>
      <c r="H14" s="151">
        <f>H9</f>
        <v>161150.239</v>
      </c>
      <c r="I14" s="151">
        <f>I9</f>
        <v>159660.239</v>
      </c>
      <c r="J14" s="151">
        <f>J9</f>
        <v>159650.239</v>
      </c>
      <c r="K14" s="151">
        <f>K9</f>
        <v>159650.239</v>
      </c>
      <c r="L14" s="149"/>
      <c r="M14" s="150"/>
      <c r="N14" s="88"/>
      <c r="O14" s="88"/>
      <c r="P14" s="88"/>
    </row>
    <row r="15" spans="1:18" ht="18.75" x14ac:dyDescent="0.25">
      <c r="A15" s="457" t="s">
        <v>32</v>
      </c>
      <c r="B15" s="458"/>
      <c r="C15" s="458"/>
      <c r="D15" s="458"/>
      <c r="E15" s="65">
        <f>E16+E17+E18+E20+E21</f>
        <v>8049667.02085</v>
      </c>
      <c r="F15" s="217">
        <f>SUM(G15:K15)</f>
        <v>49223808.372779995</v>
      </c>
      <c r="G15" s="152">
        <f>G16+G17+G18+G20+G21</f>
        <v>10018973.000639999</v>
      </c>
      <c r="H15" s="152">
        <f t="shared" ref="H15:K15" si="3">H16+H17+H18+H20+H21</f>
        <v>9892521.6412499994</v>
      </c>
      <c r="I15" s="152">
        <f t="shared" si="3"/>
        <v>9776859.6318899989</v>
      </c>
      <c r="J15" s="152">
        <f t="shared" si="3"/>
        <v>9801153.3029999994</v>
      </c>
      <c r="K15" s="152">
        <f t="shared" si="3"/>
        <v>9734300.7960000001</v>
      </c>
      <c r="L15" s="66"/>
      <c r="M15" s="67"/>
      <c r="N15" s="89"/>
      <c r="Q15" s="16"/>
      <c r="R15" s="16"/>
    </row>
    <row r="16" spans="1:18" ht="18.75" x14ac:dyDescent="0.25">
      <c r="A16" s="459" t="s">
        <v>68</v>
      </c>
      <c r="B16" s="460"/>
      <c r="C16" s="460"/>
      <c r="D16" s="460"/>
      <c r="E16" s="68">
        <f>'Подпрограмма 2'!E80+'Подпрограмма 3'!E69</f>
        <v>5515.06754</v>
      </c>
      <c r="F16" s="218">
        <f>SUM(G16:K16)</f>
        <v>970432.83068999997</v>
      </c>
      <c r="G16" s="153">
        <f>'Подпрограмма 2'!G80+'Подпрограмма 3'!G69+'Подпрограмма 1'!G58</f>
        <v>111921.27607000001</v>
      </c>
      <c r="H16" s="153">
        <f>'Подпрограмма 2'!H80+'Подпрограмма 3'!H69+'Подпрограмма 1'!H58</f>
        <v>282051.55886999995</v>
      </c>
      <c r="I16" s="153">
        <f>'Подпрограмма 2'!I80+'Подпрограмма 3'!I69+'Подпрограмма 1'!I58</f>
        <v>296321.99575</v>
      </c>
      <c r="J16" s="153">
        <f>'Подпрограмма 2'!J80+'Подпрограмма 3'!J69+'Подпрограмма 1'!J58</f>
        <v>140069</v>
      </c>
      <c r="K16" s="153">
        <f>'Подпрограмма 2'!K80+'Подпрограмма 3'!K69+'Подпрограмма 1'!K58</f>
        <v>140069</v>
      </c>
      <c r="L16" s="62"/>
      <c r="M16" s="63"/>
      <c r="N16" s="69" t="e">
        <f>'Подпрограмма 1'!#REF!</f>
        <v>#REF!</v>
      </c>
      <c r="Q16" s="16"/>
      <c r="R16" s="16"/>
    </row>
    <row r="17" spans="1:18" ht="18.75" x14ac:dyDescent="0.25">
      <c r="A17" s="459" t="s">
        <v>2</v>
      </c>
      <c r="B17" s="460"/>
      <c r="C17" s="460"/>
      <c r="D17" s="460"/>
      <c r="E17" s="68">
        <f>'Подпрограмма 1'!E59+'Подпрограмма 2'!E81+'Подпрограмма 3'!E70+'Подпрограмма 4'!E15</f>
        <v>5271227.3558499999</v>
      </c>
      <c r="F17" s="218">
        <f t="shared" ref="F17:F21" si="4">SUM(G17:K17)</f>
        <v>29336384.16931</v>
      </c>
      <c r="G17" s="153">
        <f>'Подпрограмма 1'!G59+'Подпрограмма 2'!G81+'Подпрограмма 3'!G70+'Подпрограмма 4'!G15</f>
        <v>6001056.7239299994</v>
      </c>
      <c r="H17" s="153">
        <f>'Подпрограмма 1'!H59+'Подпрограмма 2'!H81+'Подпрограмма 3'!H70+'Подпрограмма 4'!H15</f>
        <v>5873705.4411299992</v>
      </c>
      <c r="I17" s="153">
        <f>'Подпрограмма 1'!I59+'Подпрограмма 2'!I81+'Подпрограмма 3'!I70+'Подпрограмма 4'!I15</f>
        <v>5787204.0042500002</v>
      </c>
      <c r="J17" s="153">
        <f>'Подпрограмма 1'!J59+'Подпрограмма 2'!J81+'Подпрограмма 3'!J70+'Подпрограмма 4'!J15</f>
        <v>5854976</v>
      </c>
      <c r="K17" s="153">
        <f>'Подпрограмма 1'!K59+'Подпрограмма 2'!K81+'Подпрограмма 3'!K70+'Подпрограмма 4'!K15</f>
        <v>5819442</v>
      </c>
      <c r="L17" s="62"/>
      <c r="M17" s="63"/>
      <c r="N17" s="71" t="e">
        <f>'Подпрограмма 1'!F51+'Подпрограмма 2'!F77+'Подпрограмма 3'!F66+#REF!</f>
        <v>#REF!</v>
      </c>
      <c r="Q17" s="16"/>
      <c r="R17" s="16"/>
    </row>
    <row r="18" spans="1:18" ht="18.75" x14ac:dyDescent="0.25">
      <c r="A18" s="459" t="s">
        <v>82</v>
      </c>
      <c r="B18" s="460"/>
      <c r="C18" s="460"/>
      <c r="D18" s="460"/>
      <c r="E18" s="68">
        <f>'Подпрограмма 1'!E60+'Подпрограмма 2'!E82+'Подпрограмма 3'!E71+'Подпрограмма 4'!E16+'Подпрограмма 5'!E14</f>
        <v>2212050.5703799999</v>
      </c>
      <c r="F18" s="218">
        <f t="shared" si="4"/>
        <v>16524056.78303</v>
      </c>
      <c r="G18" s="153">
        <f>'Подпрограмма 1'!G60+'Подпрограмма 2'!G82+'Подпрограмма 3'!G71+'Подпрограмма 4'!G16+'Подпрограмма 5'!G14</f>
        <v>3488970.8548900001</v>
      </c>
      <c r="H18" s="153">
        <f>'Подпрограмма 1'!H60+'Подпрограмма 2'!H82+'Подпрограмма 3'!H71+'Подпрограмма 4'!H16+'Подпрограмма 5'!H14</f>
        <v>3242787.0302500003</v>
      </c>
      <c r="I18" s="153">
        <f>'Подпрограмма 1'!I60+'Подпрограмма 2'!I82+'Подпрограмма 3'!I71+'Подпрограмма 4'!I16+'Подпрограмма 5'!I14</f>
        <v>3199356.0208899998</v>
      </c>
      <c r="J18" s="153">
        <f>'Подпрограмма 1'!J60+'Подпрограмма 2'!J82+'Подпрограмма 3'!J71+'Подпрограмма 4'!J16+'Подпрограмма 5'!J14</f>
        <v>3312130.6919999998</v>
      </c>
      <c r="K18" s="153">
        <f>'Подпрограмма 1'!K60+'Подпрограмма 2'!K82+'Подпрограмма 3'!K71+'Подпрограмма 4'!K16+'Подпрограмма 5'!K14</f>
        <v>3280812.1850000001</v>
      </c>
      <c r="L18" s="62"/>
      <c r="M18" s="63"/>
      <c r="N18" s="71" t="e">
        <f>'Подпрограмма 1'!F52+'Подпрограмма 2'!F78+'Подпрограмма 3'!F67+'Подпрограмма 4'!F11+#REF!</f>
        <v>#REF!</v>
      </c>
      <c r="Q18" s="16"/>
      <c r="R18" s="16"/>
    </row>
    <row r="19" spans="1:18" ht="18.75" x14ac:dyDescent="0.3">
      <c r="A19" s="286" t="s">
        <v>140</v>
      </c>
      <c r="B19" s="287"/>
      <c r="C19" s="287"/>
      <c r="D19" s="287"/>
      <c r="E19" s="112">
        <f>'Подпрограмма 1'!E61</f>
        <v>184994.723</v>
      </c>
      <c r="F19" s="218">
        <f t="shared" si="4"/>
        <v>2062080</v>
      </c>
      <c r="G19" s="112">
        <f>'Подпрограмма 1'!G61+'Подпрограмма 2'!G20</f>
        <v>412416</v>
      </c>
      <c r="H19" s="112">
        <f>'Подпрограмма 1'!H61+'Подпрограмма 2'!H20</f>
        <v>412416</v>
      </c>
      <c r="I19" s="112">
        <f>'Подпрограмма 1'!I61+'Подпрограмма 2'!I20</f>
        <v>412416</v>
      </c>
      <c r="J19" s="112">
        <f>'Подпрограмма 1'!J61+'Подпрограмма 2'!J20</f>
        <v>412416</v>
      </c>
      <c r="K19" s="112">
        <f>'Подпрограмма 1'!K61+'Подпрограмма 2'!K20</f>
        <v>412416</v>
      </c>
      <c r="L19" s="21"/>
      <c r="M19" s="64"/>
    </row>
    <row r="20" spans="1:18" ht="15.75" customHeight="1" x14ac:dyDescent="0.3">
      <c r="A20" s="286" t="s">
        <v>26</v>
      </c>
      <c r="B20" s="287"/>
      <c r="C20" s="287"/>
      <c r="D20" s="287"/>
      <c r="E20" s="94">
        <f>'Подпрограмма 1'!E62+'Подпрограмма 2'!E84+'Подпрограмма 3'!E72</f>
        <v>332307.03708000004</v>
      </c>
      <c r="F20" s="218">
        <f t="shared" si="4"/>
        <v>2282646.86375</v>
      </c>
      <c r="G20" s="112">
        <f>'Подпрограмма 1'!G62+'Подпрограмма 2'!G84+'Подпрограмма 3'!G72</f>
        <v>395158.05975000007</v>
      </c>
      <c r="H20" s="112">
        <f>'Подпрограмма 1'!H62+'Подпрограмма 2'!H84+'Подпрограмма 3'!H72</f>
        <v>471872.201</v>
      </c>
      <c r="I20" s="112">
        <f>'Подпрограмма 1'!I62+'Подпрограмма 2'!I84+'Подпрограмма 3'!I72</f>
        <v>471872.201</v>
      </c>
      <c r="J20" s="112">
        <f>'Подпрограмма 1'!J62+'Подпрограмма 2'!J84+'Подпрограмма 3'!J72</f>
        <v>471872.201</v>
      </c>
      <c r="K20" s="112">
        <f>'Подпрограмма 1'!K62+'Подпрограмма 2'!K84+'Подпрограмма 3'!K72</f>
        <v>471872.201</v>
      </c>
      <c r="L20" s="21"/>
      <c r="M20" s="64"/>
      <c r="N20" s="81">
        <f>'Подпрограмма 1'!F53+'Подпрограмма 2'!F79+'Подпрограмма 3'!F68</f>
        <v>30286756.412229996</v>
      </c>
      <c r="Q20" s="16"/>
      <c r="R20" s="16"/>
    </row>
    <row r="21" spans="1:18" ht="19.5" thickBot="1" x14ac:dyDescent="0.35">
      <c r="A21" s="284" t="s">
        <v>34</v>
      </c>
      <c r="B21" s="285"/>
      <c r="C21" s="285"/>
      <c r="D21" s="285"/>
      <c r="E21" s="147">
        <f>'Подпрограмма 1'!E63+'Подпрограмма 2'!E85</f>
        <v>228566.99000000002</v>
      </c>
      <c r="F21" s="219">
        <f t="shared" si="4"/>
        <v>110287.72600000001</v>
      </c>
      <c r="G21" s="154">
        <f>'Подпрограмма 1'!G63+'Подпрограмма 2'!G85</f>
        <v>21866.086000000003</v>
      </c>
      <c r="H21" s="154">
        <f>'Подпрограмма 1'!H63+'Подпрограмма 2'!H85</f>
        <v>22105.41</v>
      </c>
      <c r="I21" s="154">
        <f>'Подпрограмма 1'!I63+'Подпрограмма 2'!I85</f>
        <v>22105.41</v>
      </c>
      <c r="J21" s="154">
        <f>'Подпрограмма 1'!J63+'Подпрограмма 2'!J85</f>
        <v>22105.41</v>
      </c>
      <c r="K21" s="154">
        <f>'Подпрограмма 1'!K63+'Подпрограмма 2'!K85</f>
        <v>22105.41</v>
      </c>
      <c r="L21" s="48"/>
      <c r="M21" s="49"/>
      <c r="N21" s="81">
        <f>'Подпрограмма 1'!F57+'Подпрограмма 2'!F80</f>
        <v>19224297.95958</v>
      </c>
      <c r="Q21" s="16"/>
      <c r="R21" s="16"/>
    </row>
    <row r="22" spans="1:18" ht="18" x14ac:dyDescent="0.25">
      <c r="A22" s="69"/>
      <c r="B22" s="70"/>
      <c r="C22" s="70"/>
      <c r="D22" s="70"/>
      <c r="E22" s="70"/>
      <c r="F22" s="220"/>
      <c r="G22" s="71"/>
      <c r="H22" s="108"/>
      <c r="I22" s="108"/>
      <c r="J22" s="71"/>
      <c r="K22" s="71"/>
      <c r="L22" s="69"/>
      <c r="M22" s="72"/>
      <c r="N22" s="72"/>
    </row>
    <row r="23" spans="1:18" ht="18.75" x14ac:dyDescent="0.25">
      <c r="A23" s="73"/>
      <c r="B23" s="74" t="s">
        <v>275</v>
      </c>
      <c r="C23" s="79"/>
      <c r="D23" s="79"/>
      <c r="E23" s="79"/>
      <c r="F23" s="221"/>
      <c r="G23" s="75"/>
      <c r="H23" s="79" t="s">
        <v>276</v>
      </c>
      <c r="I23" s="138"/>
      <c r="J23" s="76"/>
      <c r="K23" s="76"/>
      <c r="L23" s="76"/>
      <c r="M23" s="73"/>
      <c r="N23" s="73"/>
    </row>
    <row r="24" spans="1:18" ht="18.75" x14ac:dyDescent="0.25">
      <c r="A24" s="73"/>
      <c r="B24" s="138"/>
      <c r="C24" s="138"/>
      <c r="D24" s="78"/>
      <c r="E24" s="138"/>
      <c r="F24" s="222"/>
      <c r="G24" s="77"/>
      <c r="H24" s="109"/>
      <c r="I24" s="138"/>
      <c r="J24" s="77"/>
      <c r="K24" s="77"/>
      <c r="L24" s="77"/>
      <c r="M24" s="77"/>
      <c r="N24" s="77"/>
    </row>
    <row r="25" spans="1:18" ht="18.75" x14ac:dyDescent="0.25">
      <c r="A25" s="69"/>
      <c r="B25" s="70"/>
      <c r="C25" s="78"/>
      <c r="D25" s="78"/>
      <c r="E25" s="78"/>
      <c r="F25" s="223"/>
      <c r="G25" s="73"/>
      <c r="H25" s="74"/>
      <c r="I25" s="74"/>
      <c r="J25" s="111"/>
      <c r="K25" s="111"/>
      <c r="L25" s="69"/>
      <c r="M25" s="69"/>
      <c r="N25" s="69"/>
    </row>
    <row r="26" spans="1:18" ht="18.75" x14ac:dyDescent="0.25">
      <c r="A26" s="69"/>
      <c r="B26" s="79" t="s">
        <v>36</v>
      </c>
      <c r="C26" s="79"/>
      <c r="D26" s="79"/>
      <c r="E26" s="79"/>
      <c r="F26" s="221"/>
      <c r="G26" s="75"/>
      <c r="H26" s="74" t="s">
        <v>67</v>
      </c>
      <c r="I26" s="74"/>
      <c r="J26" s="111"/>
      <c r="K26" s="111"/>
      <c r="L26" s="69"/>
      <c r="M26" s="69"/>
      <c r="N26" s="69"/>
    </row>
    <row r="27" spans="1:18" ht="18.75" x14ac:dyDescent="0.25">
      <c r="A27" s="69"/>
      <c r="B27" s="79"/>
      <c r="C27" s="79"/>
      <c r="D27" s="79"/>
      <c r="E27" s="79"/>
      <c r="F27" s="221"/>
      <c r="G27" s="75"/>
      <c r="H27" s="74"/>
      <c r="I27" s="74"/>
      <c r="J27" s="111"/>
      <c r="K27" s="111"/>
      <c r="L27" s="69"/>
      <c r="M27" s="69"/>
      <c r="N27" s="69"/>
    </row>
    <row r="28" spans="1:18" ht="18.75" x14ac:dyDescent="0.25">
      <c r="A28" s="69"/>
      <c r="B28" s="79"/>
      <c r="C28" s="79"/>
      <c r="D28" s="79"/>
      <c r="E28" s="79"/>
      <c r="F28" s="221"/>
      <c r="G28" s="75"/>
      <c r="H28" s="74"/>
      <c r="I28" s="74"/>
      <c r="J28" s="111"/>
      <c r="K28" s="111"/>
      <c r="L28" s="69"/>
      <c r="M28" s="69"/>
      <c r="N28" s="69"/>
    </row>
    <row r="29" spans="1:18" ht="18.75" x14ac:dyDescent="0.3">
      <c r="B29" s="277" t="s">
        <v>144</v>
      </c>
      <c r="C29" s="278"/>
      <c r="D29" s="278"/>
      <c r="E29" s="198">
        <f>'Подпрограмма 1'!E65+'Подпрограмма 2'!E88+'Подпрограмма 3'!E76</f>
        <v>0</v>
      </c>
      <c r="F29" s="199">
        <f>SUM(G29:K29)</f>
        <v>172101.27765</v>
      </c>
      <c r="G29" s="198">
        <f>'Подпрограмма 1'!G65+'Подпрограмма 2'!G88+'Подпрограмма 3'!G76</f>
        <v>51587.72565</v>
      </c>
      <c r="H29" s="198">
        <f>'Подпрограмма 1'!H65+'Подпрограмма 2'!H88+'Подпрограмма 3'!H76</f>
        <v>30128.387999999999</v>
      </c>
      <c r="I29" s="198">
        <f>'Подпрограмма 1'!I65+'Подпрограмма 2'!I88+'Подпрограмма 3'!I76</f>
        <v>30128.387999999999</v>
      </c>
      <c r="J29" s="198">
        <f>'Подпрограмма 1'!J65+'Подпрограмма 2'!J88+'Подпрограмма 3'!J76</f>
        <v>30128.387999999999</v>
      </c>
      <c r="K29" s="198">
        <f>'Подпрограмма 1'!K65+'Подпрограмма 2'!K88+'Подпрограмма 3'!K76</f>
        <v>30128.387999999999</v>
      </c>
      <c r="L29" s="22"/>
    </row>
    <row r="30" spans="1:18" ht="18.75" x14ac:dyDescent="0.3">
      <c r="B30" s="277" t="s">
        <v>37</v>
      </c>
      <c r="C30" s="278"/>
      <c r="D30" s="278"/>
      <c r="E30" s="198">
        <f>'Подпрограмма 1'!E66+'Подпрограмма 2'!E87</f>
        <v>13649</v>
      </c>
      <c r="F30" s="199">
        <f t="shared" ref="F30:F45" si="5">SUM(G30:K30)</f>
        <v>111668</v>
      </c>
      <c r="G30" s="198">
        <f>'Подпрограмма 1'!G66+'Подпрограмма 2'!G87</f>
        <v>55040</v>
      </c>
      <c r="H30" s="198">
        <f>'Подпрограмма 1'!H66+'Подпрограмма 2'!H87</f>
        <v>14157</v>
      </c>
      <c r="I30" s="198">
        <f>'Подпрограмма 1'!I66+'Подпрограмма 2'!I87</f>
        <v>14157</v>
      </c>
      <c r="J30" s="198">
        <f>'Подпрограмма 1'!J66+'Подпрограмма 2'!J87</f>
        <v>14157</v>
      </c>
      <c r="K30" s="198">
        <f>'Подпрограмма 1'!K66+'Подпрограмма 2'!K87</f>
        <v>14157</v>
      </c>
      <c r="L30" s="22"/>
    </row>
    <row r="31" spans="1:18" ht="18.75" x14ac:dyDescent="0.3">
      <c r="B31" s="282" t="s">
        <v>38</v>
      </c>
      <c r="C31" s="283"/>
      <c r="D31" s="283"/>
      <c r="E31" s="200">
        <f t="shared" ref="E31" si="6">SUM(E29:E30)</f>
        <v>13649</v>
      </c>
      <c r="F31" s="199">
        <f t="shared" si="5"/>
        <v>283769.27765</v>
      </c>
      <c r="G31" s="200">
        <f>SUM(G29:G30)</f>
        <v>106627.72565000001</v>
      </c>
      <c r="H31" s="200">
        <f t="shared" ref="H31:K31" si="7">SUM(H29:H30)</f>
        <v>44285.387999999999</v>
      </c>
      <c r="I31" s="200">
        <f t="shared" si="7"/>
        <v>44285.387999999999</v>
      </c>
      <c r="J31" s="200">
        <f t="shared" si="7"/>
        <v>44285.387999999999</v>
      </c>
      <c r="K31" s="200">
        <f t="shared" si="7"/>
        <v>44285.387999999999</v>
      </c>
      <c r="L31" s="22"/>
    </row>
    <row r="32" spans="1:18" ht="18.75" x14ac:dyDescent="0.3">
      <c r="B32" s="277" t="s">
        <v>145</v>
      </c>
      <c r="C32" s="278"/>
      <c r="D32" s="278"/>
      <c r="E32" s="198">
        <f>'Подпрограмма 1'!E68+'Подпрограмма 2'!E90</f>
        <v>0</v>
      </c>
      <c r="F32" s="199">
        <f t="shared" si="5"/>
        <v>4273.514000000001</v>
      </c>
      <c r="G32" s="198">
        <f>'Подпрограмма 1'!G68+'Подпрограмма 2'!G90</f>
        <v>4273.514000000001</v>
      </c>
      <c r="H32" s="198">
        <f>'Подпрограмма 1'!H68+'Подпрограмма 2'!H90</f>
        <v>0</v>
      </c>
      <c r="I32" s="198">
        <f>'Подпрограмма 1'!I68+'Подпрограмма 2'!I90</f>
        <v>0</v>
      </c>
      <c r="J32" s="198">
        <f>'Подпрограмма 1'!J68+'Подпрограмма 2'!J90</f>
        <v>0</v>
      </c>
      <c r="K32" s="198">
        <f>'Подпрограмма 1'!K68+'Подпрограмма 2'!K90</f>
        <v>0</v>
      </c>
      <c r="L32" s="22"/>
    </row>
    <row r="33" spans="1:28" ht="18.75" x14ac:dyDescent="0.3">
      <c r="B33" s="277" t="s">
        <v>146</v>
      </c>
      <c r="C33" s="278"/>
      <c r="D33" s="278"/>
      <c r="E33" s="198">
        <f>'Подпрограмма 1'!E69+'Подпрограмма 2'!E91</f>
        <v>4755</v>
      </c>
      <c r="F33" s="199">
        <f t="shared" si="5"/>
        <v>29750</v>
      </c>
      <c r="G33" s="198">
        <f>'Подпрограмма 1'!G69+'Подпрограмма 2'!G91</f>
        <v>6210</v>
      </c>
      <c r="H33" s="198">
        <f>'Подпрограмма 1'!H69+'Подпрограмма 2'!H91</f>
        <v>5885</v>
      </c>
      <c r="I33" s="198">
        <f>'Подпрограмма 1'!I69+'Подпрограмма 2'!I91</f>
        <v>5885</v>
      </c>
      <c r="J33" s="198">
        <f>'Подпрограмма 1'!J69+'Подпрограмма 2'!J91</f>
        <v>5885</v>
      </c>
      <c r="K33" s="198">
        <f>'Подпрограмма 1'!K69+'Подпрограмма 2'!K91</f>
        <v>5885</v>
      </c>
      <c r="L33" s="22"/>
    </row>
    <row r="34" spans="1:28" ht="18.75" x14ac:dyDescent="0.3">
      <c r="B34" s="282" t="s">
        <v>147</v>
      </c>
      <c r="C34" s="283"/>
      <c r="D34" s="283"/>
      <c r="E34" s="200">
        <f t="shared" ref="E34" si="8">SUM(E32:E33)</f>
        <v>4755</v>
      </c>
      <c r="F34" s="199">
        <f t="shared" si="5"/>
        <v>34023.514000000003</v>
      </c>
      <c r="G34" s="200">
        <f>SUM(G32:G33)</f>
        <v>10483.514000000001</v>
      </c>
      <c r="H34" s="200">
        <f t="shared" ref="H34:K34" si="9">SUM(H32:H33)</f>
        <v>5885</v>
      </c>
      <c r="I34" s="200">
        <f t="shared" si="9"/>
        <v>5885</v>
      </c>
      <c r="J34" s="200">
        <f t="shared" si="9"/>
        <v>5885</v>
      </c>
      <c r="K34" s="200">
        <f t="shared" si="9"/>
        <v>5885</v>
      </c>
      <c r="L34" s="22"/>
    </row>
    <row r="35" spans="1:28" ht="18.75" x14ac:dyDescent="0.3">
      <c r="B35" s="277" t="s">
        <v>220</v>
      </c>
      <c r="C35" s="278"/>
      <c r="D35" s="278"/>
      <c r="E35" s="198">
        <f>'Подпрограмма 3'!E78</f>
        <v>0</v>
      </c>
      <c r="F35" s="199">
        <f t="shared" si="5"/>
        <v>0</v>
      </c>
      <c r="G35" s="198">
        <f>'Подпрограмма 3'!G78</f>
        <v>0</v>
      </c>
      <c r="H35" s="198">
        <f>'Подпрограмма 3'!H78</f>
        <v>0</v>
      </c>
      <c r="I35" s="198">
        <f>'Подпрограмма 3'!I78</f>
        <v>0</v>
      </c>
      <c r="J35" s="198">
        <f>'Подпрограмма 3'!J78</f>
        <v>0</v>
      </c>
      <c r="K35" s="198">
        <f>'Подпрограмма 3'!K78</f>
        <v>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8.75" x14ac:dyDescent="0.3">
      <c r="B36" s="277" t="s">
        <v>149</v>
      </c>
      <c r="C36" s="278"/>
      <c r="D36" s="278" t="s">
        <v>37</v>
      </c>
      <c r="E36" s="201">
        <f>'Подпрограмма 3'!E79</f>
        <v>0</v>
      </c>
      <c r="F36" s="199">
        <f t="shared" si="5"/>
        <v>0</v>
      </c>
      <c r="G36" s="198">
        <f>'Подпрограмма 3'!G79</f>
        <v>0</v>
      </c>
      <c r="H36" s="198">
        <f>'Подпрограмма 3'!H79</f>
        <v>0</v>
      </c>
      <c r="I36" s="198">
        <f>'Подпрограмма 3'!I79</f>
        <v>0</v>
      </c>
      <c r="J36" s="198">
        <f>'Подпрограмма 3'!J79</f>
        <v>0</v>
      </c>
      <c r="K36" s="198">
        <f>'Подпрограмма 3'!K79</f>
        <v>0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8.75" x14ac:dyDescent="0.3">
      <c r="B37" s="277" t="s">
        <v>150</v>
      </c>
      <c r="C37" s="278"/>
      <c r="D37" s="278"/>
      <c r="E37" s="201">
        <f>'Подпрограмма 3'!E80</f>
        <v>0</v>
      </c>
      <c r="F37" s="199">
        <f t="shared" si="5"/>
        <v>1888168.5268999999</v>
      </c>
      <c r="G37" s="198">
        <f>'Подпрограмма 3'!G80</f>
        <v>370732.87089999998</v>
      </c>
      <c r="H37" s="198">
        <f>'Подпрограмма 3'!H80</f>
        <v>379358.91399999999</v>
      </c>
      <c r="I37" s="198">
        <f>'Подпрограмма 3'!I80</f>
        <v>379358.91399999999</v>
      </c>
      <c r="J37" s="198">
        <f>'Подпрограмма 3'!J80</f>
        <v>379358.91399999999</v>
      </c>
      <c r="K37" s="198">
        <f>'Подпрограмма 3'!K80</f>
        <v>379358.91399999999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8.75" x14ac:dyDescent="0.3">
      <c r="B38" s="277" t="s">
        <v>26</v>
      </c>
      <c r="C38" s="278"/>
      <c r="D38" s="278"/>
      <c r="E38" s="198">
        <f>'Подпрограмма 3'!E81</f>
        <v>0</v>
      </c>
      <c r="F38" s="199">
        <f t="shared" si="5"/>
        <v>342546.14364999998</v>
      </c>
      <c r="G38" s="198">
        <f>'Подпрограмма 3'!G81</f>
        <v>67644.227650000001</v>
      </c>
      <c r="H38" s="198">
        <f>'Подпрограмма 3'!H81</f>
        <v>68725.479000000007</v>
      </c>
      <c r="I38" s="198">
        <f>'Подпрограмма 3'!I81</f>
        <v>68725.479000000007</v>
      </c>
      <c r="J38" s="198">
        <f>'Подпрограмма 3'!J81</f>
        <v>68725.479000000007</v>
      </c>
      <c r="K38" s="198">
        <f>'Подпрограмма 3'!K81</f>
        <v>68725.479000000007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8.75" x14ac:dyDescent="0.3">
      <c r="B39" s="282" t="s">
        <v>151</v>
      </c>
      <c r="C39" s="283"/>
      <c r="D39" s="283"/>
      <c r="E39" s="200">
        <f t="shared" ref="E39" si="10">SUM(E36:E38)</f>
        <v>0</v>
      </c>
      <c r="F39" s="199">
        <f t="shared" si="5"/>
        <v>2230714.6705499999</v>
      </c>
      <c r="G39" s="199">
        <f t="shared" ref="G39:K39" si="11">SUM(G35:G38)</f>
        <v>438377.09855</v>
      </c>
      <c r="H39" s="199">
        <f t="shared" si="11"/>
        <v>448084.39299999998</v>
      </c>
      <c r="I39" s="199">
        <f t="shared" si="11"/>
        <v>448084.39299999998</v>
      </c>
      <c r="J39" s="199">
        <f t="shared" si="11"/>
        <v>448084.39299999998</v>
      </c>
      <c r="K39" s="199">
        <f t="shared" si="11"/>
        <v>448084.39299999998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8.75" x14ac:dyDescent="0.3">
      <c r="B40" s="277" t="s">
        <v>71</v>
      </c>
      <c r="C40" s="278"/>
      <c r="D40" s="278"/>
      <c r="E40" s="119">
        <f t="shared" ref="E40" si="12">E16</f>
        <v>5515.06754</v>
      </c>
      <c r="F40" s="199">
        <f t="shared" si="5"/>
        <v>970432.83068999997</v>
      </c>
      <c r="G40" s="119">
        <f>G16-G35</f>
        <v>111921.27607000001</v>
      </c>
      <c r="H40" s="119">
        <f t="shared" ref="H40:K40" si="13">H16-H35</f>
        <v>282051.55886999995</v>
      </c>
      <c r="I40" s="119">
        <f t="shared" si="13"/>
        <v>296321.99575</v>
      </c>
      <c r="J40" s="119">
        <f t="shared" si="13"/>
        <v>140069</v>
      </c>
      <c r="K40" s="119">
        <f t="shared" si="13"/>
        <v>140069</v>
      </c>
    </row>
    <row r="41" spans="1:28" ht="18.75" x14ac:dyDescent="0.3">
      <c r="B41" s="277" t="s">
        <v>148</v>
      </c>
      <c r="C41" s="278"/>
      <c r="D41" s="278"/>
      <c r="E41" s="198">
        <f t="shared" ref="E41" si="14">E18-E29-E32-E37</f>
        <v>2212050.5703799999</v>
      </c>
      <c r="F41" s="199">
        <f t="shared" si="5"/>
        <v>14459513.464480001</v>
      </c>
      <c r="G41" s="198">
        <f>G18-G29-G32-G37</f>
        <v>3062376.7443400002</v>
      </c>
      <c r="H41" s="198">
        <f t="shared" ref="H41:K41" si="15">H18-H29-H32-H37</f>
        <v>2833299.7282500006</v>
      </c>
      <c r="I41" s="198">
        <f t="shared" si="15"/>
        <v>2789868.7188900001</v>
      </c>
      <c r="J41" s="198">
        <f t="shared" si="15"/>
        <v>2902643.39</v>
      </c>
      <c r="K41" s="198">
        <f t="shared" si="15"/>
        <v>2871324.8830000004</v>
      </c>
      <c r="L41" s="22"/>
    </row>
    <row r="42" spans="1:28" ht="18.75" x14ac:dyDescent="0.3">
      <c r="B42" s="277" t="s">
        <v>41</v>
      </c>
      <c r="C42" s="278"/>
      <c r="D42" s="278"/>
      <c r="E42" s="198">
        <f t="shared" ref="E42" si="16">E17-E30-E33-E36</f>
        <v>5252823.3558499999</v>
      </c>
      <c r="F42" s="199">
        <f t="shared" si="5"/>
        <v>29194966.16931</v>
      </c>
      <c r="G42" s="198">
        <f>G17-G30-G33-G36</f>
        <v>5939806.7239299994</v>
      </c>
      <c r="H42" s="198">
        <f t="shared" ref="H42:K42" si="17">H17-H30-H33-H36</f>
        <v>5853663.4411299992</v>
      </c>
      <c r="I42" s="198">
        <f t="shared" si="17"/>
        <v>5767162.0042500002</v>
      </c>
      <c r="J42" s="198">
        <f t="shared" si="17"/>
        <v>5834934</v>
      </c>
      <c r="K42" s="198">
        <f t="shared" si="17"/>
        <v>5799400</v>
      </c>
      <c r="L42" s="22"/>
    </row>
    <row r="43" spans="1:28" ht="18.75" x14ac:dyDescent="0.3">
      <c r="B43" s="316" t="s">
        <v>26</v>
      </c>
      <c r="C43" s="317"/>
      <c r="D43" s="317"/>
      <c r="E43" s="198">
        <f t="shared" ref="E43" si="18">E20-E38</f>
        <v>332307.03708000004</v>
      </c>
      <c r="F43" s="199">
        <f t="shared" si="5"/>
        <v>1940100.7201000003</v>
      </c>
      <c r="G43" s="198">
        <f>G20-G38</f>
        <v>327513.83210000006</v>
      </c>
      <c r="H43" s="198">
        <f t="shared" ref="H43:K43" si="19">H20-H38</f>
        <v>403146.72200000001</v>
      </c>
      <c r="I43" s="198">
        <f t="shared" si="19"/>
        <v>403146.72200000001</v>
      </c>
      <c r="J43" s="198">
        <f t="shared" si="19"/>
        <v>403146.72200000001</v>
      </c>
      <c r="K43" s="198">
        <f t="shared" si="19"/>
        <v>403146.72200000001</v>
      </c>
      <c r="L43" s="22"/>
    </row>
    <row r="44" spans="1:28" ht="18.75" x14ac:dyDescent="0.3">
      <c r="B44" s="316" t="s">
        <v>33</v>
      </c>
      <c r="C44" s="317"/>
      <c r="D44" s="317"/>
      <c r="E44" s="198">
        <f t="shared" ref="E44" si="20">E21</f>
        <v>228566.99000000002</v>
      </c>
      <c r="F44" s="199">
        <f t="shared" si="5"/>
        <v>110287.72600000001</v>
      </c>
      <c r="G44" s="198">
        <f>G21</f>
        <v>21866.086000000003</v>
      </c>
      <c r="H44" s="198">
        <f t="shared" ref="H44:K44" si="21">H21</f>
        <v>22105.41</v>
      </c>
      <c r="I44" s="198">
        <f t="shared" si="21"/>
        <v>22105.41</v>
      </c>
      <c r="J44" s="198">
        <f t="shared" si="21"/>
        <v>22105.41</v>
      </c>
      <c r="K44" s="198">
        <f t="shared" si="21"/>
        <v>22105.41</v>
      </c>
      <c r="L44" s="22"/>
    </row>
    <row r="45" spans="1:28" ht="18.75" x14ac:dyDescent="0.3">
      <c r="B45" s="282" t="s">
        <v>42</v>
      </c>
      <c r="C45" s="283"/>
      <c r="D45" s="283"/>
      <c r="E45" s="200">
        <f t="shared" ref="E45" si="22">SUM(E40:E44)</f>
        <v>8031263.02085</v>
      </c>
      <c r="F45" s="199">
        <f t="shared" si="5"/>
        <v>46675300.910579994</v>
      </c>
      <c r="G45" s="199">
        <f t="shared" ref="G45:K45" si="23">SUM(G40:G44)</f>
        <v>9463484.6624399982</v>
      </c>
      <c r="H45" s="199">
        <f t="shared" si="23"/>
        <v>9394266.8602499999</v>
      </c>
      <c r="I45" s="199">
        <f t="shared" si="23"/>
        <v>9278604.8508899994</v>
      </c>
      <c r="J45" s="199">
        <f t="shared" si="23"/>
        <v>9302898.5219999999</v>
      </c>
      <c r="K45" s="199">
        <f t="shared" si="23"/>
        <v>9236046.0150000006</v>
      </c>
      <c r="L45" s="22"/>
    </row>
    <row r="46" spans="1:28" ht="15" customHeight="1" x14ac:dyDescent="0.25">
      <c r="A46" s="55"/>
      <c r="B46" s="55"/>
      <c r="C46" s="56"/>
      <c r="D46" s="56"/>
      <c r="E46" s="56"/>
      <c r="F46" s="57"/>
      <c r="G46" s="58"/>
      <c r="H46" s="105"/>
      <c r="I46" s="136"/>
      <c r="J46" s="59"/>
      <c r="K46" s="59"/>
      <c r="L46" s="55"/>
      <c r="M46" s="55"/>
      <c r="N46" s="55"/>
      <c r="O46" s="55"/>
      <c r="P46" s="55"/>
    </row>
    <row r="47" spans="1:28" x14ac:dyDescent="0.25">
      <c r="E47" s="16">
        <f t="shared" ref="E47:F47" si="24">E15-E20-E21-E19</f>
        <v>7303798.2707699994</v>
      </c>
      <c r="F47" s="23">
        <f t="shared" si="24"/>
        <v>44768793.783029988</v>
      </c>
      <c r="G47" s="16">
        <f>G15-G20-G21-G19</f>
        <v>9189532.8548900001</v>
      </c>
      <c r="H47" s="16">
        <f t="shared" ref="H47:K47" si="25">H15-H20-H21-H19</f>
        <v>8986128.0302499998</v>
      </c>
      <c r="I47" s="16">
        <f t="shared" si="25"/>
        <v>8870466.0208899993</v>
      </c>
      <c r="J47" s="16">
        <f t="shared" si="25"/>
        <v>8894759.6919999998</v>
      </c>
      <c r="K47" s="16">
        <f t="shared" si="25"/>
        <v>8827907.1850000005</v>
      </c>
    </row>
    <row r="48" spans="1:28" ht="15.75" x14ac:dyDescent="0.25">
      <c r="C48" s="22"/>
      <c r="D48" s="22"/>
      <c r="E48" s="22"/>
      <c r="F48" s="60"/>
      <c r="G48" s="22">
        <v>7940993.6799999997</v>
      </c>
      <c r="H48" s="186">
        <f>H18-H19</f>
        <v>2830371.0302500003</v>
      </c>
      <c r="I48" s="107"/>
      <c r="J48" s="22"/>
      <c r="K48" s="22"/>
    </row>
    <row r="49" spans="5:11" x14ac:dyDescent="0.25">
      <c r="E49" s="16"/>
      <c r="G49" s="16">
        <f>G47-G48</f>
        <v>1248539.1748900004</v>
      </c>
    </row>
    <row r="50" spans="5:11" x14ac:dyDescent="0.25">
      <c r="E50" s="16"/>
      <c r="F50" s="61"/>
      <c r="G50" s="16">
        <v>77248.455000000002</v>
      </c>
      <c r="H50" s="102"/>
      <c r="I50" s="102"/>
      <c r="J50" s="32"/>
      <c r="K50" s="32"/>
    </row>
    <row r="51" spans="5:11" x14ac:dyDescent="0.25">
      <c r="E51" s="16"/>
      <c r="F51" s="61"/>
      <c r="G51" s="16">
        <v>38086.995999999999</v>
      </c>
      <c r="H51" s="102"/>
      <c r="I51" s="207"/>
      <c r="J51" s="16"/>
      <c r="K51" s="16"/>
    </row>
    <row r="52" spans="5:11" x14ac:dyDescent="0.25">
      <c r="E52" s="16"/>
      <c r="F52" s="61"/>
      <c r="G52" s="16">
        <v>10317.272000000001</v>
      </c>
      <c r="H52" s="102"/>
      <c r="I52" s="102"/>
      <c r="J52" s="32"/>
      <c r="K52" s="32"/>
    </row>
    <row r="53" spans="5:11" x14ac:dyDescent="0.25">
      <c r="E53" s="32"/>
      <c r="F53" s="61"/>
      <c r="G53" s="16">
        <v>14765.313</v>
      </c>
      <c r="H53" s="102"/>
      <c r="I53" s="102"/>
      <c r="J53" s="32"/>
      <c r="K53" s="32"/>
    </row>
    <row r="54" spans="5:11" ht="18.75" x14ac:dyDescent="0.3">
      <c r="F54" s="61"/>
      <c r="G54" s="206">
        <f>G49-G50-G51-G52-G53</f>
        <v>1108121.1388900001</v>
      </c>
      <c r="H54" s="99">
        <v>3045630.4169999999</v>
      </c>
      <c r="I54" s="99">
        <v>3034736.9649999999</v>
      </c>
      <c r="J54" s="5">
        <v>3029455.5619999999</v>
      </c>
    </row>
    <row r="55" spans="5:11" x14ac:dyDescent="0.25">
      <c r="E55" s="32"/>
      <c r="F55" s="61"/>
      <c r="G55" s="32"/>
      <c r="H55" s="102">
        <f>H41-H54</f>
        <v>-212330.68874999927</v>
      </c>
      <c r="I55" s="102">
        <f t="shared" ref="I55:J55" si="26">I41-I54</f>
        <v>-244868.24610999972</v>
      </c>
      <c r="J55" s="102">
        <f t="shared" si="26"/>
        <v>-126812.17199999979</v>
      </c>
      <c r="K55" s="32"/>
    </row>
    <row r="56" spans="5:11" ht="18.75" x14ac:dyDescent="0.3">
      <c r="E56" s="32"/>
      <c r="F56" s="61"/>
      <c r="G56" s="206">
        <f>G40+G41+G42-381631.87-31248.655-'Подпрограмма 1'!G36-'Подпрограмма 1'!G37-'Подпрограмма 1'!G52-'Подпрограмма 1'!G53-'Подпрограмма 2'!G17-'Подпрограмма 2'!G18-76117.234-169016.64-191334.063-3714.581-61378.38-16688.036-19404.7-104095.455-129211.824-664.326</f>
        <v>2412140.9803400002</v>
      </c>
      <c r="H56" s="102"/>
      <c r="I56" s="102"/>
      <c r="J56" s="32"/>
      <c r="K56" s="32"/>
    </row>
    <row r="57" spans="5:11" ht="18.75" x14ac:dyDescent="0.3">
      <c r="F57" s="61"/>
      <c r="G57" s="206">
        <f>G56+32993+100271</f>
        <v>2545404.9803400002</v>
      </c>
      <c r="H57" s="102"/>
    </row>
    <row r="58" spans="5:11" ht="18.75" x14ac:dyDescent="0.3">
      <c r="G58" s="208">
        <f>G40+G41+G42-'Подпрограмма 1'!G36-'Подпрограмма 1'!G37-'Подпрограмма 1'!G52-'Подпрограмма 1'!G53-'Подпрограмма 2'!G17-'Подпрограмма 2'!G18-586466-364064-233970</f>
        <v>2412146.7443399988</v>
      </c>
    </row>
    <row r="59" spans="5:11" x14ac:dyDescent="0.25">
      <c r="F59" s="61"/>
      <c r="G59" s="32"/>
      <c r="H59" s="102"/>
      <c r="I59" s="102"/>
      <c r="J59" s="32"/>
      <c r="K59" s="32"/>
    </row>
    <row r="60" spans="5:11" x14ac:dyDescent="0.25">
      <c r="F60" s="61"/>
      <c r="G60" s="32"/>
      <c r="H60" s="102"/>
      <c r="I60" s="102"/>
      <c r="J60" s="32"/>
      <c r="K60" s="32"/>
    </row>
    <row r="61" spans="5:11" x14ac:dyDescent="0.25">
      <c r="F61" s="23"/>
      <c r="G61" s="16"/>
      <c r="H61" s="97"/>
      <c r="I61" s="97"/>
      <c r="J61" s="16"/>
      <c r="K61" s="16"/>
    </row>
  </sheetData>
  <mergeCells count="42">
    <mergeCell ref="B40:D40"/>
    <mergeCell ref="B39:D39"/>
    <mergeCell ref="B29:D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  <mergeCell ref="B41:D41"/>
    <mergeCell ref="B42:D42"/>
    <mergeCell ref="B43:D43"/>
    <mergeCell ref="B44:D44"/>
    <mergeCell ref="B45:D45"/>
    <mergeCell ref="A21:D21"/>
    <mergeCell ref="A15:D15"/>
    <mergeCell ref="A16:D16"/>
    <mergeCell ref="A17:D17"/>
    <mergeCell ref="A18:D18"/>
    <mergeCell ref="A20:D20"/>
    <mergeCell ref="A19:D19"/>
    <mergeCell ref="A13:D13"/>
    <mergeCell ref="A14:D14"/>
    <mergeCell ref="B7:M7"/>
    <mergeCell ref="A8:A9"/>
    <mergeCell ref="B8:B9"/>
    <mergeCell ref="C8:C9"/>
    <mergeCell ref="L8:L9"/>
    <mergeCell ref="M8:M9"/>
    <mergeCell ref="L2:M2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ageMargins left="0.19685039370078741" right="0.19685039370078741" top="0.59055118110236227" bottom="0.39370078740157483" header="0.39370078740157483" footer="0"/>
  <pageSetup paperSize="9" scale="41" firstPageNumber="17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Самуйлик Анастасия Михайловна</cp:lastModifiedBy>
  <cp:lastPrinted>2020-11-02T08:15:24Z</cp:lastPrinted>
  <dcterms:created xsi:type="dcterms:W3CDTF">2020-11-02T07:16:17Z</dcterms:created>
  <dcterms:modified xsi:type="dcterms:W3CDTF">2020-11-02T08:16:55Z</dcterms:modified>
</cp:coreProperties>
</file>