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БЕЛОГЛАЗОВА-ГУБЕРНСКАЯ\ПРОГРАММА 2020-2024\2021\5 вариант от\"/>
    </mc:Choice>
  </mc:AlternateContent>
  <bookViews>
    <workbookView xWindow="0" yWindow="0" windowWidth="28800" windowHeight="13020" activeTab="2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9" r:id="rId5"/>
  </sheets>
  <externalReferences>
    <externalReference r:id="rId6"/>
  </externalReferences>
  <definedNames>
    <definedName name="_xlnm._FilterDatabase" localSheetId="0" hidden="1">'Подпрограмма 1'!$A$34:$M$64</definedName>
    <definedName name="_xlnm._FilterDatabase" localSheetId="1" hidden="1">'Подпрограмма 2'!$A$14:$N$91</definedName>
    <definedName name="_xlnm._FilterDatabase" localSheetId="2" hidden="1">'Подпрограмма 3'!$A$7:$X$70</definedName>
    <definedName name="_xlnm.Print_Titles" localSheetId="0">'Подпрограмма 1'!$10:$14</definedName>
    <definedName name="_xlnm.Print_Titles" localSheetId="1">'Подпрограмма 2'!$2:$5</definedName>
    <definedName name="_xlnm.Print_Titles" localSheetId="2">'Подпрограмма 3'!$2:$5</definedName>
    <definedName name="_xlnm.Print_Titles" localSheetId="3">'Подпрограмма 4'!$3:$5</definedName>
    <definedName name="_xlnm.Print_Titles" localSheetId="4">'Подпрограмма 5'!$3:$5</definedName>
    <definedName name="_xlnm.Print_Area" localSheetId="0">'Подпрограмма 1'!$A$1:$M$64</definedName>
    <definedName name="_xlnm.Print_Area" localSheetId="1">'Подпрограмма 2'!$A$1:$M$91</definedName>
    <definedName name="_xlnm.Print_Area" localSheetId="2">'Подпрограмма 3'!$A$1:$M$70</definedName>
    <definedName name="_xlnm.Print_Area" localSheetId="3">'Подпрограмма 4'!$A$1:$M$15</definedName>
    <definedName name="_xlnm.Print_Area" localSheetId="4">'Подпрограмма 5'!$A$1:$M$29</definedName>
  </definedNames>
  <calcPr calcId="162913" iterateDelta="1E-4"/>
</workbook>
</file>

<file path=xl/calcChain.xml><?xml version="1.0" encoding="utf-8"?>
<calcChain xmlns="http://schemas.openxmlformats.org/spreadsheetml/2006/main">
  <c r="H79" i="2" l="1"/>
  <c r="G64" i="2"/>
  <c r="I64" i="2"/>
  <c r="J64" i="2"/>
  <c r="K64" i="2"/>
  <c r="H64" i="2"/>
  <c r="F78" i="2" l="1"/>
  <c r="H23" i="2"/>
  <c r="H47" i="1"/>
  <c r="H44" i="1"/>
  <c r="H36" i="1"/>
  <c r="H35" i="1"/>
  <c r="H41" i="1" l="1"/>
  <c r="H18" i="2" l="1"/>
  <c r="H40" i="1"/>
  <c r="H74" i="3" l="1"/>
  <c r="H13" i="3"/>
  <c r="H19" i="2" l="1"/>
  <c r="H61" i="2" l="1"/>
  <c r="H24" i="2"/>
  <c r="H14" i="9" l="1"/>
  <c r="I14" i="9"/>
  <c r="J14" i="9"/>
  <c r="K14" i="9"/>
  <c r="G14" i="9"/>
  <c r="H15" i="9"/>
  <c r="I15" i="9"/>
  <c r="J15" i="9"/>
  <c r="K15" i="9"/>
  <c r="G15" i="9"/>
  <c r="F15" i="9"/>
  <c r="E15" i="9"/>
  <c r="H8" i="9"/>
  <c r="I8" i="9"/>
  <c r="J8" i="9"/>
  <c r="K8" i="9"/>
  <c r="G8" i="9"/>
  <c r="F8" i="9" l="1"/>
  <c r="F10" i="9"/>
  <c r="G10" i="2" l="1"/>
  <c r="I10" i="2"/>
  <c r="J10" i="2"/>
  <c r="K10" i="2"/>
  <c r="H10" i="2"/>
  <c r="F17" i="2"/>
  <c r="H94" i="2" l="1"/>
  <c r="H66" i="1"/>
  <c r="H55" i="2" l="1"/>
  <c r="H13" i="9"/>
  <c r="H14" i="3" l="1"/>
  <c r="H42" i="1"/>
  <c r="H43" i="1"/>
  <c r="H20" i="2"/>
  <c r="H21" i="2"/>
  <c r="H16" i="2" l="1"/>
  <c r="H15" i="2" l="1"/>
  <c r="H37" i="1"/>
  <c r="H53" i="1"/>
  <c r="H54" i="1" l="1"/>
  <c r="H48" i="1" l="1"/>
  <c r="H12" i="9" l="1"/>
  <c r="H76" i="2"/>
  <c r="J52" i="2"/>
  <c r="I52" i="2"/>
  <c r="H52" i="2"/>
  <c r="H70" i="2"/>
  <c r="H56" i="1"/>
  <c r="H57" i="1"/>
  <c r="H55" i="1" l="1"/>
  <c r="I77" i="2" l="1"/>
  <c r="H77" i="2"/>
  <c r="I18" i="2"/>
  <c r="J45" i="2" l="1"/>
  <c r="I45" i="2"/>
  <c r="H45" i="2"/>
  <c r="J51" i="2"/>
  <c r="I51" i="2"/>
  <c r="H51" i="2"/>
  <c r="J55" i="2"/>
  <c r="I55" i="2"/>
  <c r="J53" i="2"/>
  <c r="I54" i="2"/>
  <c r="I53" i="2"/>
  <c r="H53" i="2"/>
  <c r="J46" i="2"/>
  <c r="I46" i="2"/>
  <c r="H46" i="2"/>
  <c r="J40" i="1"/>
  <c r="I40" i="1"/>
  <c r="H45" i="1"/>
  <c r="H11" i="9" l="1"/>
  <c r="H31" i="3"/>
  <c r="F22" i="2" l="1"/>
  <c r="I13" i="3" l="1"/>
  <c r="H65" i="2" l="1"/>
  <c r="G24" i="2" l="1"/>
  <c r="G45" i="1" l="1"/>
  <c r="J14" i="3" l="1"/>
  <c r="I14" i="3"/>
  <c r="K20" i="2"/>
  <c r="J20" i="2"/>
  <c r="I20" i="2"/>
  <c r="K42" i="1"/>
  <c r="J42" i="1"/>
  <c r="I42" i="1" l="1"/>
  <c r="G42" i="1" l="1"/>
  <c r="G20" i="2"/>
  <c r="I76" i="2" l="1"/>
  <c r="I75" i="2"/>
  <c r="H75" i="2"/>
  <c r="K54" i="2"/>
  <c r="J54" i="2"/>
  <c r="H54" i="2"/>
  <c r="K52" i="2"/>
  <c r="G41" i="1" l="1"/>
  <c r="G40" i="1" s="1"/>
  <c r="G23" i="2"/>
  <c r="G44" i="1"/>
  <c r="G19" i="2"/>
  <c r="G18" i="2" s="1"/>
  <c r="G28" i="1"/>
  <c r="G26" i="1" s="1"/>
  <c r="H37" i="2"/>
  <c r="I37" i="2"/>
  <c r="J37" i="2"/>
  <c r="K37" i="2"/>
  <c r="J38" i="2"/>
  <c r="K38" i="2"/>
  <c r="H39" i="2"/>
  <c r="I39" i="2"/>
  <c r="J39" i="2"/>
  <c r="G37" i="2"/>
  <c r="F58" i="2"/>
  <c r="F57" i="2"/>
  <c r="F56" i="2"/>
  <c r="G13" i="3" l="1"/>
  <c r="G74" i="3"/>
  <c r="G12" i="9"/>
  <c r="G13" i="9"/>
  <c r="G96" i="2" l="1"/>
  <c r="G61" i="2"/>
  <c r="G48" i="2"/>
  <c r="G15" i="2"/>
  <c r="G54" i="1" l="1"/>
  <c r="G53" i="1"/>
  <c r="G14" i="3" l="1"/>
  <c r="G79" i="2" l="1"/>
  <c r="K16" i="2" l="1"/>
  <c r="J16" i="2"/>
  <c r="I16" i="2"/>
  <c r="K15" i="2"/>
  <c r="J15" i="2"/>
  <c r="I15" i="2"/>
  <c r="K38" i="1"/>
  <c r="J38" i="1"/>
  <c r="I38" i="1"/>
  <c r="H38" i="1"/>
  <c r="K37" i="1"/>
  <c r="J37" i="1"/>
  <c r="I37" i="1"/>
  <c r="G43" i="2" l="1"/>
  <c r="G11" i="9"/>
  <c r="G70" i="1" l="1"/>
  <c r="G39" i="1"/>
  <c r="K40" i="1" l="1"/>
  <c r="K18" i="2"/>
  <c r="J18" i="2"/>
  <c r="K19" i="2"/>
  <c r="J19" i="2"/>
  <c r="I19" i="2"/>
  <c r="K41" i="1"/>
  <c r="J41" i="1"/>
  <c r="I41" i="1"/>
  <c r="K79" i="3" l="1"/>
  <c r="J79" i="3"/>
  <c r="I79" i="3"/>
  <c r="H79" i="3"/>
  <c r="K13" i="3"/>
  <c r="J13" i="3"/>
  <c r="G49" i="2" l="1"/>
  <c r="G47" i="2"/>
  <c r="G44" i="2"/>
  <c r="G42" i="2"/>
  <c r="G28" i="2"/>
  <c r="G16" i="2"/>
  <c r="G38" i="2" l="1"/>
  <c r="G38" i="1"/>
  <c r="G37" i="1"/>
  <c r="G25" i="1"/>
  <c r="G27" i="1"/>
  <c r="E39" i="2" l="1"/>
  <c r="E38" i="2"/>
  <c r="K55" i="2" l="1"/>
  <c r="K39" i="2" s="1"/>
  <c r="F55" i="2"/>
  <c r="F54" i="2"/>
  <c r="K94" i="2" l="1"/>
  <c r="J94" i="2"/>
  <c r="I94" i="2"/>
  <c r="H31" i="1" l="1"/>
  <c r="K31" i="1"/>
  <c r="J31" i="1"/>
  <c r="I31" i="1"/>
  <c r="H30" i="1"/>
  <c r="I30" i="1"/>
  <c r="J30" i="1"/>
  <c r="K30" i="1"/>
  <c r="F48" i="1"/>
  <c r="F47" i="1"/>
  <c r="H14" i="2" l="1"/>
  <c r="H91" i="2" s="1"/>
  <c r="H32" i="1" l="1"/>
  <c r="H62" i="1" s="1"/>
  <c r="H21" i="9" s="1"/>
  <c r="H67" i="1" l="1"/>
  <c r="I67" i="1"/>
  <c r="J67" i="1"/>
  <c r="K67" i="1"/>
  <c r="H27" i="3" l="1"/>
  <c r="I27" i="3"/>
  <c r="J27" i="3"/>
  <c r="K27" i="3"/>
  <c r="G27" i="3"/>
  <c r="H93" i="2" l="1"/>
  <c r="E37" i="2" l="1"/>
  <c r="F37" i="2" l="1"/>
  <c r="F51" i="2"/>
  <c r="G78" i="3" l="1"/>
  <c r="G36" i="1" l="1"/>
  <c r="G41" i="2" l="1"/>
  <c r="G94" i="2" l="1"/>
  <c r="F41" i="2"/>
  <c r="H89" i="2" l="1"/>
  <c r="I89" i="2"/>
  <c r="J89" i="2"/>
  <c r="K89" i="2"/>
  <c r="E89" i="2"/>
  <c r="G89" i="2" l="1"/>
  <c r="F89" i="2" s="1"/>
  <c r="G21" i="3" l="1"/>
  <c r="H21" i="3"/>
  <c r="I21" i="3"/>
  <c r="J21" i="3"/>
  <c r="K21" i="3"/>
  <c r="E21" i="3"/>
  <c r="P28" i="3"/>
  <c r="F28" i="3"/>
  <c r="E11" i="3"/>
  <c r="F18" i="3"/>
  <c r="F21" i="3" l="1"/>
  <c r="F28" i="1"/>
  <c r="F27" i="1"/>
  <c r="F69" i="1" l="1"/>
  <c r="F70" i="1"/>
  <c r="G70" i="2" l="1"/>
  <c r="G11" i="3"/>
  <c r="G67" i="1"/>
  <c r="F67" i="1" s="1"/>
  <c r="G31" i="1"/>
  <c r="F31" i="1" s="1"/>
  <c r="G17" i="1" l="1"/>
  <c r="G20" i="1" l="1"/>
  <c r="G66" i="1" s="1"/>
  <c r="F66" i="1" l="1"/>
  <c r="E36" i="2"/>
  <c r="F50" i="2"/>
  <c r="G53" i="2"/>
  <c r="I42" i="2"/>
  <c r="I38" i="2" s="1"/>
  <c r="H42" i="2"/>
  <c r="H38" i="2" s="1"/>
  <c r="J11" i="2"/>
  <c r="K11" i="2"/>
  <c r="G9" i="2"/>
  <c r="H9" i="2"/>
  <c r="I9" i="2"/>
  <c r="J9" i="2"/>
  <c r="K9" i="2"/>
  <c r="E10" i="2"/>
  <c r="E9" i="2"/>
  <c r="F32" i="2"/>
  <c r="F31" i="2"/>
  <c r="F28" i="2"/>
  <c r="F29" i="2"/>
  <c r="F30" i="2"/>
  <c r="F38" i="2" l="1"/>
  <c r="F9" i="2"/>
  <c r="G39" i="2"/>
  <c r="F39" i="2" s="1"/>
  <c r="K36" i="2"/>
  <c r="I36" i="2"/>
  <c r="F53" i="2"/>
  <c r="F52" i="2"/>
  <c r="F49" i="2"/>
  <c r="G36" i="2" l="1"/>
  <c r="J36" i="2"/>
  <c r="G12" i="2"/>
  <c r="H12" i="2"/>
  <c r="I12" i="2"/>
  <c r="J12" i="2"/>
  <c r="K12" i="2"/>
  <c r="E12" i="2"/>
  <c r="F19" i="2"/>
  <c r="F12" i="2" l="1"/>
  <c r="G18" i="1" l="1"/>
  <c r="G35" i="2"/>
  <c r="G30" i="1"/>
  <c r="H17" i="1"/>
  <c r="I17" i="1"/>
  <c r="J17" i="1"/>
  <c r="K17" i="1"/>
  <c r="I11" i="2" l="1"/>
  <c r="H11" i="2"/>
  <c r="G11" i="2" l="1"/>
  <c r="F11" i="2" l="1"/>
  <c r="I11" i="3"/>
  <c r="H11" i="3"/>
  <c r="K11" i="3" l="1"/>
  <c r="J11" i="3"/>
  <c r="F11" i="3" l="1"/>
  <c r="H36" i="3"/>
  <c r="H78" i="3" s="1"/>
  <c r="E53" i="3"/>
  <c r="E52" i="3"/>
  <c r="E51" i="3"/>
  <c r="E46" i="3"/>
  <c r="E45" i="3"/>
  <c r="G34" i="3"/>
  <c r="H34" i="3"/>
  <c r="I34" i="3"/>
  <c r="I76" i="3" s="1"/>
  <c r="I38" i="9" s="1"/>
  <c r="J34" i="3"/>
  <c r="J76" i="3" s="1"/>
  <c r="J38" i="9" s="1"/>
  <c r="K34" i="3"/>
  <c r="K76" i="3" s="1"/>
  <c r="K38" i="9" s="1"/>
  <c r="G35" i="3"/>
  <c r="G77" i="3" s="1"/>
  <c r="H35" i="3"/>
  <c r="H77" i="3" s="1"/>
  <c r="I35" i="3"/>
  <c r="I77" i="3" s="1"/>
  <c r="J35" i="3"/>
  <c r="K35" i="3"/>
  <c r="G36" i="3"/>
  <c r="I36" i="3"/>
  <c r="I78" i="3" s="1"/>
  <c r="J36" i="3"/>
  <c r="J78" i="3" s="1"/>
  <c r="K36" i="3"/>
  <c r="K78" i="3" s="1"/>
  <c r="E36" i="3"/>
  <c r="E35" i="3"/>
  <c r="E77" i="3" s="1"/>
  <c r="E34" i="3"/>
  <c r="E76" i="3" s="1"/>
  <c r="E30" i="3"/>
  <c r="E29" i="3"/>
  <c r="E27" i="3" s="1"/>
  <c r="E26" i="3" s="1"/>
  <c r="G20" i="3"/>
  <c r="H20" i="3"/>
  <c r="I20" i="3"/>
  <c r="J20" i="3"/>
  <c r="K20" i="3"/>
  <c r="E20" i="3"/>
  <c r="E19" i="3" s="1"/>
  <c r="G12" i="3"/>
  <c r="H12" i="3"/>
  <c r="I12" i="3"/>
  <c r="J12" i="3"/>
  <c r="K12" i="3"/>
  <c r="F37" i="3"/>
  <c r="G60" i="3"/>
  <c r="H60" i="3"/>
  <c r="I60" i="3"/>
  <c r="J60" i="3"/>
  <c r="K60" i="3"/>
  <c r="G61" i="3"/>
  <c r="H61" i="3"/>
  <c r="I61" i="3"/>
  <c r="J61" i="3"/>
  <c r="K61" i="3"/>
  <c r="G62" i="3"/>
  <c r="H62" i="3"/>
  <c r="I62" i="3"/>
  <c r="J62" i="3"/>
  <c r="K62" i="3"/>
  <c r="E62" i="3"/>
  <c r="E61" i="3"/>
  <c r="E60" i="3"/>
  <c r="F25" i="3"/>
  <c r="F24" i="3"/>
  <c r="E64" i="2"/>
  <c r="E63" i="2"/>
  <c r="F17" i="3"/>
  <c r="F16" i="3"/>
  <c r="F15" i="3"/>
  <c r="F27" i="2"/>
  <c r="F25" i="2"/>
  <c r="E67" i="3" l="1"/>
  <c r="E81" i="3" s="1"/>
  <c r="E33" i="3"/>
  <c r="K33" i="3"/>
  <c r="F36" i="3"/>
  <c r="J33" i="3"/>
  <c r="E80" i="3"/>
  <c r="E38" i="9"/>
  <c r="F35" i="3"/>
  <c r="F20" i="3"/>
  <c r="K77" i="3"/>
  <c r="G76" i="3"/>
  <c r="G33" i="3"/>
  <c r="H76" i="3"/>
  <c r="J77" i="3"/>
  <c r="F12" i="3"/>
  <c r="F34" i="3"/>
  <c r="I33" i="3"/>
  <c r="F62" i="3"/>
  <c r="F60" i="3"/>
  <c r="F61" i="3"/>
  <c r="F77" i="3" l="1"/>
  <c r="F76" i="3"/>
  <c r="G38" i="9"/>
  <c r="H38" i="9"/>
  <c r="F26" i="2"/>
  <c r="F24" i="2"/>
  <c r="F23" i="2"/>
  <c r="G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E30" i="1"/>
  <c r="F34" i="1" l="1"/>
  <c r="F38" i="9"/>
  <c r="F30" i="1"/>
  <c r="K29" i="1"/>
  <c r="I29" i="1"/>
  <c r="H29" i="1"/>
  <c r="F32" i="1"/>
  <c r="J29" i="1"/>
  <c r="G29" i="1"/>
  <c r="F33" i="1"/>
  <c r="F46" i="1"/>
  <c r="F45" i="1"/>
  <c r="F44" i="1"/>
  <c r="F36" i="1"/>
  <c r="F35" i="1"/>
  <c r="F29" i="1" l="1"/>
  <c r="H18" i="1"/>
  <c r="I18" i="1"/>
  <c r="J18" i="1"/>
  <c r="K18" i="1"/>
  <c r="E18" i="1"/>
  <c r="G76" i="2" l="1"/>
  <c r="G75" i="2"/>
  <c r="G56" i="1"/>
  <c r="G55" i="1"/>
  <c r="G52" i="1" l="1"/>
  <c r="G61" i="1" s="1"/>
  <c r="G72" i="1" s="1"/>
  <c r="G51" i="1"/>
  <c r="H50" i="1" l="1"/>
  <c r="H59" i="1" s="1"/>
  <c r="H73" i="1" s="1"/>
  <c r="I50" i="1"/>
  <c r="I59" i="1" s="1"/>
  <c r="I73" i="1" s="1"/>
  <c r="J50" i="1"/>
  <c r="J59" i="1" s="1"/>
  <c r="K50" i="1"/>
  <c r="K59" i="1" s="1"/>
  <c r="K73" i="1" s="1"/>
  <c r="G50" i="1"/>
  <c r="G59" i="1" s="1"/>
  <c r="F55" i="1"/>
  <c r="E50" i="1"/>
  <c r="E59" i="1" s="1"/>
  <c r="E73" i="1" s="1"/>
  <c r="F10" i="2" l="1"/>
  <c r="J73" i="1"/>
  <c r="G73" i="1"/>
  <c r="F59" i="1"/>
  <c r="F50" i="1"/>
  <c r="E52" i="1"/>
  <c r="E51" i="1"/>
  <c r="E49" i="1" s="1"/>
  <c r="H51" i="1"/>
  <c r="I51" i="1"/>
  <c r="J51" i="1"/>
  <c r="K51" i="1"/>
  <c r="H52" i="1"/>
  <c r="H61" i="1" s="1"/>
  <c r="I52" i="1"/>
  <c r="J52" i="1"/>
  <c r="J61" i="1" s="1"/>
  <c r="J72" i="1" s="1"/>
  <c r="K52" i="1"/>
  <c r="F57" i="1"/>
  <c r="F56" i="1"/>
  <c r="H72" i="1" l="1"/>
  <c r="F73" i="1"/>
  <c r="G49" i="1"/>
  <c r="K49" i="1"/>
  <c r="J49" i="1"/>
  <c r="I49" i="1"/>
  <c r="H49" i="1"/>
  <c r="F49" i="1" l="1"/>
  <c r="F73" i="3" l="1"/>
  <c r="K39" i="9" l="1"/>
  <c r="H40" i="9"/>
  <c r="I40" i="9"/>
  <c r="E41" i="9"/>
  <c r="E40" i="9"/>
  <c r="E39" i="9"/>
  <c r="H35" i="9"/>
  <c r="I35" i="9"/>
  <c r="J35" i="9"/>
  <c r="K35" i="9"/>
  <c r="H36" i="9"/>
  <c r="I36" i="9"/>
  <c r="J36" i="9"/>
  <c r="K36" i="9"/>
  <c r="G36" i="9"/>
  <c r="G35" i="9"/>
  <c r="E36" i="9"/>
  <c r="E35" i="9"/>
  <c r="H75" i="3"/>
  <c r="I75" i="3"/>
  <c r="J75" i="3"/>
  <c r="K75" i="3"/>
  <c r="E75" i="3"/>
  <c r="H80" i="3"/>
  <c r="I80" i="3"/>
  <c r="K80" i="3"/>
  <c r="G79" i="3"/>
  <c r="G80" i="3" s="1"/>
  <c r="H39" i="9"/>
  <c r="I39" i="9"/>
  <c r="J39" i="9"/>
  <c r="J40" i="9"/>
  <c r="K40" i="9"/>
  <c r="K98" i="2"/>
  <c r="J98" i="2"/>
  <c r="I98" i="2"/>
  <c r="H98" i="2"/>
  <c r="G98" i="2"/>
  <c r="E98" i="2"/>
  <c r="F97" i="2"/>
  <c r="F96" i="2"/>
  <c r="I93" i="2"/>
  <c r="I33" i="9" s="1"/>
  <c r="J93" i="2"/>
  <c r="J33" i="9" s="1"/>
  <c r="K93" i="2"/>
  <c r="K33" i="9" s="1"/>
  <c r="I32" i="9"/>
  <c r="G93" i="2"/>
  <c r="E94" i="2"/>
  <c r="E32" i="9" s="1"/>
  <c r="E93" i="2"/>
  <c r="G41" i="9" l="1"/>
  <c r="K41" i="9"/>
  <c r="K42" i="9" s="1"/>
  <c r="G37" i="9"/>
  <c r="F35" i="9"/>
  <c r="F36" i="9"/>
  <c r="G40" i="9"/>
  <c r="F40" i="9" s="1"/>
  <c r="H32" i="9"/>
  <c r="I41" i="9"/>
  <c r="I42" i="9" s="1"/>
  <c r="H41" i="9"/>
  <c r="J41" i="9"/>
  <c r="J42" i="9" s="1"/>
  <c r="J80" i="3"/>
  <c r="F80" i="3" s="1"/>
  <c r="F79" i="3"/>
  <c r="J32" i="9"/>
  <c r="J34" i="9" s="1"/>
  <c r="F78" i="3"/>
  <c r="G75" i="3"/>
  <c r="F75" i="3" s="1"/>
  <c r="F74" i="3"/>
  <c r="G32" i="9"/>
  <c r="G39" i="9"/>
  <c r="K95" i="2"/>
  <c r="E95" i="2"/>
  <c r="F93" i="2"/>
  <c r="F94" i="2"/>
  <c r="H95" i="2"/>
  <c r="E33" i="9"/>
  <c r="E34" i="9" s="1"/>
  <c r="H33" i="9"/>
  <c r="J95" i="2"/>
  <c r="K32" i="9"/>
  <c r="K34" i="9" s="1"/>
  <c r="I95" i="2"/>
  <c r="G33" i="9"/>
  <c r="G95" i="2"/>
  <c r="H37" i="9"/>
  <c r="E37" i="9"/>
  <c r="K37" i="9"/>
  <c r="E42" i="9"/>
  <c r="J37" i="9"/>
  <c r="I37" i="9"/>
  <c r="F98" i="2"/>
  <c r="I34" i="9"/>
  <c r="F41" i="9" l="1"/>
  <c r="F39" i="9"/>
  <c r="G42" i="9"/>
  <c r="H42" i="9"/>
  <c r="H34" i="9"/>
  <c r="F33" i="9"/>
  <c r="F32" i="9"/>
  <c r="G34" i="9"/>
  <c r="F37" i="9"/>
  <c r="F95" i="2"/>
  <c r="F42" i="9" l="1"/>
  <c r="F34" i="9"/>
  <c r="H71" i="1"/>
  <c r="I71" i="1"/>
  <c r="J71" i="1"/>
  <c r="K71" i="1"/>
  <c r="G71" i="1"/>
  <c r="E71" i="1"/>
  <c r="H68" i="1"/>
  <c r="I68" i="1"/>
  <c r="J68" i="1"/>
  <c r="K68" i="1"/>
  <c r="G68" i="1"/>
  <c r="F71" i="1" l="1"/>
  <c r="F68" i="1"/>
  <c r="E18" i="2"/>
  <c r="E11" i="2" s="1"/>
  <c r="H36" i="2" l="1"/>
  <c r="F36" i="2" s="1"/>
  <c r="K60" i="2"/>
  <c r="J60" i="2"/>
  <c r="I60" i="2"/>
  <c r="H60" i="2"/>
  <c r="G60" i="2"/>
  <c r="E60" i="2"/>
  <c r="E59" i="2" s="1"/>
  <c r="K14" i="2"/>
  <c r="K13" i="2"/>
  <c r="J14" i="2"/>
  <c r="J13" i="2"/>
  <c r="I14" i="2"/>
  <c r="I13" i="2"/>
  <c r="H13" i="2"/>
  <c r="H8" i="2" s="1"/>
  <c r="G14" i="2"/>
  <c r="G13" i="2"/>
  <c r="E14" i="2"/>
  <c r="E13" i="2"/>
  <c r="F21" i="2"/>
  <c r="F20" i="2"/>
  <c r="F73" i="2"/>
  <c r="F74" i="2"/>
  <c r="F79" i="2"/>
  <c r="G62" i="1"/>
  <c r="G21" i="9" s="1"/>
  <c r="I62" i="1"/>
  <c r="I21" i="9" s="1"/>
  <c r="J62" i="1"/>
  <c r="J21" i="9" s="1"/>
  <c r="K62" i="1"/>
  <c r="K21" i="9" s="1"/>
  <c r="E32" i="1"/>
  <c r="E40" i="1"/>
  <c r="E31" i="1" s="1"/>
  <c r="F43" i="1"/>
  <c r="F41" i="1"/>
  <c r="G8" i="2" l="1"/>
  <c r="I8" i="2"/>
  <c r="J8" i="2"/>
  <c r="K8" i="2"/>
  <c r="I59" i="2"/>
  <c r="J59" i="2"/>
  <c r="K59" i="2"/>
  <c r="G59" i="2"/>
  <c r="H59" i="2"/>
  <c r="E62" i="1"/>
  <c r="E21" i="9" s="1"/>
  <c r="F21" i="9"/>
  <c r="F62" i="1"/>
  <c r="F40" i="1"/>
  <c r="F8" i="2" l="1"/>
  <c r="N18" i="9"/>
  <c r="H8" i="6"/>
  <c r="H7" i="6" s="1"/>
  <c r="I8" i="6"/>
  <c r="I7" i="6" s="1"/>
  <c r="J8" i="6"/>
  <c r="J7" i="6" s="1"/>
  <c r="K8" i="6"/>
  <c r="K14" i="6" s="1"/>
  <c r="G8" i="6"/>
  <c r="G7" i="6" s="1"/>
  <c r="E8" i="6"/>
  <c r="E7" i="6" s="1"/>
  <c r="H11" i="6"/>
  <c r="H15" i="6" s="1"/>
  <c r="I11" i="6"/>
  <c r="I10" i="6" s="1"/>
  <c r="J11" i="6"/>
  <c r="J15" i="6" s="1"/>
  <c r="K11" i="6"/>
  <c r="K10" i="6" s="1"/>
  <c r="G11" i="6"/>
  <c r="G15" i="6" s="1"/>
  <c r="E11" i="6"/>
  <c r="E15" i="6" s="1"/>
  <c r="N12" i="6"/>
  <c r="P12" i="6" s="1"/>
  <c r="F12" i="6"/>
  <c r="E10" i="6" l="1"/>
  <c r="G14" i="6"/>
  <c r="G13" i="6" s="1"/>
  <c r="I15" i="6"/>
  <c r="J10" i="6"/>
  <c r="J14" i="6"/>
  <c r="J13" i="6" s="1"/>
  <c r="H10" i="6"/>
  <c r="K7" i="6"/>
  <c r="I14" i="6"/>
  <c r="G10" i="6"/>
  <c r="E14" i="6"/>
  <c r="E13" i="6" s="1"/>
  <c r="F11" i="6"/>
  <c r="H14" i="6"/>
  <c r="H13" i="6" s="1"/>
  <c r="K15" i="6"/>
  <c r="K13" i="6" s="1"/>
  <c r="H51" i="3"/>
  <c r="H67" i="3" s="1"/>
  <c r="H81" i="3" s="1"/>
  <c r="I51" i="3"/>
  <c r="I67" i="3" s="1"/>
  <c r="I81" i="3" s="1"/>
  <c r="J51" i="3"/>
  <c r="J67" i="3" s="1"/>
  <c r="J81" i="3" s="1"/>
  <c r="K51" i="3"/>
  <c r="K67" i="3" s="1"/>
  <c r="K81" i="3" s="1"/>
  <c r="H52" i="3"/>
  <c r="I52" i="3"/>
  <c r="J52" i="3"/>
  <c r="K52" i="3"/>
  <c r="H53" i="3"/>
  <c r="I53" i="3"/>
  <c r="J53" i="3"/>
  <c r="K53" i="3"/>
  <c r="G53" i="3"/>
  <c r="G52" i="3"/>
  <c r="G51" i="3"/>
  <c r="G67" i="3" s="1"/>
  <c r="H30" i="3"/>
  <c r="I30" i="3"/>
  <c r="J30" i="3"/>
  <c r="K30" i="3"/>
  <c r="G30" i="3"/>
  <c r="E12" i="3"/>
  <c r="E70" i="3" s="1"/>
  <c r="E84" i="3" s="1"/>
  <c r="F39" i="3"/>
  <c r="N38" i="3"/>
  <c r="P38" i="3" s="1"/>
  <c r="F38" i="3"/>
  <c r="G19" i="3"/>
  <c r="P32" i="3"/>
  <c r="F32" i="3"/>
  <c r="P31" i="3"/>
  <c r="F31" i="3"/>
  <c r="F14" i="3"/>
  <c r="P13" i="3"/>
  <c r="F13" i="3"/>
  <c r="K70" i="3"/>
  <c r="K84" i="3" s="1"/>
  <c r="J70" i="3"/>
  <c r="J84" i="3" s="1"/>
  <c r="I70" i="3"/>
  <c r="I84" i="3" s="1"/>
  <c r="H70" i="3"/>
  <c r="H84" i="3" s="1"/>
  <c r="G70" i="3"/>
  <c r="H90" i="2"/>
  <c r="H102" i="2" s="1"/>
  <c r="I90" i="2"/>
  <c r="I102" i="2" s="1"/>
  <c r="J91" i="2"/>
  <c r="J103" i="2" s="1"/>
  <c r="G91" i="2"/>
  <c r="G103" i="2" s="1"/>
  <c r="G90" i="2"/>
  <c r="G102" i="2" s="1"/>
  <c r="E81" i="2"/>
  <c r="E82" i="2"/>
  <c r="H63" i="2"/>
  <c r="H86" i="2" s="1"/>
  <c r="I63" i="2"/>
  <c r="I86" i="2" s="1"/>
  <c r="J63" i="2"/>
  <c r="J86" i="2" s="1"/>
  <c r="K63" i="2"/>
  <c r="K86" i="2" s="1"/>
  <c r="I65" i="2"/>
  <c r="J65" i="2"/>
  <c r="K65" i="2"/>
  <c r="G65" i="2"/>
  <c r="G63" i="2"/>
  <c r="G86" i="2" s="1"/>
  <c r="G99" i="2" s="1"/>
  <c r="E65" i="2"/>
  <c r="E86" i="2"/>
  <c r="F68" i="2"/>
  <c r="F77" i="2"/>
  <c r="F72" i="2"/>
  <c r="F71" i="2"/>
  <c r="F70" i="2"/>
  <c r="F69" i="2"/>
  <c r="F67" i="2"/>
  <c r="F66" i="2"/>
  <c r="F61" i="2"/>
  <c r="J90" i="2"/>
  <c r="J102" i="2" s="1"/>
  <c r="K90" i="2"/>
  <c r="K102" i="2" s="1"/>
  <c r="H103" i="2"/>
  <c r="I91" i="2"/>
  <c r="I103" i="2" s="1"/>
  <c r="K91" i="2"/>
  <c r="K103" i="2" s="1"/>
  <c r="E8" i="2"/>
  <c r="H34" i="2"/>
  <c r="I34" i="2"/>
  <c r="J34" i="2"/>
  <c r="K34" i="2"/>
  <c r="G34" i="2"/>
  <c r="I13" i="6" l="1"/>
  <c r="F10" i="6"/>
  <c r="K29" i="3"/>
  <c r="K26" i="3" s="1"/>
  <c r="J29" i="3"/>
  <c r="J26" i="3" s="1"/>
  <c r="I29" i="3"/>
  <c r="I26" i="3" s="1"/>
  <c r="H29" i="3"/>
  <c r="H26" i="3" s="1"/>
  <c r="G29" i="3"/>
  <c r="G81" i="3"/>
  <c r="F81" i="3" s="1"/>
  <c r="F67" i="3"/>
  <c r="H33" i="3"/>
  <c r="F33" i="3" s="1"/>
  <c r="K50" i="3"/>
  <c r="J50" i="3"/>
  <c r="K99" i="2"/>
  <c r="J99" i="2"/>
  <c r="E99" i="2"/>
  <c r="I99" i="2"/>
  <c r="H99" i="2"/>
  <c r="F103" i="2"/>
  <c r="F102" i="2"/>
  <c r="G84" i="3"/>
  <c r="F84" i="3" s="1"/>
  <c r="E88" i="2"/>
  <c r="E101" i="2" s="1"/>
  <c r="J10" i="3"/>
  <c r="F90" i="2"/>
  <c r="G62" i="2"/>
  <c r="F91" i="2"/>
  <c r="I33" i="2"/>
  <c r="H33" i="2"/>
  <c r="G33" i="2"/>
  <c r="K33" i="2"/>
  <c r="J33" i="2"/>
  <c r="H62" i="2"/>
  <c r="K62" i="2"/>
  <c r="E62" i="2"/>
  <c r="J62" i="2"/>
  <c r="I62" i="2"/>
  <c r="F70" i="3"/>
  <c r="H50" i="3"/>
  <c r="E50" i="3"/>
  <c r="G50" i="3"/>
  <c r="I50" i="3"/>
  <c r="H10" i="3"/>
  <c r="G10" i="3"/>
  <c r="H19" i="3"/>
  <c r="K10" i="3"/>
  <c r="K19" i="3"/>
  <c r="E10" i="3"/>
  <c r="J19" i="3"/>
  <c r="I19" i="3"/>
  <c r="F30" i="3"/>
  <c r="I10" i="3"/>
  <c r="F59" i="2"/>
  <c r="F60" i="2"/>
  <c r="F29" i="3" l="1"/>
  <c r="G26" i="3"/>
  <c r="F26" i="3" s="1"/>
  <c r="F27" i="3"/>
  <c r="F19" i="3"/>
  <c r="F99" i="2"/>
  <c r="F10" i="3"/>
  <c r="F24" i="1" l="1"/>
  <c r="F22" i="1"/>
  <c r="F21" i="1"/>
  <c r="F20" i="1"/>
  <c r="F19" i="1"/>
  <c r="I16" i="1" l="1"/>
  <c r="H16" i="1"/>
  <c r="K16" i="1"/>
  <c r="G16" i="1"/>
  <c r="J16" i="1"/>
  <c r="F11" i="9" l="1"/>
  <c r="F12" i="9"/>
  <c r="F13" i="9"/>
  <c r="K9" i="9"/>
  <c r="J9" i="9"/>
  <c r="I9" i="9"/>
  <c r="H9" i="9"/>
  <c r="H7" i="9" s="1"/>
  <c r="G9" i="9"/>
  <c r="E9" i="9"/>
  <c r="E7" i="9" s="1"/>
  <c r="J16" i="9" l="1"/>
  <c r="J7" i="9"/>
  <c r="G16" i="9"/>
  <c r="G7" i="9"/>
  <c r="I16" i="9"/>
  <c r="I7" i="9"/>
  <c r="K16" i="9"/>
  <c r="K7" i="9"/>
  <c r="F9" i="9"/>
  <c r="H16" i="9"/>
  <c r="E16" i="9"/>
  <c r="E14" i="9" s="1"/>
  <c r="F14" i="9" l="1"/>
  <c r="F7" i="9"/>
  <c r="F16" i="9"/>
  <c r="P13" i="9"/>
  <c r="N12" i="9"/>
  <c r="P12" i="9" s="1"/>
  <c r="N11" i="9"/>
  <c r="P11" i="9" s="1"/>
  <c r="K46" i="3"/>
  <c r="K45" i="3"/>
  <c r="J46" i="3"/>
  <c r="J45" i="3"/>
  <c r="I46" i="3"/>
  <c r="I45" i="3"/>
  <c r="H46" i="3"/>
  <c r="H45" i="3"/>
  <c r="H68" i="3" s="1"/>
  <c r="H82" i="3" s="1"/>
  <c r="G46" i="3"/>
  <c r="G45" i="3"/>
  <c r="Q67" i="3"/>
  <c r="P67" i="3"/>
  <c r="O67" i="3"/>
  <c r="N67" i="3"/>
  <c r="K18" i="9"/>
  <c r="K43" i="9" s="1"/>
  <c r="J18" i="9"/>
  <c r="J43" i="9" s="1"/>
  <c r="I18" i="9"/>
  <c r="I43" i="9" s="1"/>
  <c r="H18" i="9"/>
  <c r="H43" i="9" s="1"/>
  <c r="G18" i="9"/>
  <c r="N65" i="3"/>
  <c r="P65" i="3" s="1"/>
  <c r="F65" i="3"/>
  <c r="F64" i="3"/>
  <c r="N63" i="3"/>
  <c r="P63" i="3" s="1"/>
  <c r="F63" i="3"/>
  <c r="F58" i="3"/>
  <c r="N57" i="3"/>
  <c r="P57" i="3" s="1"/>
  <c r="F57" i="3"/>
  <c r="N56" i="3"/>
  <c r="P56" i="3" s="1"/>
  <c r="F56" i="3"/>
  <c r="F55" i="3"/>
  <c r="N54" i="3"/>
  <c r="P54" i="3" s="1"/>
  <c r="F54" i="3"/>
  <c r="G43" i="9" l="1"/>
  <c r="F43" i="9" s="1"/>
  <c r="E18" i="9"/>
  <c r="E43" i="9" s="1"/>
  <c r="E68" i="3"/>
  <c r="E82" i="3" s="1"/>
  <c r="J44" i="3"/>
  <c r="G59" i="3"/>
  <c r="G44" i="3"/>
  <c r="K44" i="3"/>
  <c r="I59" i="3"/>
  <c r="I44" i="3"/>
  <c r="K59" i="3"/>
  <c r="F15" i="6"/>
  <c r="F8" i="6"/>
  <c r="F7" i="6"/>
  <c r="H44" i="3"/>
  <c r="E44" i="3"/>
  <c r="E59" i="3"/>
  <c r="J59" i="3"/>
  <c r="H59" i="3"/>
  <c r="F51" i="3"/>
  <c r="F53" i="3"/>
  <c r="F52" i="3"/>
  <c r="N49" i="3"/>
  <c r="P49" i="3" s="1"/>
  <c r="F49" i="3"/>
  <c r="F48" i="3"/>
  <c r="N47" i="3"/>
  <c r="P47" i="3" s="1"/>
  <c r="F47" i="3"/>
  <c r="K68" i="3"/>
  <c r="K82" i="3" s="1"/>
  <c r="J68" i="3"/>
  <c r="J82" i="3" s="1"/>
  <c r="I68" i="3"/>
  <c r="I82" i="3" s="1"/>
  <c r="P43" i="3"/>
  <c r="F43" i="3"/>
  <c r="P42" i="3"/>
  <c r="F42" i="3"/>
  <c r="F9" i="3"/>
  <c r="F22" i="3"/>
  <c r="F23" i="3"/>
  <c r="F40" i="3"/>
  <c r="F41" i="3"/>
  <c r="F23" i="1"/>
  <c r="F25" i="1"/>
  <c r="F26" i="1"/>
  <c r="F37" i="1"/>
  <c r="F38" i="1"/>
  <c r="F39" i="1"/>
  <c r="F42" i="1"/>
  <c r="F53" i="1"/>
  <c r="F54" i="1"/>
  <c r="F15" i="2"/>
  <c r="F16" i="2"/>
  <c r="F18" i="2"/>
  <c r="F35" i="2"/>
  <c r="F40" i="2"/>
  <c r="F42" i="2"/>
  <c r="F43" i="2"/>
  <c r="F44" i="2"/>
  <c r="F45" i="2"/>
  <c r="F46" i="2"/>
  <c r="F47" i="2"/>
  <c r="F48" i="2"/>
  <c r="F75" i="2"/>
  <c r="F76" i="2"/>
  <c r="F83" i="2"/>
  <c r="F84" i="2"/>
  <c r="E8" i="3"/>
  <c r="E69" i="3" s="1"/>
  <c r="N40" i="3"/>
  <c r="P40" i="3" s="1"/>
  <c r="P23" i="3"/>
  <c r="P22" i="3"/>
  <c r="P21" i="3"/>
  <c r="P20" i="3"/>
  <c r="P19" i="3"/>
  <c r="K82" i="2"/>
  <c r="K88" i="2" s="1"/>
  <c r="K101" i="2" s="1"/>
  <c r="K81" i="2"/>
  <c r="K87" i="2" s="1"/>
  <c r="J82" i="2"/>
  <c r="J88" i="2" s="1"/>
  <c r="J101" i="2" s="1"/>
  <c r="J110" i="2" s="1"/>
  <c r="J81" i="2"/>
  <c r="J87" i="2" s="1"/>
  <c r="I82" i="2"/>
  <c r="I88" i="2" s="1"/>
  <c r="I101" i="2" s="1"/>
  <c r="I110" i="2" s="1"/>
  <c r="I81" i="2"/>
  <c r="I87" i="2" s="1"/>
  <c r="H82" i="2"/>
  <c r="H88" i="2" s="1"/>
  <c r="H81" i="2"/>
  <c r="H87" i="2" s="1"/>
  <c r="H100" i="2" s="1"/>
  <c r="G82" i="2"/>
  <c r="G88" i="2" s="1"/>
  <c r="G101" i="2" s="1"/>
  <c r="G81" i="2"/>
  <c r="G87" i="2" s="1"/>
  <c r="E80" i="2"/>
  <c r="G100" i="2" l="1"/>
  <c r="G19" i="9"/>
  <c r="I100" i="2"/>
  <c r="I19" i="9"/>
  <c r="K100" i="2"/>
  <c r="K19" i="9"/>
  <c r="J100" i="2"/>
  <c r="J19" i="9"/>
  <c r="H101" i="2"/>
  <c r="H110" i="2" s="1"/>
  <c r="E66" i="3"/>
  <c r="E83" i="3"/>
  <c r="E85" i="3" s="1"/>
  <c r="G104" i="2"/>
  <c r="G106" i="2" s="1"/>
  <c r="F18" i="9"/>
  <c r="F88" i="2"/>
  <c r="F87" i="2"/>
  <c r="J85" i="2"/>
  <c r="K85" i="2"/>
  <c r="J80" i="2"/>
  <c r="G85" i="2"/>
  <c r="N20" i="9"/>
  <c r="G68" i="3"/>
  <c r="F59" i="3"/>
  <c r="F50" i="3"/>
  <c r="H80" i="2"/>
  <c r="F82" i="2"/>
  <c r="G80" i="2"/>
  <c r="F81" i="2"/>
  <c r="K80" i="2"/>
  <c r="F13" i="6"/>
  <c r="F14" i="6"/>
  <c r="I80" i="2"/>
  <c r="F100" i="2" l="1"/>
  <c r="F101" i="2"/>
  <c r="G82" i="3"/>
  <c r="F82" i="3" s="1"/>
  <c r="I85" i="2"/>
  <c r="H85" i="2"/>
  <c r="F68" i="3"/>
  <c r="F80" i="2"/>
  <c r="E34" i="2" l="1"/>
  <c r="E87" i="2" s="1"/>
  <c r="E100" i="2" s="1"/>
  <c r="E33" i="2" l="1"/>
  <c r="F34" i="2"/>
  <c r="F33" i="2" l="1"/>
  <c r="F52" i="1"/>
  <c r="N19" i="9" s="1"/>
  <c r="F51" i="1"/>
  <c r="F17" i="1"/>
  <c r="F18" i="1"/>
  <c r="F16" i="1" l="1"/>
  <c r="K8" i="3"/>
  <c r="J8" i="3"/>
  <c r="I8" i="3"/>
  <c r="H8" i="3"/>
  <c r="H69" i="3" s="1"/>
  <c r="G8" i="3"/>
  <c r="E7" i="3"/>
  <c r="P9" i="3"/>
  <c r="G69" i="3" l="1"/>
  <c r="G66" i="3" s="1"/>
  <c r="H83" i="3"/>
  <c r="H91" i="3" s="1"/>
  <c r="H20" i="9"/>
  <c r="I69" i="3"/>
  <c r="I83" i="3" s="1"/>
  <c r="J69" i="3"/>
  <c r="J66" i="3" s="1"/>
  <c r="K69" i="3"/>
  <c r="K66" i="3" s="1"/>
  <c r="H66" i="3"/>
  <c r="F65" i="2"/>
  <c r="F63" i="2"/>
  <c r="F64" i="2"/>
  <c r="J7" i="3"/>
  <c r="K7" i="3"/>
  <c r="H7" i="3"/>
  <c r="I7" i="3"/>
  <c r="G7" i="3"/>
  <c r="F8" i="3"/>
  <c r="H85" i="3" l="1"/>
  <c r="H87" i="3" s="1"/>
  <c r="J83" i="3"/>
  <c r="J91" i="3" s="1"/>
  <c r="K83" i="3"/>
  <c r="K85" i="3" s="1"/>
  <c r="K87" i="3" s="1"/>
  <c r="I66" i="3"/>
  <c r="F66" i="3" s="1"/>
  <c r="I91" i="3"/>
  <c r="I85" i="3"/>
  <c r="I87" i="3" s="1"/>
  <c r="F69" i="3"/>
  <c r="G83" i="3"/>
  <c r="F7" i="3"/>
  <c r="F62" i="2"/>
  <c r="F86" i="2"/>
  <c r="F83" i="3" l="1"/>
  <c r="J85" i="3"/>
  <c r="J87" i="3" s="1"/>
  <c r="G85" i="3"/>
  <c r="G87" i="3"/>
  <c r="K64" i="1"/>
  <c r="K63" i="1"/>
  <c r="K61" i="1"/>
  <c r="K60" i="1"/>
  <c r="J64" i="1"/>
  <c r="J63" i="1"/>
  <c r="J60" i="1"/>
  <c r="I64" i="1"/>
  <c r="I63" i="1"/>
  <c r="I22" i="9" s="1"/>
  <c r="I61" i="1"/>
  <c r="I72" i="1" s="1"/>
  <c r="I60" i="1"/>
  <c r="H64" i="1"/>
  <c r="H63" i="1"/>
  <c r="H22" i="9" s="1"/>
  <c r="H60" i="1"/>
  <c r="G63" i="1"/>
  <c r="G75" i="1" s="1"/>
  <c r="E61" i="1"/>
  <c r="H74" i="1" l="1"/>
  <c r="H19" i="9"/>
  <c r="H45" i="9" s="1"/>
  <c r="F85" i="3"/>
  <c r="F87" i="3" s="1"/>
  <c r="H58" i="1"/>
  <c r="J58" i="1"/>
  <c r="I58" i="1"/>
  <c r="K58" i="1"/>
  <c r="E20" i="9"/>
  <c r="E44" i="9" s="1"/>
  <c r="E72" i="1"/>
  <c r="J20" i="9"/>
  <c r="J44" i="9" s="1"/>
  <c r="J58" i="9" s="1"/>
  <c r="H46" i="9"/>
  <c r="H75" i="1"/>
  <c r="J22" i="9"/>
  <c r="J46" i="9" s="1"/>
  <c r="J75" i="1"/>
  <c r="H23" i="9"/>
  <c r="H47" i="9" s="1"/>
  <c r="H76" i="1"/>
  <c r="J23" i="9"/>
  <c r="J47" i="9" s="1"/>
  <c r="J76" i="1"/>
  <c r="I45" i="9"/>
  <c r="I74" i="1"/>
  <c r="K45" i="9"/>
  <c r="K74" i="1"/>
  <c r="J45" i="9"/>
  <c r="J74" i="1"/>
  <c r="K20" i="9"/>
  <c r="K44" i="9" s="1"/>
  <c r="K72" i="1"/>
  <c r="F72" i="1" s="1"/>
  <c r="I46" i="9"/>
  <c r="I75" i="1"/>
  <c r="K22" i="9"/>
  <c r="K46" i="9" s="1"/>
  <c r="K75" i="1"/>
  <c r="I23" i="9"/>
  <c r="I47" i="9" s="1"/>
  <c r="I76" i="1"/>
  <c r="K23" i="9"/>
  <c r="K47" i="9" s="1"/>
  <c r="K76" i="1"/>
  <c r="I20" i="9"/>
  <c r="G20" i="9"/>
  <c r="G44" i="9" s="1"/>
  <c r="F61" i="1"/>
  <c r="G22" i="9"/>
  <c r="F63" i="1"/>
  <c r="G64" i="1"/>
  <c r="F64" i="1" s="1"/>
  <c r="G60" i="1"/>
  <c r="E17" i="1"/>
  <c r="F75" i="1" l="1"/>
  <c r="J48" i="9"/>
  <c r="K48" i="9"/>
  <c r="G74" i="1"/>
  <c r="G58" i="1"/>
  <c r="F58" i="1" s="1"/>
  <c r="K17" i="9"/>
  <c r="K50" i="9" s="1"/>
  <c r="J17" i="9"/>
  <c r="J50" i="9" s="1"/>
  <c r="F22" i="9"/>
  <c r="G46" i="9"/>
  <c r="F46" i="9" s="1"/>
  <c r="I17" i="9"/>
  <c r="I50" i="9" s="1"/>
  <c r="I44" i="9"/>
  <c r="H51" i="9"/>
  <c r="H44" i="9"/>
  <c r="H58" i="9" s="1"/>
  <c r="H17" i="9"/>
  <c r="H50" i="9" s="1"/>
  <c r="F20" i="9"/>
  <c r="F60" i="1"/>
  <c r="G23" i="9"/>
  <c r="G47" i="9" s="1"/>
  <c r="F47" i="9" s="1"/>
  <c r="E16" i="1"/>
  <c r="E60" i="1"/>
  <c r="F74" i="1" l="1"/>
  <c r="I48" i="9"/>
  <c r="I58" i="9"/>
  <c r="G17" i="9"/>
  <c r="F17" i="9" s="1"/>
  <c r="H48" i="9"/>
  <c r="F44" i="9"/>
  <c r="E74" i="1"/>
  <c r="F19" i="9"/>
  <c r="G45" i="9"/>
  <c r="F23" i="9"/>
  <c r="E19" i="9"/>
  <c r="E45" i="9" s="1"/>
  <c r="E91" i="2"/>
  <c r="E103" i="2" s="1"/>
  <c r="G50" i="9" l="1"/>
  <c r="G52" i="9" s="1"/>
  <c r="G57" i="9" s="1"/>
  <c r="F45" i="9"/>
  <c r="G48" i="9"/>
  <c r="F48" i="9" s="1"/>
  <c r="G59" i="9"/>
  <c r="G60" i="9" s="1"/>
  <c r="G61" i="9"/>
  <c r="F50" i="9"/>
  <c r="E90" i="2"/>
  <c r="F14" i="2"/>
  <c r="F13" i="2"/>
  <c r="E85" i="2" l="1"/>
  <c r="E102" i="2"/>
  <c r="F85" i="2"/>
  <c r="N22" i="9" s="1"/>
  <c r="E33" i="1"/>
  <c r="E34" i="1"/>
  <c r="E64" i="1" s="1"/>
  <c r="E29" i="1" l="1"/>
  <c r="E23" i="9"/>
  <c r="E47" i="9" s="1"/>
  <c r="E76" i="1"/>
  <c r="E63" i="1"/>
  <c r="E58" i="1" s="1"/>
  <c r="E75" i="1" l="1"/>
  <c r="E77" i="1" s="1"/>
  <c r="E22" i="9"/>
  <c r="E17" i="9" l="1"/>
  <c r="E50" i="9" s="1"/>
  <c r="E46" i="9"/>
  <c r="E48" i="9" s="1"/>
  <c r="N9" i="6"/>
  <c r="P9" i="6" s="1"/>
  <c r="F9" i="6"/>
  <c r="Q70" i="3"/>
  <c r="P70" i="3"/>
  <c r="O70" i="3"/>
  <c r="N70" i="3"/>
  <c r="P69" i="3"/>
  <c r="Q68" i="3"/>
  <c r="P68" i="3"/>
  <c r="O68" i="3"/>
  <c r="N68" i="3"/>
  <c r="N69" i="3" l="1"/>
  <c r="Q69" i="3"/>
  <c r="O69" i="3"/>
  <c r="E68" i="1"/>
  <c r="G76" i="1"/>
  <c r="F76" i="1" s="1"/>
  <c r="G77" i="1" l="1"/>
  <c r="G79" i="1" s="1"/>
  <c r="K77" i="1"/>
  <c r="K79" i="1" s="1"/>
  <c r="J77" i="1"/>
  <c r="J79" i="1" s="1"/>
  <c r="E104" i="2"/>
  <c r="N23" i="9" l="1"/>
  <c r="I77" i="1"/>
  <c r="I79" i="1" s="1"/>
  <c r="K104" i="2"/>
  <c r="K106" i="2" s="1"/>
  <c r="H104" i="2"/>
  <c r="H106" i="2" s="1"/>
  <c r="J104" i="2"/>
  <c r="J106" i="2" s="1"/>
  <c r="H77" i="1"/>
  <c r="H79" i="1" l="1"/>
  <c r="F77" i="1"/>
  <c r="F79" i="1" s="1"/>
  <c r="F104" i="2"/>
  <c r="F106" i="2" s="1"/>
  <c r="I104" i="2"/>
  <c r="I106" i="2" s="1"/>
  <c r="F45" i="3" l="1"/>
  <c r="F46" i="3"/>
  <c r="F44" i="3" l="1"/>
</calcChain>
</file>

<file path=xl/sharedStrings.xml><?xml version="1.0" encoding="utf-8"?>
<sst xmlns="http://schemas.openxmlformats.org/spreadsheetml/2006/main" count="852" uniqueCount="316">
  <si>
    <t>№ п/п</t>
  </si>
  <si>
    <t>Источники            финансирования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</si>
  <si>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</si>
  <si>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</si>
  <si>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</si>
  <si>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</si>
  <si>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</si>
  <si>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</si>
  <si>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</si>
  <si>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</si>
  <si>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</si>
  <si>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</si>
  <si>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</si>
  <si>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</si>
  <si>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</si>
  <si>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</si>
  <si>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</si>
  <si>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Полное государственноне обеспечение  100% обучающихся из категории детей сирот и детей, оставшихся без попечения родителей</t>
  </si>
  <si>
    <t>1</t>
  </si>
  <si>
    <t>11</t>
  </si>
  <si>
    <t>12</t>
  </si>
  <si>
    <t>Обеспечение эффективной деятельности аппарата управления</t>
  </si>
  <si>
    <t>Управление образования, руководители организаций, МКУ "Централизованная бухгалтерия"</t>
  </si>
  <si>
    <t>Объем финансирования по годам (тыс. рублей)</t>
  </si>
  <si>
    <t>Объем финансирования по годам (тыс. руб.)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</si>
  <si>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</si>
  <si>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</si>
  <si>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</si>
  <si>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</si>
  <si>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</si>
  <si>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</si>
  <si>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</si>
  <si>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Средства  родительской платы за присмотр и уход за детьми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</si>
  <si>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</si>
  <si>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</si>
  <si>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</si>
  <si>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</si>
  <si>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</si>
  <si>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</si>
  <si>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</si>
  <si>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</si>
  <si>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</si>
  <si>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</si>
  <si>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</si>
  <si>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</si>
  <si>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</si>
  <si>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</si>
  <si>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</si>
  <si>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</si>
  <si>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</si>
  <si>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</si>
  <si>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</si>
  <si>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</si>
  <si>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</si>
  <si>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</si>
  <si>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</si>
  <si>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</si>
  <si>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>2020 год</t>
  </si>
  <si>
    <t>2021 год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</si>
  <si>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</si>
  <si>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</si>
  <si>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Организация дополнительных мест в частных дошкольных образовательных организациях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</si>
  <si>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</si>
  <si>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</si>
  <si>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</si>
  <si>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</si>
  <si>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</si>
  <si>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</si>
  <si>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</si>
  <si>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</si>
  <si>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</si>
  <si>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2022 год</t>
  </si>
  <si>
    <t>2023 год</t>
  </si>
  <si>
    <t>2024 год</t>
  </si>
  <si>
    <t>2020-2024 годы</t>
  </si>
  <si>
    <t>Срок исполнения мероприяти</t>
  </si>
  <si>
    <t>Всего  (тыс. руб.)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</si>
  <si>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</si>
  <si>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</si>
  <si>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</si>
  <si>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 xml:space="preserve">Средства бюджета Одинцовского городского округа      </t>
  </si>
  <si>
    <t>Срок исполнения мероприятия</t>
  </si>
  <si>
    <t>4.1</t>
  </si>
  <si>
    <t>Количество отремонтированных дошкольных образовательных организаций</t>
  </si>
  <si>
    <t>3.3</t>
  </si>
  <si>
    <t>3.4</t>
  </si>
  <si>
    <t>5.1</t>
  </si>
  <si>
    <t>5.2</t>
  </si>
  <si>
    <t>Оснащение дошкольных образовательных организаций современным инновационным оборудованием</t>
  </si>
  <si>
    <t>3.5</t>
  </si>
  <si>
    <t>Срок исполнения меропиятия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</si>
  <si>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</si>
  <si>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Комитет по культуре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</si>
  <si>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</si>
  <si>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</si>
  <si>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8.1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</si>
  <si>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</si>
  <si>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центров цифрового образования детей</t>
  </si>
  <si>
    <t>Объем финансирования в 2019 году (тыс.руб.)</t>
  </si>
  <si>
    <t xml:space="preserve">2020 год 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</si>
  <si>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</si>
  <si>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 xml:space="preserve"> Итого Подпрограмма 5, в том числе: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</si>
  <si>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</si>
  <si>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Мероприятия в сфере образования</t>
  </si>
  <si>
    <t xml:space="preserve">2020  год </t>
  </si>
  <si>
    <t>1.5</t>
  </si>
  <si>
    <t>6.1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</si>
  <si>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</si>
  <si>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Создание условий, отвечающих требованиям СанПиН в 100% образовательных учреждениях. Проведение капитального ремонта, технического переоснащения и благоустройства территорий</t>
  </si>
  <si>
    <t>Создание условий, отвечающих требованиям СанПиН в 100% общеобразовательных учреждениях. Проведение капитального ремонта</t>
  </si>
  <si>
    <t>6.2</t>
  </si>
  <si>
    <t>7.1</t>
  </si>
  <si>
    <t>7.2</t>
  </si>
  <si>
    <t>Создание детских технопарков "Кванториум"</t>
  </si>
  <si>
    <t>Основное мероприятие А1. Федеральный проект "Культурная среда"</t>
  </si>
  <si>
    <t>Основное мероприятие А2. Федеральный проект "Творческие люди"</t>
  </si>
  <si>
    <t>Основное мероприятие  E5. Федеральный проект "Учитель будущего"</t>
  </si>
  <si>
    <t>Педагогические работники, прошедшие добровольно независимую оценку квалификации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</si>
  <si>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</si>
  <si>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</si>
  <si>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Администрация средства бюджета Одинцовского городского округа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</si>
  <si>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</si>
  <si>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</si>
  <si>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</si>
  <si>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</si>
  <si>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Культура средства бюджета Московской области</t>
  </si>
  <si>
    <t>Культура средства бюджета Одинцовского района</t>
  </si>
  <si>
    <t>Культура всего</t>
  </si>
  <si>
    <t>5.3</t>
  </si>
  <si>
    <t>5.4</t>
  </si>
  <si>
    <t>5.5</t>
  </si>
  <si>
    <t>5.6</t>
  </si>
  <si>
    <t>УМЦ "Развитие образования",     МКОУ ОРЦ "Сопровождение"</t>
  </si>
  <si>
    <t>Управление образования, МАОУ "ОЦЭВ"</t>
  </si>
  <si>
    <t>Мероприятия в сфере образования: проведение районных мероприятий,  выплата премии Главы, поздравление первоклассников и их родителей с днем знаний, приобретение значков, футболок, открыток "Чуткая власть" , создание кластерной модели муниципальной методической службы, создание условий для продуктивной самореализации одаренных обучающихся, повышение эффективности кадрового обеспечения работы с одаренными обучающимися</t>
  </si>
  <si>
    <t>Стипендии для 100 обучающихся, показавших особые успехи в учении, искусстве</t>
  </si>
  <si>
    <t>100% выполнение обеспечения деятельности (оказание услуг) муниципальных учреждений - организации дополнительного образования</t>
  </si>
  <si>
    <t>100% выполнение обеспечения деятельности (оказание услуг) муниципальных учреждений - общеобразовательные организации</t>
  </si>
  <si>
    <t xml:space="preserve">100% выполнение обеспечения деятельности (оказание услуг) муниципальных учреждений - дошкольные образовательные организации   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</si>
  <si>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</si>
  <si>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</si>
  <si>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</si>
  <si>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</si>
  <si>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</si>
  <si>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>Управление (за разницей) Средства федерального бюджета</t>
  </si>
  <si>
    <t>100% выполнение муниципального задания поУМЦ "Развитие образования", МБОУ ОРЦ "Сопровождение", а также 100 % освоение средств целевых субсидий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</si>
  <si>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</si>
  <si>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</si>
  <si>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</si>
  <si>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2.6</t>
  </si>
  <si>
    <t>2.7</t>
  </si>
  <si>
    <t>Обеспечение  дошкольных образовательных учреждений  услугой по охране объектов и имущества</t>
  </si>
  <si>
    <t>Обеспечение  общеобразовательных учреждений  услугой по охране объектов и имущества</t>
  </si>
  <si>
    <t>1.6</t>
  </si>
  <si>
    <t>Организация питания обучающихся и воспитанников общеобразовательных организаций</t>
  </si>
  <si>
    <t>1.7</t>
  </si>
  <si>
    <t>1.8</t>
  </si>
  <si>
    <t>Оснащение и лицензирование медицинских кабинетов образовательных организаций</t>
  </si>
  <si>
    <t>Обеспечение  учреждений дополнительного образования  услугой по охране объектов и имущества</t>
  </si>
  <si>
    <t>Создание условий, отвечающих требованиям СанПиН в 100% образовательных учреждениях. Проведение капитального ремонта муниципального имущества в муниципальных организациях дополнительного образования  в сфере физической культуры и спорта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</si>
  <si>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</si>
  <si>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поддержка отрасли культуры(в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</si>
  <si>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Культура средства федерального бюджета</t>
  </si>
  <si>
    <t xml:space="preserve">Внедрение и обеспечение функционирования модели персонифицированного финансирования дополнительного образования детей. 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</si>
  <si>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 </t>
  </si>
  <si>
    <t>100% исполнение сметы расходов комиссии по делам несовершеннолетних и защите их прав</t>
  </si>
  <si>
    <t>100% обеспеченность обучающихся горячим питанием</t>
  </si>
  <si>
    <t>1.9</t>
  </si>
  <si>
    <t>100% tжемесячное денежное вознаграждение за классное руководство педагогическим работникам муниципальных общеобразовательных организаций</t>
  </si>
  <si>
    <t>1.10</t>
  </si>
  <si>
    <t>Возмещение расходов на присмотр и уход, содержания имущества и арендную плату за использование помещений в частных общеобразовательных организаций</t>
  </si>
  <si>
    <t>3.6</t>
  </si>
  <si>
    <t>3.7</t>
  </si>
  <si>
    <t>100% обеспеченность горячим питанием обучающихся, получающих начальное общее образование</t>
  </si>
  <si>
    <t>100% обеспеченность  горячим питанием обучающихся,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</t>
  </si>
  <si>
    <t>Капитальный ремонт детского сада,
расположенного по адресу: Московская область,
Одинцовский район, Лесной Городок дп, ул.
Школьная, д. 14</t>
  </si>
  <si>
    <t>2.8</t>
  </si>
  <si>
    <t>Увеличение количества учреждениий дополнительного образования детей, которым созданы современные условия обучения. Создание условий, отвечающих требованиям СанПиН в 100% организациях дополнительного образования. Проведение ремонтных работ.</t>
  </si>
  <si>
    <t>Приобретение (выкуп) нежилых помещений и земельного участка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</si>
  <si>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6.3</t>
  </si>
  <si>
    <t>2</t>
  </si>
  <si>
    <t>Количество капитально отремонтированных детских школ искусств по видам искусств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</si>
  <si>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</si>
  <si>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2.9</t>
  </si>
  <si>
    <t>2021-2024 годы</t>
  </si>
  <si>
    <t>3.8</t>
  </si>
  <si>
    <t xml:space="preserve">0103 Проведение капитального ремонта и (или) оснащение оборудованием муниципальных дошкольных образовательных организаций в Московской области    </t>
  </si>
  <si>
    <t>Основное мероприятие 02.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</si>
  <si>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01. "Финансовое обеспечение деятельности образовательных организаций"</t>
  </si>
  <si>
    <t>Основное мероприятие 02. "Финансовое обеспечение деятельности образовательных организаций для детей-сирот и детей, оставшихся без попечения родителей"</t>
  </si>
  <si>
    <t>Основное мероприятие 03.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</si>
  <si>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05.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</si>
  <si>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02.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</si>
  <si>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03. "Финансовое обеспечение оказания услуг (выполнения работ) организациями дополнительного образования"</t>
  </si>
  <si>
    <t>0402 Проведение капитального ремонта муниципального имущества в муниципальных организациях дополнительного образования в Московской области в сфере физической культуры и спорта</t>
  </si>
  <si>
    <t>Основное мероприятие 05. "Модернизация детских школ искусств"</t>
  </si>
  <si>
    <t>0503 Реализация мероприятий по модернизации региональных и муниципальных детских школ искусств по видам искусств</t>
  </si>
  <si>
    <t>Основное мероприятие 06. "Обеспечение функционирования модели персонифицированного финансирования дополнительного образования детей"</t>
  </si>
  <si>
    <t>А101 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</si>
  <si>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А102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</si>
  <si>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А103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</si>
  <si>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А201 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</si>
  <si>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А202 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</si>
  <si>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Е201 Создание детских технопарков "Кванториум"</t>
  </si>
  <si>
    <t>Основное мероприятие 05.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</si>
  <si>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>Е501 Педагогические работники, прошедшие добровольно независимую оценку квалификации</t>
  </si>
  <si>
    <t>Основное мероприятие 01. "Создание условий для реализации полномочий органов местного самоуправления"</t>
  </si>
  <si>
    <t>Создание дополнительных мест 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</si>
  <si>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О.А. Ткачева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</si>
  <si>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2020-2024 ГОДЫ</t>
  </si>
  <si>
    <t>1.3.1</t>
  </si>
  <si>
    <t>3.9</t>
  </si>
  <si>
    <t>Мероприятие 03.19. Оснащение общеобразовательных организаций, создаваемых на территории населенных пунктов, имеющих статус наукограда</t>
  </si>
  <si>
    <t>Оснащение общеобразовательных организаций, создаваемых на территории населенных пунктов, имеющих статус наукограда</t>
  </si>
  <si>
    <t>Мероприятие Е1.02. Создание центров образования естественно-научной и технологической направленностей</t>
  </si>
  <si>
    <t>4.2</t>
  </si>
  <si>
    <t>от «___» __________ 2021 № ______</t>
  </si>
  <si>
    <t>Укрепление материально 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</si>
  <si>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».</t>
  </si>
  <si>
    <r>
      <rPr>
        <sz val="16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Приложение 1 к муниципальной программе </t>
    </r>
  </si>
  <si>
    <t>Основное мероприятие 01. "Проведение капитального ремонта объектов дошкольного образования, закупка оборудования"</t>
  </si>
  <si>
    <t>Мероприятие 01.01. Приобретение (выкуп) нежилых помещений и земельного участка под размещение дошкольных групп для детей в возрасте от 2 месяцев до 7 лет</t>
  </si>
  <si>
    <t>Мероприятие 01.02.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</si>
  <si>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Мероприятие 02.01. Проведение капитального ремонта, технического переоснащения и благоустройства территорий учреждений образования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</si>
  <si>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</si>
  <si>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</si>
  <si>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</si>
  <si>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Мероприятие 02.05.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</si>
  <si>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Мероприятие 02.06. Укрепление материально-технической базы и проведение текущего ремонта учреждений дошкольного образования</t>
  </si>
  <si>
    <t>Мероприятие 02.07. Профессиональная физическая охрана муниципальных учреждений дошкольного образования</t>
  </si>
  <si>
    <t>Мероприятие 02.08. Мероприятия в сфере образования</t>
  </si>
  <si>
    <t>Мероприятие 02.09. 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</si>
  <si>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</si>
  <si>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</si>
  <si>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Мероприятие 01.01.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</si>
  <si>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</si>
  <si>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t>Мероприятие 01.03. Расходы на обеспечение деятельности (оказание услуг) муниципальных учреждений - общеобразовательные организации</t>
  </si>
  <si>
    <t>Мероприятие 01.04. Укрепление материально-технической базы и проведение текущего ремонта общеобразовательных организаций</t>
  </si>
  <si>
    <t>Мероприятие 01.05. Профессиональная физическая охрана муниципальных учреждений в сфере общеобразовательных организаций</t>
  </si>
  <si>
    <t>Мероприятие 01.06. Организация питания обучающихся и воспитанников общеобразовательных организаций</t>
  </si>
  <si>
    <t>Мероприятие 01.07. Мероприятия в сфере образования</t>
  </si>
  <si>
    <t>Мероприятие 01.08. Оснащение и лицензирование медицинских кабинетов 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</si>
  <si>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</si>
  <si>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Мероприятие 01.10. Государственная поддержка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</si>
  <si>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02.01. 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</si>
  <si>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</si>
  <si>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</si>
  <si>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03.06.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</si>
  <si>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Мероприятие 03.07.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</si>
  <si>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03.08.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</si>
  <si>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Мероприятие 03.09.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</si>
  <si>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</si>
  <si>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100% обеспеченность  горячим питанием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</si>
  <si>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r>
      <t xml:space="preserve">Мероприятие 05.01. </t>
    </r>
    <r>
      <rPr>
        <b/>
        <sz val="14"/>
        <rFont val="Times New Roman"/>
        <family val="2"/>
      </rPr>
      <t>Расходы на обеспечение деятельности (оказание услуг) муниципальных учреждений - общеобразовательные организации</t>
    </r>
  </si>
  <si>
    <t xml:space="preserve">Мероприятие Е1.01. Обновление материально-технической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</si>
  <si>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Созданы центры образования естественно-научной и технологической направленностей,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</si>
  <si>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Мероприятие Е1.03. Проведение капитального ремонта в муниципальных общеобразовательных организациях в Московской области</t>
  </si>
  <si>
    <t>Мероприятие Е1.04. Мероприятия по проведению капитального ремонта в муниципальных общеобразовательных организациях в Московской области</t>
  </si>
  <si>
    <t xml:space="preserve">Мероприятие Е1.05.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</si>
  <si>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Оснащены средствами обучения центры образования естественно-научной и технологической направленностей в обшеобразовательных организациях, расположенных в сельской местности и малых городах</t>
  </si>
  <si>
    <t>Мероприятие Е1.06. Проведение капитального ремонта, технического переоснащения и благоустройства территорий учреждений образования</t>
  </si>
  <si>
    <t>Мероприятие Е2.01.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</si>
  <si>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</si>
  <si>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Мероприятие 02.01. Стипендии в области образования, культуры и искусства (юные дарования, одаренные дети)</t>
  </si>
  <si>
    <t>Мероприятие 03.01. Расходы на обеспечение деятельности (оказание услуг) муниципальных учреждений - организации дополнительного образования</t>
  </si>
  <si>
    <t>Мероприятие 03.02. Укрепление материально-технической базы и проведение текущего ремонта учреждений дополнительного образования</t>
  </si>
  <si>
    <t>Мероприятие 03.03. Профессиональная физическая охрана муниципальных учреждений дополнительного образования</t>
  </si>
  <si>
    <t>Мероприятие 03.04. Мероприятия в сфере образования</t>
  </si>
  <si>
    <t>Мероприятие 03.05. Проведение капитального ремонта, технического переоснащения и благоустройства территорий учреждений образования</t>
  </si>
  <si>
    <t>Основное мероприятие 04.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 поддержки социализации детей"</t>
  </si>
  <si>
    <t>Мероприятие 06.01. Внедрение и обеспечение функционирования модели персонифицированного финансирования дополнительного образования детей</t>
  </si>
  <si>
    <t>Мероприятие 06.02. 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</si>
  <si>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Мероприятие Е2.02.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</si>
  <si>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Е4.02. Создание центров цифрового образования детей</t>
  </si>
  <si>
    <t>Мероприятие 05.01. 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</si>
  <si>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r>
      <t>Мероприятие 01.01.</t>
    </r>
    <r>
      <rPr>
        <b/>
        <sz val="14"/>
        <rFont val="Times New Roman"/>
        <family val="2"/>
      </rPr>
      <t xml:space="preserve"> Обеспечение деятельности муниципальных органов - учреждения в сфере образования</t>
    </r>
  </si>
  <si>
    <r>
      <t>Мероприятие 01.02.</t>
    </r>
    <r>
      <rPr>
        <b/>
        <sz val="14"/>
        <rFont val="Times New Roman"/>
        <family val="2"/>
      </rPr>
      <t xml:space="preserve">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  </r>
  </si>
  <si>
    <r>
      <t>Мероприятие 01.03.</t>
    </r>
    <r>
      <rPr>
        <b/>
        <sz val="14"/>
        <rFont val="Times New Roman"/>
        <family val="2"/>
      </rPr>
      <t>Мероприятия в сфере образования</t>
    </r>
  </si>
  <si>
    <t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запасами. Создание условий, отвечающих требованиям СанПиН в 100% дошкольных образовательных организациях. Проведение ремонтных работ. Оснащение здания детского сада на 120 мест Новый городок (Искатель) (2020), здания детского сада по адресу: Московская область, г. Одинцово, Можайское ш., д. 96 (2021)</t>
  </si>
  <si>
    <t>Увеличение количества общеобразовательных учреждениий, которым предоставлены современные условия обучения до 95%. Создание условий, отвечающих требованиям СанПиН в 100%  общеобразовательных организациях.Оснащение детского сада, расположенного по адресу: Московская область, Одинцовский район, Лесной Городок дп, ул.Школьная, д. 14 (2020),  техническое переоснащение МБОУ Новогородковская СОШ, Ершовская СОШ (2020), Ершовская СОШ (2021)</t>
  </si>
  <si>
    <t xml:space="preserve">Приобретение автобусов для доставки обучающихся в общеобразовательные организации </t>
  </si>
  <si>
    <t>ремонт сопровождения</t>
  </si>
  <si>
    <t>сняла питание Лесной городок</t>
  </si>
  <si>
    <t>доавила питание Лесной городок</t>
  </si>
  <si>
    <t>добавила кап.ремонт</t>
  </si>
  <si>
    <t>Мероприятия по проведению капитального ремонта в муниципальных общеобразовательных организациях в Одинцовском городском округе Московской области</t>
  </si>
  <si>
    <t>Проведениие капитального ремонта детского сада,
расположенного по адресу: Московская область,
Одинцовский район, Лесной Городок дп, ул.
Школьная, д. 14 (2020)</t>
  </si>
  <si>
    <t>добавила 3599</t>
  </si>
  <si>
    <t>сняла 319 828,0 на школы</t>
  </si>
  <si>
    <t>добавила зп</t>
  </si>
  <si>
    <t>сняла Чуткую власть 1500,0 на ЧДОУ</t>
  </si>
  <si>
    <t>сняла 2099,0 на ЧДОУ</t>
  </si>
  <si>
    <t>Приложение 5</t>
  </si>
  <si>
    <t>добавила 234,39, 1168,0 на Мож.ш,96</t>
  </si>
  <si>
    <t>сняла на кап.ремонт 503,21118, добавила на кап.ремонт,</t>
  </si>
  <si>
    <t>добавили 205,79335 ремонт Интернат, сняла на кап.ремонт, 990,54 (парты) Зареченская, 3586,60598 - день благотворительности Гармония</t>
  </si>
  <si>
    <t>сняла на кап.ремонт, 14404,4 - оснащение Мож.96</t>
  </si>
  <si>
    <t>добавила на Безопасный регион</t>
  </si>
  <si>
    <t>сняла на кап.ремонт 2029,59998, 234,39 и 1168,0 на Можш,96, сняла 686,4 на Безопасный регион, сняла 476,0 на обследование зданий</t>
  </si>
  <si>
    <t>добавила 476,0 на обследование зданий</t>
  </si>
  <si>
    <t>добавила на 3 сош</t>
  </si>
  <si>
    <t>добавила расходы по 17 сош</t>
  </si>
  <si>
    <t>прибавила 89,67471 хэс, сняла расходы ХЭС  0,00001, сняла 386,9</t>
  </si>
  <si>
    <t>добавила 641,68771 на коммуналку 52 дс., передвинула расходы ХЭС со школ 5840,643, 135,0 на 48 сад</t>
  </si>
  <si>
    <t>сняла на ремонт Интерната 205,79335, сняла 641,68771 на коммуналку 52 дс, сняла расходы ХЭС на сады 5840,64237, добавила расходы на 3 сош, добавила расходы на гол1 и Введенская, подвоз на Звенигород, сняла 135,0 с военных сборов на 48 сад</t>
  </si>
  <si>
    <t xml:space="preserve">Начальник Управления образования                                                                   </t>
  </si>
  <si>
    <r>
      <t xml:space="preserve">Мероприятие 01.04. Мероприятия по проведению капитального ремонта  в муниципальных дошкольных образовательных организациях </t>
    </r>
    <r>
      <rPr>
        <b/>
        <sz val="14"/>
        <color rgb="FFFF0000"/>
        <rFont val="Times New Roman"/>
        <family val="1"/>
        <charset val="204"/>
      </rPr>
      <t>в</t>
    </r>
    <r>
      <rPr>
        <b/>
        <sz val="14"/>
        <rFont val="Times New Roman"/>
        <family val="1"/>
        <charset val="204"/>
      </rPr>
      <t xml:space="preserve"> Московской области </t>
    </r>
  </si>
  <si>
    <r>
      <t xml:space="preserve">Мероприятие 04.01. Укрепление материально-технической базы общеобразовательных организаций, команды которых заняли 1-5 </t>
    </r>
    <r>
      <rPr>
        <b/>
        <sz val="14"/>
        <color rgb="FFFF0000"/>
        <rFont val="Times New Roman"/>
        <family val="1"/>
        <charset val="204"/>
      </rPr>
      <t>места</t>
    </r>
    <r>
      <rPr>
        <b/>
        <sz val="14"/>
        <rFont val="Times New Roman"/>
        <family val="1"/>
        <charset val="204"/>
      </rPr>
      <t xml:space="preserve"> на соревнованиях "Веселые старты" среди команд общеобразовательных организаций Московской области на призы Губернатора Московской области</t>
    </r>
  </si>
  <si>
    <t>Администрация Одинцовского городского округа (Управления бухгалтерского учета и отчетности)</t>
  </si>
  <si>
    <r>
      <t xml:space="preserve">Мероприятие 03.02. Обеспечение переданного государственного полномочия Московской области по созданию комиссий по делам несовершеннолетних </t>
    </r>
    <r>
      <rPr>
        <b/>
        <sz val="14"/>
        <color rgb="FFFF0000"/>
        <rFont val="Times New Roman"/>
        <family val="1"/>
        <charset val="204"/>
      </rPr>
      <t>и</t>
    </r>
    <r>
      <rPr>
        <b/>
        <sz val="14"/>
        <rFont val="Times New Roman"/>
        <family val="1"/>
        <charset val="204"/>
      </rPr>
      <t xml:space="preserve"> защите их прав муниципальных образований Московской области</t>
    </r>
  </si>
  <si>
    <t>Основное мероприятие Р2. Федеральный проект "Содействие занятости"</t>
  </si>
  <si>
    <t>Основное мероприятие Е2. Федеральный проект "Успех каждого ребенка"</t>
  </si>
  <si>
    <t>Основное мероприятие Е1. Федеральный проект "Современная школа"</t>
  </si>
  <si>
    <t>Основное мероприятие Е4. Федеральный проект "Цифровая образовательная среда"</t>
  </si>
  <si>
    <r>
      <t>Создание условий, отвечающих требованиям СанПиН. Проведение капитального ремонта, технического переоснащения нежилого помещения под размещение дошкольных групп групп для детей в возрасте от 2 месяцев до 3 лет по адресу: Московская область, г. Одинцово, Можайское ш., д. 96, проведение капитального ремонта МБДОУ №№ 20,21,49,79,57,3,19,35,80,46,50,82,</t>
    </r>
    <r>
      <rPr>
        <sz val="16"/>
        <color rgb="FFFF0000"/>
        <rFont val="Times New Roman"/>
        <family val="1"/>
        <charset val="204"/>
      </rPr>
      <t>33</t>
    </r>
    <r>
      <rPr>
        <sz val="14"/>
        <rFont val="Times New Roman"/>
        <family val="1"/>
        <charset val="204"/>
      </rPr>
      <t xml:space="preserve"> (2021) </t>
    </r>
  </si>
  <si>
    <r>
      <t xml:space="preserve">Создание условий, отвечающих требованиям СанПиН.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 (2020), МОУ СОШ № 1 г. Звенигород, МОУ СОШ № 2 им. Пронина г. Звенигород, МБОУ Одинцовская СОШ №1, МБОУ Одинцовская СОШ №3, МБОУ Часцовская СОШ, МБОУ Одинцовская  № 16, </t>
    </r>
    <r>
      <rPr>
        <sz val="14"/>
        <color rgb="FFFF0000"/>
        <rFont val="Times New Roman"/>
        <family val="1"/>
        <charset val="204"/>
      </rPr>
      <t>МБОУ Одинцовская гимназия №14, МБОУ Голицынская СОШ №1</t>
    </r>
    <r>
      <rPr>
        <sz val="14"/>
        <rFont val="Times New Roman"/>
        <family val="1"/>
        <charset val="204"/>
      </rPr>
      <t xml:space="preserve"> (2021)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</si>
</sst>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2"/>
    </font>
    <font>
      <sz val="14"/>
      <color rgb="FFFF0000"/>
      <name val="Times New Roman"/>
      <family val="2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483">
    <xf numFmtId="0" fontId="0" fillId="0" borderId="0" xfId="0"/>
    <xf numFmtId="0" fontId="5" fillId="2" borderId="0" xfId="1" applyFont="1" applyFill="1" applyAlignment="1">
      <alignment horizontal="center"/>
    </xf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0" borderId="11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0" borderId="2" xfId="4" applyNumberFormat="1" applyFont="1" applyFill="1" applyBorder="1" applyAlignment="1" applyProtection="1">
      <alignment horizontal="center" vertical="top"/>
    </xf>
    <xf numFmtId="49" fontId="8" fillId="0" borderId="1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9" borderId="0" xfId="0" applyFont="1" applyFill="1"/>
    <xf numFmtId="165" fontId="6" fillId="7" borderId="0" xfId="0" applyNumberFormat="1" applyFont="1" applyFill="1"/>
    <xf numFmtId="0" fontId="9" fillId="5" borderId="2" xfId="1" applyFont="1" applyFill="1" applyBorder="1"/>
    <xf numFmtId="0" fontId="9" fillId="5" borderId="12" xfId="1" applyFont="1" applyFill="1" applyBorder="1" applyAlignment="1">
      <alignment vertical="center"/>
    </xf>
    <xf numFmtId="0" fontId="9" fillId="0" borderId="2" xfId="1" applyFont="1" applyFill="1" applyBorder="1"/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7" applyNumberFormat="1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7" xfId="3" applyNumberFormat="1" applyFont="1" applyFill="1" applyBorder="1" applyAlignment="1" applyProtection="1">
      <alignment horizontal="center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1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0" fontId="16" fillId="5" borderId="2" xfId="4" applyNumberFormat="1" applyFont="1" applyFill="1" applyBorder="1" applyAlignment="1" applyProtection="1">
      <alignment vertical="top"/>
    </xf>
    <xf numFmtId="0" fontId="16" fillId="5" borderId="12" xfId="4" applyNumberFormat="1" applyFont="1" applyFill="1" applyBorder="1" applyAlignment="1" applyProtection="1">
      <alignment vertical="top"/>
    </xf>
    <xf numFmtId="0" fontId="16" fillId="0" borderId="2" xfId="4" applyNumberFormat="1" applyFont="1" applyFill="1" applyBorder="1" applyAlignment="1" applyProtection="1">
      <alignment vertical="top"/>
    </xf>
    <xf numFmtId="0" fontId="16" fillId="0" borderId="12" xfId="4" applyNumberFormat="1" applyFont="1" applyFill="1" applyBorder="1" applyAlignment="1" applyProtection="1">
      <alignment vertical="top"/>
    </xf>
    <xf numFmtId="0" fontId="9" fillId="0" borderId="15" xfId="1" applyFont="1" applyFill="1" applyBorder="1"/>
    <xf numFmtId="0" fontId="9" fillId="0" borderId="16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9" fontId="9" fillId="0" borderId="11" xfId="5" applyNumberFormat="1" applyFont="1" applyFill="1" applyBorder="1" applyAlignment="1" applyProtection="1">
      <alignment horizontal="center" vertical="top"/>
    </xf>
    <xf numFmtId="0" fontId="8" fillId="5" borderId="12" xfId="4" applyNumberFormat="1" applyFont="1" applyFill="1" applyBorder="1" applyAlignment="1">
      <alignment horizontal="left" vertical="top" wrapText="1" indent="1"/>
    </xf>
    <xf numFmtId="0" fontId="8" fillId="0" borderId="12" xfId="4" applyNumberFormat="1" applyFont="1" applyFill="1" applyBorder="1" applyAlignment="1">
      <alignment horizontal="left" vertical="top" wrapText="1" indent="1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0" fillId="10" borderId="0" xfId="0" applyFont="1" applyFill="1"/>
    <xf numFmtId="4" fontId="6" fillId="10" borderId="0" xfId="0" applyNumberFormat="1" applyFont="1" applyFill="1"/>
    <xf numFmtId="0" fontId="16" fillId="0" borderId="2" xfId="5" applyNumberFormat="1" applyFont="1" applyFill="1" applyBorder="1" applyAlignment="1" applyProtection="1">
      <alignment vertical="top"/>
    </xf>
    <xf numFmtId="0" fontId="16" fillId="0" borderId="12" xfId="5" applyNumberFormat="1" applyFont="1" applyFill="1" applyBorder="1" applyAlignment="1" applyProtection="1">
      <alignment vertical="top"/>
    </xf>
    <xf numFmtId="0" fontId="9" fillId="0" borderId="12" xfId="1" applyFont="1" applyBorder="1" applyAlignment="1">
      <alignment vertical="center"/>
    </xf>
    <xf numFmtId="165" fontId="8" fillId="8" borderId="8" xfId="5" applyNumberFormat="1" applyFont="1" applyFill="1" applyBorder="1" applyAlignment="1" applyProtection="1">
      <alignment horizontal="center" vertical="center"/>
    </xf>
    <xf numFmtId="0" fontId="16" fillId="8" borderId="8" xfId="5" applyNumberFormat="1" applyFont="1" applyFill="1" applyBorder="1" applyAlignment="1" applyProtection="1">
      <alignment vertical="top"/>
    </xf>
    <xf numFmtId="0" fontId="16" fillId="8" borderId="10" xfId="5" applyNumberFormat="1" applyFont="1" applyFill="1" applyBorder="1" applyAlignment="1" applyProtection="1">
      <alignment vertical="top"/>
    </xf>
    <xf numFmtId="165" fontId="8" fillId="2" borderId="2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6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0" fontId="16" fillId="8" borderId="0" xfId="5" applyNumberFormat="1" applyFont="1" applyFill="1" applyBorder="1" applyAlignment="1" applyProtection="1">
      <alignment vertical="top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165" fontId="7" fillId="3" borderId="0" xfId="1" applyNumberFormat="1" applyFont="1" applyFill="1" applyBorder="1" applyAlignment="1">
      <alignment horizontal="right" vertical="center"/>
    </xf>
    <xf numFmtId="4" fontId="6" fillId="3" borderId="0" xfId="0" applyNumberFormat="1" applyFont="1" applyFill="1"/>
    <xf numFmtId="49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 applyProtection="1">
      <alignment horizontal="center" vertical="center"/>
    </xf>
    <xf numFmtId="167" fontId="8" fillId="5" borderId="2" xfId="7" applyNumberFormat="1" applyFont="1" applyFill="1" applyBorder="1" applyAlignment="1" applyProtection="1">
      <alignment horizontal="right" vertical="center" wrapText="1"/>
    </xf>
    <xf numFmtId="167" fontId="8" fillId="0" borderId="2" xfId="7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12" fillId="0" borderId="2" xfId="0" applyNumberFormat="1" applyFont="1" applyBorder="1"/>
    <xf numFmtId="167" fontId="8" fillId="5" borderId="2" xfId="4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 applyProtection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7" fontId="8" fillId="5" borderId="2" xfId="4" applyNumberFormat="1" applyFont="1" applyFill="1" applyBorder="1" applyAlignment="1" applyProtection="1">
      <alignment horizontal="right" vertical="center"/>
    </xf>
    <xf numFmtId="167" fontId="8" fillId="0" borderId="15" xfId="1" applyNumberFormat="1" applyFont="1" applyFill="1" applyBorder="1" applyAlignment="1">
      <alignment horizontal="right" vertical="center"/>
    </xf>
    <xf numFmtId="167" fontId="12" fillId="10" borderId="2" xfId="0" applyNumberFormat="1" applyFont="1" applyFill="1" applyBorder="1"/>
    <xf numFmtId="167" fontId="8" fillId="10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12" fillId="0" borderId="2" xfId="0" applyNumberFormat="1" applyFont="1" applyFill="1" applyBorder="1"/>
    <xf numFmtId="167" fontId="12" fillId="3" borderId="2" xfId="0" applyNumberFormat="1" applyFont="1" applyFill="1" applyBorder="1"/>
    <xf numFmtId="167" fontId="7" fillId="3" borderId="0" xfId="1" applyNumberFormat="1" applyFont="1" applyFill="1" applyBorder="1" applyAlignment="1">
      <alignment horizontal="right" vertical="center"/>
    </xf>
    <xf numFmtId="167" fontId="6" fillId="3" borderId="0" xfId="0" applyNumberFormat="1" applyFont="1" applyFill="1"/>
    <xf numFmtId="0" fontId="5" fillId="2" borderId="0" xfId="7" applyNumberFormat="1" applyFont="1" applyFill="1" applyBorder="1" applyAlignment="1" applyProtection="1">
      <alignment horizontal="left" vertical="top" wrapText="1"/>
    </xf>
    <xf numFmtId="0" fontId="5" fillId="3" borderId="0" xfId="5" applyNumberFormat="1" applyFont="1" applyFill="1" applyBorder="1" applyAlignment="1" applyProtection="1">
      <alignment horizontal="left" vertical="top"/>
    </xf>
    <xf numFmtId="165" fontId="8" fillId="10" borderId="2" xfId="5" applyNumberFormat="1" applyFont="1" applyFill="1" applyBorder="1" applyAlignment="1" applyProtection="1">
      <alignment horizontal="center" vertical="center" wrapText="1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10" borderId="2" xfId="1" applyNumberFormat="1" applyFont="1" applyFill="1" applyBorder="1" applyAlignment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10" borderId="2" xfId="3" applyNumberFormat="1" applyFont="1" applyFill="1" applyBorder="1" applyAlignment="1" applyProtection="1">
      <alignment horizontal="center" vertical="center" wrapText="1"/>
    </xf>
    <xf numFmtId="167" fontId="13" fillId="10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0" borderId="15" xfId="4" applyNumberFormat="1" applyFont="1" applyFill="1" applyBorder="1" applyAlignment="1" applyProtection="1">
      <alignment horizontal="right" vertical="center"/>
    </xf>
    <xf numFmtId="0" fontId="9" fillId="0" borderId="15" xfId="4" applyNumberFormat="1" applyFont="1" applyFill="1" applyBorder="1" applyAlignment="1">
      <alignment horizontal="left" vertical="top" wrapText="1" indent="1"/>
    </xf>
    <xf numFmtId="0" fontId="8" fillId="0" borderId="16" xfId="4" applyNumberFormat="1" applyFont="1" applyFill="1" applyBorder="1" applyAlignment="1">
      <alignment horizontal="left" vertical="top" wrapText="1" indent="1"/>
    </xf>
    <xf numFmtId="165" fontId="8" fillId="0" borderId="15" xfId="1" applyNumberFormat="1" applyFont="1" applyFill="1" applyBorder="1" applyAlignment="1">
      <alignment horizontal="center" vertical="center"/>
    </xf>
    <xf numFmtId="167" fontId="8" fillId="0" borderId="6" xfId="4" applyNumberFormat="1" applyFont="1" applyFill="1" applyBorder="1" applyAlignment="1" applyProtection="1">
      <alignment horizontal="right" vertical="center"/>
    </xf>
    <xf numFmtId="0" fontId="9" fillId="0" borderId="6" xfId="4" applyNumberFormat="1" applyFont="1" applyFill="1" applyBorder="1" applyAlignment="1">
      <alignment horizontal="left" vertical="top" wrapText="1" indent="1"/>
    </xf>
    <xf numFmtId="0" fontId="8" fillId="0" borderId="14" xfId="4" applyNumberFormat="1" applyFont="1" applyFill="1" applyBorder="1" applyAlignment="1">
      <alignment horizontal="left" vertical="top" wrapText="1" indent="1"/>
    </xf>
    <xf numFmtId="167" fontId="8" fillId="3" borderId="6" xfId="4" applyNumberFormat="1" applyFont="1" applyFill="1" applyBorder="1" applyAlignment="1" applyProtection="1">
      <alignment horizontal="right" vertical="center"/>
    </xf>
    <xf numFmtId="167" fontId="8" fillId="8" borderId="8" xfId="5" applyNumberFormat="1" applyFont="1" applyFill="1" applyBorder="1" applyAlignment="1" applyProtection="1">
      <alignment horizontal="center" vertical="center"/>
    </xf>
    <xf numFmtId="167" fontId="8" fillId="2" borderId="2" xfId="5" applyNumberFormat="1" applyFont="1" applyFill="1" applyBorder="1" applyAlignment="1" applyProtection="1">
      <alignment horizontal="center" vertical="center"/>
    </xf>
    <xf numFmtId="167" fontId="8" fillId="0" borderId="15" xfId="1" applyNumberFormat="1" applyFont="1" applyFill="1" applyBorder="1" applyAlignment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top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8" fillId="4" borderId="2" xfId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6" fillId="4" borderId="0" xfId="0" applyFont="1" applyFill="1"/>
    <xf numFmtId="167" fontId="9" fillId="4" borderId="2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13" fillId="3" borderId="2" xfId="3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2" applyNumberFormat="1" applyFont="1" applyFill="1" applyBorder="1" applyAlignment="1" applyProtection="1">
      <alignment horizontal="center" vertical="center"/>
    </xf>
    <xf numFmtId="167" fontId="9" fillId="4" borderId="2" xfId="4" applyNumberFormat="1" applyFont="1" applyFill="1" applyBorder="1" applyAlignment="1" applyProtection="1">
      <alignment horizontal="center" vertical="center"/>
    </xf>
    <xf numFmtId="167" fontId="8" fillId="4" borderId="2" xfId="5" applyNumberFormat="1" applyFont="1" applyFill="1" applyBorder="1" applyAlignment="1" applyProtection="1">
      <alignment horizontal="center" vertical="center"/>
    </xf>
    <xf numFmtId="167" fontId="9" fillId="4" borderId="2" xfId="3" applyNumberFormat="1" applyFont="1" applyFill="1" applyBorder="1" applyAlignment="1" applyProtection="1">
      <alignment horizontal="center" vertical="center" wrapText="1"/>
    </xf>
    <xf numFmtId="167" fontId="8" fillId="10" borderId="2" xfId="4" applyNumberFormat="1" applyFont="1" applyFill="1" applyBorder="1" applyAlignment="1">
      <alignment horizontal="right" vertical="center" wrapText="1"/>
    </xf>
    <xf numFmtId="167" fontId="8" fillId="10" borderId="15" xfId="4" applyNumberFormat="1" applyFont="1" applyFill="1" applyBorder="1" applyAlignment="1">
      <alignment horizontal="right" vertical="center" wrapText="1"/>
    </xf>
    <xf numFmtId="167" fontId="8" fillId="10" borderId="2" xfId="1" applyNumberFormat="1" applyFont="1" applyFill="1" applyBorder="1" applyAlignment="1">
      <alignment horizontal="right" vertical="center"/>
    </xf>
    <xf numFmtId="167" fontId="8" fillId="10" borderId="2" xfId="4" applyNumberFormat="1" applyFont="1" applyFill="1" applyBorder="1" applyAlignment="1" applyProtection="1">
      <alignment horizontal="right" vertical="center"/>
    </xf>
    <xf numFmtId="167" fontId="8" fillId="10" borderId="15" xfId="4" applyNumberFormat="1" applyFont="1" applyFill="1" applyBorder="1" applyAlignment="1" applyProtection="1">
      <alignment horizontal="right" vertical="center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13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3" fillId="4" borderId="0" xfId="3" applyNumberFormat="1" applyFont="1" applyFill="1" applyBorder="1" applyAlignment="1" applyProtection="1">
      <alignment horizontal="center" vertical="top" wrapText="1"/>
    </xf>
    <xf numFmtId="167" fontId="10" fillId="3" borderId="0" xfId="0" applyNumberFormat="1" applyFont="1" applyFill="1"/>
    <xf numFmtId="165" fontId="9" fillId="0" borderId="0" xfId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 applyProtection="1">
      <alignment horizontal="center" vertical="top"/>
    </xf>
    <xf numFmtId="165" fontId="9" fillId="3" borderId="5" xfId="1" applyNumberFormat="1" applyFont="1" applyFill="1" applyBorder="1" applyAlignment="1">
      <alignment horizontal="center" vertical="center" wrapText="1"/>
    </xf>
    <xf numFmtId="165" fontId="8" fillId="3" borderId="6" xfId="4" applyNumberFormat="1" applyFont="1" applyFill="1" applyBorder="1" applyAlignment="1" applyProtection="1">
      <alignment horizontal="center" vertical="center" wrapText="1"/>
    </xf>
    <xf numFmtId="165" fontId="8" fillId="3" borderId="0" xfId="4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>
      <alignment horizontal="center"/>
    </xf>
    <xf numFmtId="166" fontId="6" fillId="3" borderId="0" xfId="0" applyNumberFormat="1" applyFont="1" applyFill="1"/>
    <xf numFmtId="165" fontId="9" fillId="3" borderId="0" xfId="1" applyNumberFormat="1" applyFont="1" applyFill="1" applyBorder="1" applyAlignment="1">
      <alignment horizontal="center" vertical="center" wrapText="1"/>
    </xf>
    <xf numFmtId="165" fontId="9" fillId="3" borderId="5" xfId="5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7" fontId="12" fillId="10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0" fontId="13" fillId="3" borderId="2" xfId="3" applyNumberFormat="1" applyFont="1" applyFill="1" applyBorder="1" applyAlignment="1" applyProtection="1">
      <alignment horizontal="center" vertical="center" wrapText="1"/>
    </xf>
    <xf numFmtId="0" fontId="13" fillId="3" borderId="2" xfId="2" applyNumberFormat="1" applyFont="1" applyFill="1" applyBorder="1" applyAlignment="1" applyProtection="1">
      <alignment horizontal="center" vertical="center" wrapText="1"/>
    </xf>
    <xf numFmtId="0" fontId="19" fillId="3" borderId="2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0" fontId="13" fillId="3" borderId="6" xfId="2" applyNumberFormat="1" applyFont="1" applyFill="1" applyBorder="1" applyAlignment="1" applyProtection="1">
      <alignment horizontal="center" vertical="center" wrapText="1"/>
    </xf>
    <xf numFmtId="167" fontId="13" fillId="3" borderId="6" xfId="3" applyNumberFormat="1" applyFont="1" applyFill="1" applyBorder="1" applyAlignment="1" applyProtection="1">
      <alignment horizontal="center" vertical="center" wrapText="1"/>
    </xf>
    <xf numFmtId="167" fontId="13" fillId="10" borderId="6" xfId="3" applyNumberFormat="1" applyFont="1" applyFill="1" applyBorder="1" applyAlignment="1" applyProtection="1">
      <alignment horizontal="center" vertical="center" wrapText="1"/>
    </xf>
    <xf numFmtId="167" fontId="8" fillId="10" borderId="6" xfId="4" applyNumberFormat="1" applyFont="1" applyFill="1" applyBorder="1" applyAlignment="1">
      <alignment horizontal="right" vertical="center" wrapText="1"/>
    </xf>
    <xf numFmtId="167" fontId="8" fillId="10" borderId="8" xfId="5" applyNumberFormat="1" applyFont="1" applyFill="1" applyBorder="1" applyAlignment="1" applyProtection="1">
      <alignment horizontal="center" vertical="center"/>
    </xf>
    <xf numFmtId="167" fontId="8" fillId="10" borderId="2" xfId="5" applyNumberFormat="1" applyFont="1" applyFill="1" applyBorder="1" applyAlignment="1" applyProtection="1">
      <alignment horizontal="center" vertical="center"/>
    </xf>
    <xf numFmtId="167" fontId="8" fillId="10" borderId="15" xfId="5" applyNumberFormat="1" applyFont="1" applyFill="1" applyBorder="1" applyAlignment="1" applyProtection="1">
      <alignment horizontal="center" vertical="center"/>
    </xf>
    <xf numFmtId="0" fontId="16" fillId="10" borderId="0" xfId="5" applyNumberFormat="1" applyFont="1" applyFill="1" applyBorder="1" applyAlignment="1" applyProtection="1">
      <alignment vertical="top"/>
    </xf>
    <xf numFmtId="0" fontId="9" fillId="10" borderId="1" xfId="5" applyNumberFormat="1" applyFont="1" applyFill="1" applyBorder="1" applyAlignment="1" applyProtection="1">
      <alignment vertical="top"/>
    </xf>
    <xf numFmtId="0" fontId="9" fillId="10" borderId="0" xfId="5" applyNumberFormat="1" applyFont="1" applyFill="1" applyBorder="1" applyAlignment="1" applyProtection="1">
      <alignment horizontal="center" vertical="top"/>
    </xf>
    <xf numFmtId="0" fontId="9" fillId="10" borderId="0" xfId="5" applyNumberFormat="1" applyFont="1" applyFill="1" applyBorder="1" applyAlignment="1" applyProtection="1">
      <alignment horizontal="center" vertical="top" wrapText="1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13" fillId="4" borderId="2" xfId="2" applyNumberFormat="1" applyFont="1" applyFill="1" applyBorder="1" applyAlignment="1" applyProtection="1">
      <alignment horizontal="center" vertical="center" wrapText="1"/>
    </xf>
    <xf numFmtId="167" fontId="13" fillId="4" borderId="2" xfId="5" applyNumberFormat="1" applyFont="1" applyFill="1" applyBorder="1" applyAlignment="1" applyProtection="1">
      <alignment horizontal="center" vertical="center"/>
    </xf>
    <xf numFmtId="167" fontId="19" fillId="4" borderId="2" xfId="3" applyNumberFormat="1" applyFont="1" applyFill="1" applyBorder="1" applyAlignment="1" applyProtection="1">
      <alignment horizontal="center" vertical="center" wrapText="1"/>
    </xf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10" borderId="0" xfId="5" applyNumberFormat="1" applyFont="1" applyFill="1" applyBorder="1" applyAlignment="1" applyProtection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167" fontId="10" fillId="10" borderId="0" xfId="0" applyNumberFormat="1" applyFont="1" applyFill="1"/>
    <xf numFmtId="167" fontId="10" fillId="0" borderId="0" xfId="0" applyNumberFormat="1" applyFont="1" applyFill="1"/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167" fontId="22" fillId="3" borderId="2" xfId="7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right" vertical="top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167" fontId="9" fillId="4" borderId="2" xfId="5" applyNumberFormat="1" applyFont="1" applyFill="1" applyBorder="1" applyAlignment="1" applyProtection="1">
      <alignment horizontal="center" vertical="center"/>
    </xf>
    <xf numFmtId="167" fontId="22" fillId="3" borderId="2" xfId="4" applyNumberFormat="1" applyFont="1" applyFill="1" applyBorder="1" applyAlignment="1" applyProtection="1">
      <alignment horizontal="center" vertical="center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9" fillId="3" borderId="12" xfId="0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9" fontId="8" fillId="3" borderId="7" xfId="7" applyNumberFormat="1" applyFont="1" applyFill="1" applyBorder="1" applyAlignment="1" applyProtection="1">
      <alignment horizontal="center" vertical="center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0" fontId="8" fillId="3" borderId="6" xfId="3" applyNumberFormat="1" applyFont="1" applyFill="1" applyBorder="1" applyAlignment="1" applyProtection="1">
      <alignment horizontal="left" vertical="top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49" fontId="13" fillId="3" borderId="13" xfId="3" applyNumberFormat="1" applyFont="1" applyFill="1" applyBorder="1" applyAlignment="1" applyProtection="1">
      <alignment horizontal="center" vertical="top" wrapText="1"/>
    </xf>
    <xf numFmtId="0" fontId="13" fillId="3" borderId="6" xfId="3" applyNumberFormat="1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>
      <alignment horizontal="center" vertical="center" wrapText="1"/>
    </xf>
    <xf numFmtId="0" fontId="19" fillId="3" borderId="14" xfId="3" applyFont="1" applyFill="1" applyBorder="1" applyAlignment="1">
      <alignment horizontal="center" vertical="center" wrapText="1"/>
    </xf>
    <xf numFmtId="167" fontId="22" fillId="3" borderId="2" xfId="2" applyNumberFormat="1" applyFont="1" applyFill="1" applyBorder="1" applyAlignment="1" applyProtection="1">
      <alignment horizontal="center" vertical="center"/>
    </xf>
    <xf numFmtId="167" fontId="23" fillId="3" borderId="2" xfId="3" applyNumberFormat="1" applyFont="1" applyFill="1" applyBorder="1" applyAlignment="1" applyProtection="1">
      <alignment horizontal="center" vertical="center" wrapText="1"/>
    </xf>
    <xf numFmtId="49" fontId="23" fillId="0" borderId="2" xfId="2" applyNumberFormat="1" applyFont="1" applyFill="1" applyBorder="1" applyAlignment="1" applyProtection="1">
      <alignment horizontal="center" vertical="center" wrapText="1"/>
    </xf>
    <xf numFmtId="167" fontId="24" fillId="0" borderId="2" xfId="3" applyNumberFormat="1" applyFont="1" applyFill="1" applyBorder="1" applyAlignment="1" applyProtection="1">
      <alignment horizontal="center" vertical="center" wrapText="1"/>
    </xf>
    <xf numFmtId="167" fontId="23" fillId="10" borderId="2" xfId="3" applyNumberFormat="1" applyFont="1" applyFill="1" applyBorder="1" applyAlignment="1" applyProtection="1">
      <alignment horizontal="center" vertical="center" wrapText="1"/>
    </xf>
    <xf numFmtId="167" fontId="23" fillId="0" borderId="2" xfId="3" applyNumberFormat="1" applyFont="1" applyFill="1" applyBorder="1" applyAlignment="1" applyProtection="1">
      <alignment horizontal="center" vertical="center" wrapText="1"/>
    </xf>
    <xf numFmtId="49" fontId="22" fillId="3" borderId="2" xfId="4" applyNumberFormat="1" applyFont="1" applyFill="1" applyBorder="1" applyAlignment="1" applyProtection="1">
      <alignment horizontal="center" vertical="center" wrapText="1"/>
    </xf>
    <xf numFmtId="167" fontId="22" fillId="10" borderId="2" xfId="4" applyNumberFormat="1" applyFont="1" applyFill="1" applyBorder="1" applyAlignment="1" applyProtection="1">
      <alignment horizontal="center" vertical="center"/>
    </xf>
    <xf numFmtId="167" fontId="22" fillId="3" borderId="2" xfId="1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49" fontId="8" fillId="3" borderId="11" xfId="1" applyNumberFormat="1" applyFont="1" applyFill="1" applyBorder="1" applyAlignment="1" applyProtection="1">
      <alignment horizontal="center" vertical="top" wrapText="1"/>
    </xf>
    <xf numFmtId="0" fontId="9" fillId="4" borderId="12" xfId="7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 applyProtection="1">
      <alignment horizontal="center" vertical="top" wrapText="1"/>
    </xf>
    <xf numFmtId="49" fontId="8" fillId="3" borderId="18" xfId="1" applyNumberFormat="1" applyFont="1" applyFill="1" applyBorder="1" applyAlignment="1" applyProtection="1">
      <alignment horizontal="center" vertical="top" wrapText="1"/>
    </xf>
    <xf numFmtId="49" fontId="8" fillId="3" borderId="20" xfId="1" applyNumberFormat="1" applyFont="1" applyFill="1" applyBorder="1" applyAlignment="1" applyProtection="1">
      <alignment horizontal="center" vertical="top" wrapText="1"/>
    </xf>
    <xf numFmtId="0" fontId="8" fillId="3" borderId="6" xfId="1" applyNumberFormat="1" applyFont="1" applyFill="1" applyBorder="1" applyAlignment="1" applyProtection="1">
      <alignment horizontal="left" vertical="top" wrapText="1"/>
    </xf>
    <xf numFmtId="0" fontId="8" fillId="3" borderId="19" xfId="1" applyNumberFormat="1" applyFont="1" applyFill="1" applyBorder="1" applyAlignment="1" applyProtection="1">
      <alignment horizontal="left" vertical="top" wrapText="1"/>
    </xf>
    <xf numFmtId="0" fontId="8" fillId="3" borderId="7" xfId="1" applyNumberFormat="1" applyFont="1" applyFill="1" applyBorder="1" applyAlignment="1" applyProtection="1">
      <alignment horizontal="left" vertical="top" wrapText="1"/>
    </xf>
    <xf numFmtId="2" fontId="8" fillId="3" borderId="6" xfId="1" applyNumberFormat="1" applyFont="1" applyFill="1" applyBorder="1" applyAlignment="1" applyProtection="1">
      <alignment horizontal="center" vertical="center" wrapText="1"/>
    </xf>
    <xf numFmtId="2" fontId="8" fillId="3" borderId="19" xfId="1" applyNumberFormat="1" applyFont="1" applyFill="1" applyBorder="1" applyAlignment="1" applyProtection="1">
      <alignment horizontal="center" vertical="center" wrapText="1"/>
    </xf>
    <xf numFmtId="2" fontId="8" fillId="3" borderId="7" xfId="1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9" fontId="9" fillId="4" borderId="2" xfId="1" applyNumberFormat="1" applyFont="1" applyFill="1" applyBorder="1" applyAlignment="1">
      <alignment horizontal="center" vertical="center" wrapText="1"/>
    </xf>
    <xf numFmtId="0" fontId="8" fillId="5" borderId="11" xfId="7" applyNumberFormat="1" applyFont="1" applyFill="1" applyBorder="1" applyAlignment="1" applyProtection="1">
      <alignment horizontal="right" vertical="center" wrapText="1"/>
    </xf>
    <xf numFmtId="0" fontId="8" fillId="5" borderId="2" xfId="7" applyNumberFormat="1" applyFont="1" applyFill="1" applyBorder="1" applyAlignment="1" applyProtection="1">
      <alignment horizontal="right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5" fillId="3" borderId="0" xfId="7" applyNumberFormat="1" applyFont="1" applyFill="1" applyBorder="1" applyAlignment="1" applyProtection="1">
      <alignment horizontal="center" vertical="top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49" fontId="25" fillId="3" borderId="2" xfId="1" applyNumberFormat="1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49" fontId="8" fillId="4" borderId="11" xfId="7" applyNumberFormat="1" applyFont="1" applyFill="1" applyBorder="1" applyAlignment="1" applyProtection="1">
      <alignment horizontal="center" vertical="top"/>
    </xf>
    <xf numFmtId="0" fontId="8" fillId="10" borderId="8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8" fillId="3" borderId="12" xfId="7" applyNumberFormat="1" applyFont="1" applyFill="1" applyBorder="1" applyAlignment="1" applyProtection="1">
      <alignment horizontal="center" vertical="center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3" borderId="6" xfId="1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horizontal="left" vertical="top" wrapText="1"/>
    </xf>
    <xf numFmtId="49" fontId="8" fillId="3" borderId="13" xfId="7" applyNumberFormat="1" applyFont="1" applyFill="1" applyBorder="1" applyAlignment="1" applyProtection="1">
      <alignment horizontal="center" vertical="top" wrapText="1"/>
    </xf>
    <xf numFmtId="49" fontId="8" fillId="3" borderId="20" xfId="7" applyNumberFormat="1" applyFont="1" applyFill="1" applyBorder="1" applyAlignment="1" applyProtection="1">
      <alignment horizontal="center" vertical="top" wrapText="1"/>
    </xf>
    <xf numFmtId="49" fontId="8" fillId="3" borderId="6" xfId="7" applyNumberFormat="1" applyFont="1" applyFill="1" applyBorder="1" applyAlignment="1" applyProtection="1">
      <alignment horizontal="center" vertical="center" wrapText="1"/>
    </xf>
    <xf numFmtId="49" fontId="8" fillId="3" borderId="7" xfId="7" applyNumberFormat="1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 shrinkToFit="1"/>
    </xf>
    <xf numFmtId="0" fontId="9" fillId="3" borderId="7" xfId="1" applyFont="1" applyFill="1" applyBorder="1" applyAlignment="1">
      <alignment horizontal="center" vertical="center" wrapText="1" shrinkToFit="1"/>
    </xf>
    <xf numFmtId="0" fontId="9" fillId="3" borderId="14" xfId="7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49" fontId="8" fillId="3" borderId="13" xfId="5" applyNumberFormat="1" applyFont="1" applyFill="1" applyBorder="1" applyAlignment="1" applyProtection="1">
      <alignment horizontal="center" vertical="top"/>
    </xf>
    <xf numFmtId="49" fontId="8" fillId="3" borderId="20" xfId="5" applyNumberFormat="1" applyFont="1" applyFill="1" applyBorder="1" applyAlignment="1" applyProtection="1">
      <alignment horizontal="center" vertical="top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8" fillId="3" borderId="7" xfId="3" applyNumberFormat="1" applyFont="1" applyFill="1" applyBorder="1" applyAlignment="1" applyProtection="1">
      <alignment horizontal="left" vertical="top" wrapText="1"/>
    </xf>
    <xf numFmtId="49" fontId="8" fillId="3" borderId="6" xfId="5" applyNumberFormat="1" applyFont="1" applyFill="1" applyBorder="1" applyAlignment="1" applyProtection="1">
      <alignment horizontal="center" vertical="center" wrapText="1"/>
    </xf>
    <xf numFmtId="49" fontId="8" fillId="3" borderId="7" xfId="5" applyNumberFormat="1" applyFont="1" applyFill="1" applyBorder="1" applyAlignment="1" applyProtection="1">
      <alignment horizontal="center" vertical="center" wrapText="1"/>
    </xf>
    <xf numFmtId="49" fontId="9" fillId="3" borderId="6" xfId="4" applyNumberFormat="1" applyFont="1" applyFill="1" applyBorder="1" applyAlignment="1" applyProtection="1">
      <alignment horizontal="center" vertical="center" wrapText="1"/>
    </xf>
    <xf numFmtId="49" fontId="9" fillId="3" borderId="7" xfId="4" applyNumberFormat="1" applyFont="1" applyFill="1" applyBorder="1" applyAlignment="1" applyProtection="1">
      <alignment horizontal="center" vertical="center" wrapText="1"/>
    </xf>
    <xf numFmtId="49" fontId="9" fillId="3" borderId="19" xfId="4" applyNumberFormat="1" applyFont="1" applyFill="1" applyBorder="1" applyAlignment="1" applyProtection="1">
      <alignment horizontal="center" vertical="center" wrapText="1"/>
    </xf>
    <xf numFmtId="164" fontId="9" fillId="3" borderId="22" xfId="4" applyNumberFormat="1" applyFont="1" applyFill="1" applyBorder="1" applyAlignment="1" applyProtection="1">
      <alignment horizontal="center" vertical="center" wrapText="1"/>
    </xf>
    <xf numFmtId="164" fontId="9" fillId="3" borderId="21" xfId="4" applyNumberFormat="1" applyFont="1" applyFill="1" applyBorder="1" applyAlignment="1" applyProtection="1">
      <alignment horizontal="center" vertical="center" wrapText="1"/>
    </xf>
    <xf numFmtId="49" fontId="8" fillId="3" borderId="13" xfId="4" applyNumberFormat="1" applyFont="1" applyFill="1" applyBorder="1" applyAlignment="1" applyProtection="1">
      <alignment horizontal="center" vertical="top"/>
    </xf>
    <xf numFmtId="49" fontId="8" fillId="3" borderId="18" xfId="4" applyNumberFormat="1" applyFont="1" applyFill="1" applyBorder="1" applyAlignment="1" applyProtection="1">
      <alignment horizontal="center" vertical="top"/>
    </xf>
    <xf numFmtId="49" fontId="8" fillId="3" borderId="20" xfId="4" applyNumberFormat="1" applyFont="1" applyFill="1" applyBorder="1" applyAlignment="1" applyProtection="1">
      <alignment horizontal="center" vertical="top"/>
    </xf>
    <xf numFmtId="0" fontId="8" fillId="3" borderId="6" xfId="4" applyNumberFormat="1" applyFont="1" applyFill="1" applyBorder="1" applyAlignment="1" applyProtection="1">
      <alignment horizontal="left" vertical="top" wrapText="1"/>
    </xf>
    <xf numFmtId="0" fontId="8" fillId="3" borderId="19" xfId="4" applyNumberFormat="1" applyFont="1" applyFill="1" applyBorder="1" applyAlignment="1" applyProtection="1">
      <alignment horizontal="left" vertical="top" wrapText="1"/>
    </xf>
    <xf numFmtId="0" fontId="8" fillId="3" borderId="7" xfId="4" applyNumberFormat="1" applyFont="1" applyFill="1" applyBorder="1" applyAlignment="1" applyProtection="1">
      <alignment horizontal="left" vertical="top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8" fillId="3" borderId="19" xfId="4" applyNumberFormat="1" applyFont="1" applyFill="1" applyBorder="1" applyAlignment="1" applyProtection="1">
      <alignment horizontal="center" vertical="center" wrapText="1"/>
    </xf>
    <xf numFmtId="49" fontId="8" fillId="3" borderId="7" xfId="4" applyNumberFormat="1" applyFont="1" applyFill="1" applyBorder="1" applyAlignment="1" applyProtection="1">
      <alignment horizontal="center" vertical="center" wrapText="1"/>
    </xf>
    <xf numFmtId="164" fontId="9" fillId="3" borderId="14" xfId="4" applyNumberFormat="1" applyFont="1" applyFill="1" applyBorder="1" applyAlignment="1" applyProtection="1">
      <alignment horizontal="center" vertical="center" wrapText="1"/>
    </xf>
    <xf numFmtId="0" fontId="9" fillId="3" borderId="22" xfId="7" applyNumberFormat="1" applyFont="1" applyFill="1" applyBorder="1" applyAlignment="1" applyProtection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 shrinkToFi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center" vertical="center"/>
    </xf>
    <xf numFmtId="49" fontId="8" fillId="4" borderId="2" xfId="4" applyNumberFormat="1" applyFont="1" applyFill="1" applyBorder="1" applyAlignment="1" applyProtection="1">
      <alignment horizontal="center" vertical="top"/>
      <protection locked="0"/>
    </xf>
    <xf numFmtId="0" fontId="8" fillId="4" borderId="12" xfId="4" applyNumberFormat="1" applyFont="1" applyFill="1" applyBorder="1" applyAlignment="1" applyProtection="1">
      <alignment horizontal="center" vertical="top"/>
    </xf>
    <xf numFmtId="49" fontId="8" fillId="4" borderId="11" xfId="4" applyNumberFormat="1" applyFont="1" applyFill="1" applyBorder="1" applyAlignment="1" applyProtection="1">
      <alignment horizontal="center" vertical="top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164" fontId="8" fillId="3" borderId="8" xfId="4" applyNumberFormat="1" applyFont="1" applyFill="1" applyBorder="1" applyAlignment="1" applyProtection="1">
      <alignment horizontal="center" vertical="center" wrapText="1"/>
    </xf>
    <xf numFmtId="164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center"/>
    </xf>
    <xf numFmtId="0" fontId="8" fillId="3" borderId="8" xfId="11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0" fontId="8" fillId="3" borderId="9" xfId="11" applyNumberFormat="1" applyFont="1" applyFill="1" applyBorder="1" applyAlignment="1" applyProtection="1">
      <alignment horizontal="center" vertical="center" wrapText="1"/>
    </xf>
    <xf numFmtId="0" fontId="8" fillId="3" borderId="11" xfId="11" applyNumberFormat="1" applyFont="1" applyFill="1" applyBorder="1" applyAlignment="1" applyProtection="1">
      <alignment horizontal="center" vertical="center" wrapText="1"/>
    </xf>
    <xf numFmtId="0" fontId="8" fillId="10" borderId="8" xfId="11" applyNumberFormat="1" applyFont="1" applyFill="1" applyBorder="1" applyAlignment="1" applyProtection="1">
      <alignment horizontal="center" vertical="center" wrapText="1"/>
    </xf>
    <xf numFmtId="0" fontId="8" fillId="10" borderId="2" xfId="11" applyNumberFormat="1" applyFont="1" applyFill="1" applyBorder="1" applyAlignment="1" applyProtection="1">
      <alignment horizontal="center" vertical="center" wrapText="1"/>
    </xf>
    <xf numFmtId="164" fontId="8" fillId="3" borderId="10" xfId="4" applyNumberFormat="1" applyFont="1" applyFill="1" applyBorder="1" applyAlignment="1" applyProtection="1">
      <alignment horizontal="center" vertical="center" wrapText="1"/>
    </xf>
    <xf numFmtId="164" fontId="8" fillId="3" borderId="12" xfId="4" applyNumberFormat="1" applyFont="1" applyFill="1" applyBorder="1" applyAlignment="1" applyProtection="1">
      <alignment horizontal="center" vertical="center" wrapText="1"/>
    </xf>
    <xf numFmtId="0" fontId="8" fillId="3" borderId="8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center" vertical="center" wrapText="1"/>
    </xf>
    <xf numFmtId="49" fontId="25" fillId="3" borderId="6" xfId="4" applyNumberFormat="1" applyFont="1" applyFill="1" applyBorder="1" applyAlignment="1" applyProtection="1">
      <alignment horizontal="center" vertical="center" wrapText="1"/>
    </xf>
    <xf numFmtId="49" fontId="25" fillId="3" borderId="7" xfId="4" applyNumberFormat="1" applyFont="1" applyFill="1" applyBorder="1" applyAlignment="1" applyProtection="1">
      <alignment horizontal="center" vertical="center" wrapText="1"/>
    </xf>
    <xf numFmtId="0" fontId="8" fillId="3" borderId="19" xfId="1" applyFont="1" applyFill="1" applyBorder="1" applyAlignment="1">
      <alignment horizontal="left" vertical="top" wrapText="1"/>
    </xf>
    <xf numFmtId="49" fontId="8" fillId="3" borderId="19" xfId="7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0" fontId="8" fillId="0" borderId="11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0" fontId="8" fillId="5" borderId="11" xfId="4" applyNumberFormat="1" applyFont="1" applyFill="1" applyBorder="1" applyAlignment="1">
      <alignment horizontal="right" vertical="center" wrapText="1"/>
    </xf>
    <xf numFmtId="0" fontId="14" fillId="5" borderId="2" xfId="10" applyFont="1" applyFill="1" applyBorder="1" applyAlignment="1">
      <alignment horizontal="right" vertical="center" wrapText="1"/>
    </xf>
    <xf numFmtId="0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19" xfId="3" applyNumberFormat="1" applyFont="1" applyFill="1" applyBorder="1" applyAlignment="1" applyProtection="1">
      <alignment horizontal="center" vertical="center" wrapText="1"/>
    </xf>
    <xf numFmtId="49" fontId="8" fillId="3" borderId="18" xfId="7" applyNumberFormat="1" applyFont="1" applyFill="1" applyBorder="1" applyAlignment="1" applyProtection="1">
      <alignment horizontal="center" vertical="top" wrapText="1"/>
    </xf>
    <xf numFmtId="49" fontId="9" fillId="4" borderId="13" xfId="5" applyNumberFormat="1" applyFont="1" applyFill="1" applyBorder="1" applyAlignment="1" applyProtection="1">
      <alignment horizontal="center" vertical="top"/>
    </xf>
    <xf numFmtId="49" fontId="9" fillId="4" borderId="18" xfId="5" applyNumberFormat="1" applyFont="1" applyFill="1" applyBorder="1" applyAlignment="1" applyProtection="1">
      <alignment horizontal="center" vertical="top"/>
    </xf>
    <xf numFmtId="0" fontId="13" fillId="4" borderId="6" xfId="3" applyNumberFormat="1" applyFont="1" applyFill="1" applyBorder="1" applyAlignment="1" applyProtection="1">
      <alignment horizontal="center" vertical="center" wrapText="1"/>
    </xf>
    <xf numFmtId="0" fontId="13" fillId="4" borderId="19" xfId="3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13" xfId="4" applyNumberFormat="1" applyFont="1" applyFill="1" applyBorder="1" applyAlignment="1" applyProtection="1">
      <alignment horizontal="center" vertical="top" wrapText="1"/>
    </xf>
    <xf numFmtId="49" fontId="8" fillId="3" borderId="18" xfId="4" applyNumberFormat="1" applyFont="1" applyFill="1" applyBorder="1" applyAlignment="1" applyProtection="1">
      <alignment horizontal="center" vertical="top" wrapText="1"/>
    </xf>
    <xf numFmtId="49" fontId="8" fillId="3" borderId="20" xfId="4" applyNumberFormat="1" applyFont="1" applyFill="1" applyBorder="1" applyAlignment="1" applyProtection="1">
      <alignment horizontal="center" vertical="top" wrapText="1"/>
    </xf>
    <xf numFmtId="49" fontId="8" fillId="3" borderId="6" xfId="4" applyNumberFormat="1" applyFont="1" applyFill="1" applyBorder="1" applyAlignment="1" applyProtection="1">
      <alignment horizontal="left" vertical="top" wrapText="1"/>
    </xf>
    <xf numFmtId="49" fontId="8" fillId="3" borderId="19" xfId="4" applyNumberFormat="1" applyFont="1" applyFill="1" applyBorder="1" applyAlignment="1" applyProtection="1">
      <alignment horizontal="left" vertical="top" wrapText="1"/>
    </xf>
    <xf numFmtId="49" fontId="8" fillId="3" borderId="7" xfId="4" applyNumberFormat="1" applyFont="1" applyFill="1" applyBorder="1" applyAlignment="1" applyProtection="1">
      <alignment horizontal="left" vertical="top" wrapText="1"/>
    </xf>
    <xf numFmtId="0" fontId="9" fillId="3" borderId="14" xfId="10" applyFont="1" applyFill="1" applyBorder="1" applyAlignment="1">
      <alignment horizontal="center" vertical="center" wrapText="1"/>
    </xf>
    <xf numFmtId="0" fontId="9" fillId="3" borderId="22" xfId="10" applyFont="1" applyFill="1" applyBorder="1" applyAlignment="1">
      <alignment horizontal="center" vertical="center" wrapText="1"/>
    </xf>
    <xf numFmtId="0" fontId="9" fillId="3" borderId="21" xfId="10" applyFont="1" applyFill="1" applyBorder="1" applyAlignment="1">
      <alignment horizontal="center" vertical="center" wrapText="1"/>
    </xf>
    <xf numFmtId="49" fontId="9" fillId="3" borderId="6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4" applyNumberFormat="1" applyFont="1" applyFill="1" applyBorder="1" applyAlignment="1" applyProtection="1">
      <alignment horizontal="center" vertical="center" wrapText="1"/>
    </xf>
    <xf numFmtId="0" fontId="9" fillId="3" borderId="22" xfId="4" applyNumberFormat="1" applyFont="1" applyFill="1" applyBorder="1" applyAlignment="1" applyProtection="1">
      <alignment horizontal="center" vertical="center" wrapText="1"/>
    </xf>
    <xf numFmtId="0" fontId="9" fillId="3" borderId="21" xfId="4" applyNumberFormat="1" applyFont="1" applyFill="1" applyBorder="1" applyAlignment="1" applyProtection="1">
      <alignment horizontal="center" vertical="center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49" fontId="8" fillId="0" borderId="11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10" borderId="8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0" fontId="8" fillId="5" borderId="11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0" fontId="8" fillId="0" borderId="17" xfId="4" applyNumberFormat="1" applyFont="1" applyFill="1" applyBorder="1" applyAlignment="1" applyProtection="1">
      <alignment horizontal="right" vertical="center"/>
    </xf>
    <xf numFmtId="0" fontId="8" fillId="0" borderId="15" xfId="4" applyNumberFormat="1" applyFont="1" applyFill="1" applyBorder="1" applyAlignment="1" applyProtection="1">
      <alignment horizontal="right" vertical="center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49" fontId="8" fillId="4" borderId="11" xfId="5" applyNumberFormat="1" applyFont="1" applyFill="1" applyBorder="1" applyAlignment="1" applyProtection="1">
      <alignment horizontal="center" vertical="top"/>
    </xf>
    <xf numFmtId="0" fontId="13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8" fillId="10" borderId="8" xfId="1" applyNumberFormat="1" applyFont="1" applyFill="1" applyBorder="1" applyAlignment="1" applyProtection="1">
      <alignment horizontal="center" vertical="center" wrapText="1"/>
    </xf>
    <xf numFmtId="0" fontId="8" fillId="10" borderId="2" xfId="1" applyNumberFormat="1" applyFont="1" applyFill="1" applyBorder="1" applyAlignment="1" applyProtection="1">
      <alignment horizontal="center" vertical="center" wrapText="1"/>
    </xf>
    <xf numFmtId="0" fontId="8" fillId="8" borderId="9" xfId="5" applyNumberFormat="1" applyFont="1" applyFill="1" applyBorder="1" applyAlignment="1" applyProtection="1">
      <alignment horizontal="right" vertical="center" wrapText="1"/>
    </xf>
    <xf numFmtId="0" fontId="8" fillId="8" borderId="8" xfId="5" applyNumberFormat="1" applyFont="1" applyFill="1" applyBorder="1" applyAlignment="1" applyProtection="1">
      <alignment horizontal="right" vertical="center" wrapText="1"/>
    </xf>
    <xf numFmtId="0" fontId="8" fillId="0" borderId="11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0" fontId="8" fillId="0" borderId="13" xfId="4" applyNumberFormat="1" applyFont="1" applyFill="1" applyBorder="1" applyAlignment="1" applyProtection="1">
      <alignment horizontal="right" vertical="center"/>
    </xf>
    <xf numFmtId="0" fontId="8" fillId="0" borderId="6" xfId="4" applyNumberFormat="1" applyFont="1" applyFill="1" applyBorder="1" applyAlignment="1" applyProtection="1">
      <alignment horizontal="right" vertical="center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49" fontId="13" fillId="3" borderId="13" xfId="3" applyNumberFormat="1" applyFont="1" applyFill="1" applyBorder="1" applyAlignment="1" applyProtection="1">
      <alignment horizontal="center" vertical="top" wrapText="1"/>
    </xf>
    <xf numFmtId="49" fontId="13" fillId="3" borderId="20" xfId="3" applyNumberFormat="1" applyFont="1" applyFill="1" applyBorder="1" applyAlignment="1" applyProtection="1">
      <alignment horizontal="center" vertical="top" wrapText="1"/>
    </xf>
    <xf numFmtId="0" fontId="13" fillId="3" borderId="6" xfId="3" applyNumberFormat="1" applyFont="1" applyFill="1" applyBorder="1" applyAlignment="1" applyProtection="1">
      <alignment horizontal="center" vertical="center" wrapText="1"/>
    </xf>
    <xf numFmtId="0" fontId="13" fillId="3" borderId="7" xfId="3" applyNumberFormat="1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14" xfId="3" applyFont="1" applyFill="1" applyBorder="1" applyAlignment="1">
      <alignment horizontal="center" vertical="center" wrapText="1"/>
    </xf>
    <xf numFmtId="0" fontId="19" fillId="3" borderId="21" xfId="3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01">
          <cell r="F401">
            <v>1000000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N93"/>
  <sheetViews>
    <sheetView view="pageBreakPreview" topLeftCell="A46" zoomScale="70" zoomScaleNormal="70" zoomScaleSheetLayoutView="70" zoomScalePageLayoutView="50" workbookViewId="0">
      <selection activeCell="M64" sqref="A1:M64"/>
    </sheetView>
  </sheetViews>
  <sheetFormatPr defaultColWidth="9.140625" defaultRowHeight="15" x14ac:dyDescent="0.25"/>
  <cols>
    <col min="1" max="1" width="9.140625" style="2"/>
    <col min="2" max="2" width="67.7109375" style="2" customWidth="1"/>
    <col min="3" max="3" width="18.28515625" style="2" customWidth="1"/>
    <col min="4" max="4" width="33.42578125" style="2" customWidth="1"/>
    <col min="5" max="5" width="21" style="2" hidden="1" customWidth="1"/>
    <col min="6" max="6" width="22.7109375" style="22" customWidth="1"/>
    <col min="7" max="7" width="21.28515625" style="2" customWidth="1"/>
    <col min="8" max="8" width="21.28515625" style="93" customWidth="1"/>
    <col min="9" max="9" width="21.28515625" style="23" customWidth="1"/>
    <col min="10" max="10" width="21.28515625" style="2" customWidth="1"/>
    <col min="11" max="11" width="20.7109375" style="2" customWidth="1"/>
    <col min="12" max="12" width="20.42578125" style="2" customWidth="1"/>
    <col min="13" max="13" width="46.42578125" style="2" customWidth="1"/>
    <col min="14" max="14" width="13" style="2" bestFit="1" customWidth="1"/>
    <col min="15" max="16384" width="9.140625" style="2"/>
  </cols>
  <sheetData>
    <row r="1" spans="1:13" ht="18.75" x14ac:dyDescent="0.25">
      <c r="A1" s="3"/>
      <c r="B1" s="215"/>
      <c r="C1" s="215"/>
      <c r="D1" s="215"/>
      <c r="E1" s="215"/>
      <c r="F1" s="215"/>
      <c r="G1" s="215"/>
      <c r="H1" s="215"/>
      <c r="I1" s="215"/>
      <c r="J1" s="215"/>
      <c r="K1" s="121"/>
      <c r="L1" s="121"/>
      <c r="M1" s="232" t="s">
        <v>292</v>
      </c>
    </row>
    <row r="2" spans="1:13" ht="18.75" x14ac:dyDescent="0.25">
      <c r="A2" s="3"/>
      <c r="B2" s="215"/>
      <c r="C2" s="215"/>
      <c r="D2" s="215"/>
      <c r="E2" s="215"/>
      <c r="F2" s="215"/>
      <c r="G2" s="215"/>
      <c r="H2" s="215"/>
      <c r="I2" s="215"/>
      <c r="J2" s="215"/>
      <c r="K2" s="121"/>
      <c r="L2" s="121"/>
      <c r="M2" s="232" t="s">
        <v>146</v>
      </c>
    </row>
    <row r="3" spans="1:13" ht="18.75" x14ac:dyDescent="0.25">
      <c r="A3" s="3"/>
      <c r="B3" s="215"/>
      <c r="C3" s="215"/>
      <c r="D3" s="215"/>
      <c r="E3" s="215"/>
      <c r="F3" s="215"/>
      <c r="G3" s="215"/>
      <c r="H3" s="215"/>
      <c r="I3" s="215"/>
      <c r="J3" s="215"/>
      <c r="K3" s="121"/>
      <c r="L3" s="121"/>
      <c r="M3" s="232" t="s">
        <v>147</v>
      </c>
    </row>
    <row r="4" spans="1:13" ht="18.75" x14ac:dyDescent="0.25">
      <c r="A4" s="3"/>
      <c r="B4" s="215"/>
      <c r="C4" s="215"/>
      <c r="D4" s="215"/>
      <c r="E4" s="215"/>
      <c r="F4" s="215"/>
      <c r="G4" s="215"/>
      <c r="H4" s="215"/>
      <c r="I4" s="215"/>
      <c r="J4" s="215"/>
      <c r="K4" s="121"/>
      <c r="L4" s="121"/>
      <c r="M4" s="232" t="s">
        <v>216</v>
      </c>
    </row>
    <row r="5" spans="1:13" ht="15.75" x14ac:dyDescent="0.25">
      <c r="A5" s="3"/>
      <c r="B5" s="215"/>
      <c r="C5" s="215"/>
      <c r="D5" s="215"/>
      <c r="E5" s="215"/>
      <c r="F5" s="215"/>
      <c r="G5" s="215"/>
      <c r="H5" s="215"/>
      <c r="I5" s="215"/>
      <c r="J5" s="215"/>
      <c r="K5" s="121"/>
      <c r="L5" s="121"/>
      <c r="M5" s="121"/>
    </row>
    <row r="6" spans="1:13" ht="18" customHeight="1" x14ac:dyDescent="0.25">
      <c r="A6" s="87"/>
      <c r="B6" s="215"/>
      <c r="C6" s="217"/>
      <c r="D6" s="216"/>
      <c r="E6" s="319"/>
      <c r="F6" s="319"/>
      <c r="G6" s="319"/>
      <c r="H6" s="319"/>
      <c r="I6" s="89"/>
      <c r="J6" s="89"/>
      <c r="K6" s="320" t="s">
        <v>219</v>
      </c>
      <c r="L6" s="320"/>
      <c r="M6" s="320"/>
    </row>
    <row r="7" spans="1:13" ht="18" customHeight="1" x14ac:dyDescent="0.25">
      <c r="A7" s="218"/>
      <c r="B7" s="215"/>
      <c r="C7" s="217"/>
      <c r="D7" s="216"/>
      <c r="E7" s="226"/>
      <c r="F7" s="226"/>
      <c r="G7" s="226"/>
      <c r="H7" s="226"/>
      <c r="I7" s="89"/>
      <c r="J7" s="89"/>
      <c r="K7" s="227"/>
      <c r="L7" s="227"/>
      <c r="M7" s="227"/>
    </row>
    <row r="8" spans="1:13" ht="40.5" customHeight="1" x14ac:dyDescent="0.25">
      <c r="A8" s="7"/>
      <c r="B8" s="323" t="s">
        <v>209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</row>
    <row r="9" spans="1:13" ht="16.5" thickBot="1" x14ac:dyDescent="0.3">
      <c r="A9" s="7"/>
      <c r="B9" s="216"/>
      <c r="C9" s="217"/>
      <c r="D9" s="216"/>
      <c r="E9" s="216"/>
      <c r="F9" s="216"/>
      <c r="G9" s="311"/>
      <c r="H9" s="311"/>
      <c r="I9" s="311"/>
      <c r="J9" s="311"/>
      <c r="K9" s="311"/>
      <c r="L9" s="311"/>
      <c r="M9" s="311"/>
    </row>
    <row r="10" spans="1:13" ht="15" customHeight="1" x14ac:dyDescent="0.25">
      <c r="A10" s="329" t="s">
        <v>0</v>
      </c>
      <c r="B10" s="332" t="s">
        <v>3</v>
      </c>
      <c r="C10" s="332" t="s">
        <v>75</v>
      </c>
      <c r="D10" s="332" t="s">
        <v>1</v>
      </c>
      <c r="E10" s="332" t="s">
        <v>70</v>
      </c>
      <c r="F10" s="316" t="s">
        <v>76</v>
      </c>
      <c r="G10" s="332" t="s">
        <v>23</v>
      </c>
      <c r="H10" s="332"/>
      <c r="I10" s="332"/>
      <c r="J10" s="332"/>
      <c r="K10" s="332"/>
      <c r="L10" s="332" t="s">
        <v>11</v>
      </c>
      <c r="M10" s="321" t="s">
        <v>4</v>
      </c>
    </row>
    <row r="11" spans="1:13" x14ac:dyDescent="0.25">
      <c r="A11" s="330"/>
      <c r="B11" s="333"/>
      <c r="C11" s="333"/>
      <c r="D11" s="333"/>
      <c r="E11" s="333"/>
      <c r="F11" s="317"/>
      <c r="G11" s="333"/>
      <c r="H11" s="333"/>
      <c r="I11" s="333"/>
      <c r="J11" s="333"/>
      <c r="K11" s="333"/>
      <c r="L11" s="333"/>
      <c r="M11" s="322"/>
    </row>
    <row r="12" spans="1:13" ht="27.75" customHeight="1" x14ac:dyDescent="0.25">
      <c r="A12" s="331"/>
      <c r="B12" s="277"/>
      <c r="C12" s="277"/>
      <c r="D12" s="277"/>
      <c r="E12" s="333"/>
      <c r="F12" s="318"/>
      <c r="G12" s="333"/>
      <c r="H12" s="333"/>
      <c r="I12" s="333"/>
      <c r="J12" s="333"/>
      <c r="K12" s="333"/>
      <c r="L12" s="333"/>
      <c r="M12" s="322"/>
    </row>
    <row r="13" spans="1:13" ht="73.5" customHeight="1" x14ac:dyDescent="0.25">
      <c r="A13" s="331"/>
      <c r="B13" s="277"/>
      <c r="C13" s="277"/>
      <c r="D13" s="277"/>
      <c r="E13" s="333"/>
      <c r="F13" s="318"/>
      <c r="G13" s="228" t="s">
        <v>57</v>
      </c>
      <c r="H13" s="228" t="s">
        <v>58</v>
      </c>
      <c r="I13" s="228" t="s">
        <v>71</v>
      </c>
      <c r="J13" s="228" t="s">
        <v>72</v>
      </c>
      <c r="K13" s="228" t="s">
        <v>73</v>
      </c>
      <c r="L13" s="333"/>
      <c r="M13" s="322"/>
    </row>
    <row r="14" spans="1:13" ht="18" customHeight="1" x14ac:dyDescent="0.25">
      <c r="A14" s="229">
        <v>1</v>
      </c>
      <c r="B14" s="90">
        <v>2</v>
      </c>
      <c r="C14" s="90" t="s">
        <v>12</v>
      </c>
      <c r="D14" s="90">
        <v>4</v>
      </c>
      <c r="E14" s="90" t="s">
        <v>13</v>
      </c>
      <c r="F14" s="10" t="s">
        <v>13</v>
      </c>
      <c r="G14" s="90" t="s">
        <v>53</v>
      </c>
      <c r="H14" s="90" t="s">
        <v>14</v>
      </c>
      <c r="I14" s="90" t="s">
        <v>54</v>
      </c>
      <c r="J14" s="90" t="s">
        <v>15</v>
      </c>
      <c r="K14" s="90" t="s">
        <v>16</v>
      </c>
      <c r="L14" s="90" t="s">
        <v>19</v>
      </c>
      <c r="M14" s="146" t="s">
        <v>20</v>
      </c>
    </row>
    <row r="15" spans="1:13" ht="30.75" customHeight="1" x14ac:dyDescent="0.25">
      <c r="A15" s="330" t="s">
        <v>139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22"/>
    </row>
    <row r="16" spans="1:13" s="93" customFormat="1" ht="18.75" x14ac:dyDescent="0.25">
      <c r="A16" s="315" t="s">
        <v>18</v>
      </c>
      <c r="B16" s="312" t="s">
        <v>220</v>
      </c>
      <c r="C16" s="305" t="s">
        <v>74</v>
      </c>
      <c r="D16" s="153" t="s">
        <v>5</v>
      </c>
      <c r="E16" s="154">
        <f>E17+E18</f>
        <v>0</v>
      </c>
      <c r="F16" s="130">
        <f t="shared" ref="F16:F64" si="0">SUM(G16:K16)</f>
        <v>175246.109</v>
      </c>
      <c r="G16" s="154">
        <f>G17+G18</f>
        <v>175246.109</v>
      </c>
      <c r="H16" s="154">
        <f t="shared" ref="H16:K16" si="1">H17+H18</f>
        <v>0</v>
      </c>
      <c r="I16" s="154">
        <f t="shared" si="1"/>
        <v>0</v>
      </c>
      <c r="J16" s="154">
        <f t="shared" si="1"/>
        <v>0</v>
      </c>
      <c r="K16" s="154">
        <f t="shared" si="1"/>
        <v>0</v>
      </c>
      <c r="L16" s="302"/>
      <c r="M16" s="285"/>
    </row>
    <row r="17" spans="1:13" s="93" customFormat="1" ht="36.75" customHeight="1" x14ac:dyDescent="0.25">
      <c r="A17" s="315"/>
      <c r="B17" s="312"/>
      <c r="C17" s="305"/>
      <c r="D17" s="242" t="s">
        <v>2</v>
      </c>
      <c r="E17" s="156">
        <f>E23</f>
        <v>0</v>
      </c>
      <c r="F17" s="130">
        <f t="shared" si="0"/>
        <v>108583</v>
      </c>
      <c r="G17" s="156">
        <f t="shared" ref="G17:K18" si="2">G19+G21+G23+G25</f>
        <v>108583</v>
      </c>
      <c r="H17" s="156">
        <f t="shared" si="2"/>
        <v>0</v>
      </c>
      <c r="I17" s="156">
        <f t="shared" si="2"/>
        <v>0</v>
      </c>
      <c r="J17" s="156">
        <f t="shared" si="2"/>
        <v>0</v>
      </c>
      <c r="K17" s="156">
        <f t="shared" si="2"/>
        <v>0</v>
      </c>
      <c r="L17" s="302"/>
      <c r="M17" s="285"/>
    </row>
    <row r="18" spans="1:13" s="93" customFormat="1" ht="57" customHeight="1" x14ac:dyDescent="0.25">
      <c r="A18" s="315"/>
      <c r="B18" s="312"/>
      <c r="C18" s="305"/>
      <c r="D18" s="242" t="s">
        <v>77</v>
      </c>
      <c r="E18" s="157">
        <f>E20+E22+E24+E26</f>
        <v>0</v>
      </c>
      <c r="F18" s="130">
        <f t="shared" si="0"/>
        <v>66663.108999999997</v>
      </c>
      <c r="G18" s="157">
        <f t="shared" si="2"/>
        <v>66663.108999999997</v>
      </c>
      <c r="H18" s="157">
        <f t="shared" si="2"/>
        <v>0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302"/>
      <c r="M18" s="285"/>
    </row>
    <row r="19" spans="1:13" s="93" customFormat="1" ht="86.25" customHeight="1" x14ac:dyDescent="0.25">
      <c r="A19" s="284" t="s">
        <v>43</v>
      </c>
      <c r="B19" s="287" t="s">
        <v>221</v>
      </c>
      <c r="C19" s="288" t="s">
        <v>74</v>
      </c>
      <c r="D19" s="239" t="s">
        <v>2</v>
      </c>
      <c r="E19" s="147">
        <v>0</v>
      </c>
      <c r="F19" s="130">
        <f t="shared" ref="F19:F22" si="3">SUM(G19:K19)</f>
        <v>41000</v>
      </c>
      <c r="G19" s="147">
        <v>41000</v>
      </c>
      <c r="H19" s="147">
        <v>0</v>
      </c>
      <c r="I19" s="147">
        <v>0</v>
      </c>
      <c r="J19" s="147">
        <v>0</v>
      </c>
      <c r="K19" s="147">
        <v>0</v>
      </c>
      <c r="L19" s="313" t="s">
        <v>308</v>
      </c>
      <c r="M19" s="314" t="s">
        <v>178</v>
      </c>
    </row>
    <row r="20" spans="1:13" s="93" customFormat="1" ht="86.25" customHeight="1" x14ac:dyDescent="0.25">
      <c r="A20" s="284"/>
      <c r="B20" s="287"/>
      <c r="C20" s="288"/>
      <c r="D20" s="239" t="s">
        <v>77</v>
      </c>
      <c r="E20" s="147">
        <v>0</v>
      </c>
      <c r="F20" s="130">
        <f t="shared" si="3"/>
        <v>24000</v>
      </c>
      <c r="G20" s="147">
        <f>24000</f>
        <v>24000</v>
      </c>
      <c r="H20" s="147">
        <v>0</v>
      </c>
      <c r="I20" s="147">
        <v>0</v>
      </c>
      <c r="J20" s="147">
        <v>0</v>
      </c>
      <c r="K20" s="147">
        <v>0</v>
      </c>
      <c r="L20" s="313"/>
      <c r="M20" s="314"/>
    </row>
    <row r="21" spans="1:13" s="93" customFormat="1" ht="51.75" customHeight="1" x14ac:dyDescent="0.25">
      <c r="A21" s="284" t="s">
        <v>44</v>
      </c>
      <c r="B21" s="287" t="s">
        <v>222</v>
      </c>
      <c r="C21" s="288" t="s">
        <v>74</v>
      </c>
      <c r="D21" s="239" t="s">
        <v>2</v>
      </c>
      <c r="E21" s="147">
        <v>0</v>
      </c>
      <c r="F21" s="130">
        <f t="shared" si="3"/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324" t="s">
        <v>6</v>
      </c>
      <c r="M21" s="314" t="s">
        <v>88</v>
      </c>
    </row>
    <row r="22" spans="1:13" s="93" customFormat="1" ht="65.25" customHeight="1" x14ac:dyDescent="0.25">
      <c r="A22" s="284"/>
      <c r="B22" s="287"/>
      <c r="C22" s="288"/>
      <c r="D22" s="239" t="s">
        <v>77</v>
      </c>
      <c r="E22" s="147">
        <v>0</v>
      </c>
      <c r="F22" s="130">
        <f t="shared" si="3"/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324"/>
      <c r="M22" s="314"/>
    </row>
    <row r="23" spans="1:13" s="93" customFormat="1" ht="45.75" hidden="1" customHeight="1" x14ac:dyDescent="0.25">
      <c r="A23" s="284" t="s">
        <v>45</v>
      </c>
      <c r="B23" s="287" t="s">
        <v>186</v>
      </c>
      <c r="C23" s="288" t="s">
        <v>74</v>
      </c>
      <c r="D23" s="239" t="s">
        <v>2</v>
      </c>
      <c r="E23" s="147">
        <v>0</v>
      </c>
      <c r="F23" s="130">
        <f t="shared" si="0"/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324" t="s">
        <v>6</v>
      </c>
      <c r="M23" s="280" t="s">
        <v>83</v>
      </c>
    </row>
    <row r="24" spans="1:13" s="93" customFormat="1" ht="56.25" hidden="1" x14ac:dyDescent="0.25">
      <c r="A24" s="284"/>
      <c r="B24" s="287"/>
      <c r="C24" s="288"/>
      <c r="D24" s="239" t="s">
        <v>77</v>
      </c>
      <c r="E24" s="147">
        <v>0</v>
      </c>
      <c r="F24" s="130">
        <f t="shared" ref="F24" si="4">SUM(G24:K24)</f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324"/>
      <c r="M24" s="282"/>
    </row>
    <row r="25" spans="1:13" s="93" customFormat="1" ht="37.5" x14ac:dyDescent="0.25">
      <c r="A25" s="284" t="s">
        <v>45</v>
      </c>
      <c r="B25" s="287" t="s">
        <v>306</v>
      </c>
      <c r="C25" s="288" t="s">
        <v>74</v>
      </c>
      <c r="D25" s="239" t="s">
        <v>2</v>
      </c>
      <c r="E25" s="147">
        <v>0</v>
      </c>
      <c r="F25" s="130">
        <f t="shared" si="0"/>
        <v>67583</v>
      </c>
      <c r="G25" s="147">
        <f>74611-7028</f>
        <v>67583</v>
      </c>
      <c r="H25" s="147">
        <v>0</v>
      </c>
      <c r="I25" s="147">
        <v>0</v>
      </c>
      <c r="J25" s="147">
        <v>0</v>
      </c>
      <c r="K25" s="147">
        <v>0</v>
      </c>
      <c r="L25" s="324" t="s">
        <v>6</v>
      </c>
      <c r="M25" s="280" t="s">
        <v>286</v>
      </c>
    </row>
    <row r="26" spans="1:13" s="93" customFormat="1" ht="56.25" x14ac:dyDescent="0.25">
      <c r="A26" s="284"/>
      <c r="B26" s="287"/>
      <c r="C26" s="288"/>
      <c r="D26" s="239" t="s">
        <v>77</v>
      </c>
      <c r="E26" s="147">
        <v>0</v>
      </c>
      <c r="F26" s="130">
        <f t="shared" si="0"/>
        <v>42663.108999999997</v>
      </c>
      <c r="G26" s="147">
        <f>G28</f>
        <v>42663.108999999997</v>
      </c>
      <c r="H26" s="147">
        <v>0</v>
      </c>
      <c r="I26" s="147">
        <v>0</v>
      </c>
      <c r="J26" s="147">
        <v>0</v>
      </c>
      <c r="K26" s="147">
        <v>0</v>
      </c>
      <c r="L26" s="324"/>
      <c r="M26" s="281"/>
    </row>
    <row r="27" spans="1:13" s="93" customFormat="1" ht="37.5" x14ac:dyDescent="0.25">
      <c r="A27" s="284" t="s">
        <v>210</v>
      </c>
      <c r="B27" s="287" t="s">
        <v>175</v>
      </c>
      <c r="C27" s="288" t="s">
        <v>74</v>
      </c>
      <c r="D27" s="239" t="s">
        <v>2</v>
      </c>
      <c r="E27" s="147">
        <v>0</v>
      </c>
      <c r="F27" s="130">
        <f t="shared" ref="F27:F28" si="5">SUM(G27:K27)</f>
        <v>67583</v>
      </c>
      <c r="G27" s="147">
        <f>74611-7028</f>
        <v>67583</v>
      </c>
      <c r="H27" s="147">
        <v>0</v>
      </c>
      <c r="I27" s="147">
        <v>0</v>
      </c>
      <c r="J27" s="147">
        <v>0</v>
      </c>
      <c r="K27" s="147">
        <v>0</v>
      </c>
      <c r="L27" s="324" t="s">
        <v>6</v>
      </c>
      <c r="M27" s="281"/>
    </row>
    <row r="28" spans="1:13" s="93" customFormat="1" ht="54.75" customHeight="1" x14ac:dyDescent="0.25">
      <c r="A28" s="284"/>
      <c r="B28" s="287"/>
      <c r="C28" s="288"/>
      <c r="D28" s="239" t="s">
        <v>77</v>
      </c>
      <c r="E28" s="147">
        <v>0</v>
      </c>
      <c r="F28" s="130">
        <f t="shared" si="5"/>
        <v>42663.108999999997</v>
      </c>
      <c r="G28" s="147">
        <f>44768-2104.891</f>
        <v>42663.108999999997</v>
      </c>
      <c r="H28" s="147">
        <v>0</v>
      </c>
      <c r="I28" s="147">
        <v>0</v>
      </c>
      <c r="J28" s="147">
        <v>0</v>
      </c>
      <c r="K28" s="147">
        <v>0</v>
      </c>
      <c r="L28" s="324"/>
      <c r="M28" s="282"/>
    </row>
    <row r="29" spans="1:13" s="93" customFormat="1" ht="18.75" x14ac:dyDescent="0.25">
      <c r="A29" s="315" t="s">
        <v>180</v>
      </c>
      <c r="B29" s="312" t="s">
        <v>187</v>
      </c>
      <c r="C29" s="305" t="s">
        <v>74</v>
      </c>
      <c r="D29" s="153" t="s">
        <v>5</v>
      </c>
      <c r="E29" s="154">
        <f t="shared" ref="E29" si="6">SUM(E30:E34)-E32</f>
        <v>3173252.1787399994</v>
      </c>
      <c r="F29" s="130">
        <f t="shared" si="0"/>
        <v>18017607.89175</v>
      </c>
      <c r="G29" s="154">
        <f>SUM(G30:G34)-G32</f>
        <v>3383827.4979700004</v>
      </c>
      <c r="H29" s="154">
        <f t="shared" ref="H29:K29" si="7">SUM(H30:H34)-H32</f>
        <v>3714516.3785100002</v>
      </c>
      <c r="I29" s="154">
        <f t="shared" si="7"/>
        <v>3637860.9687100002</v>
      </c>
      <c r="J29" s="154">
        <f t="shared" si="7"/>
        <v>3668843.5232799998</v>
      </c>
      <c r="K29" s="154">
        <f t="shared" si="7"/>
        <v>3612559.5232799998</v>
      </c>
      <c r="L29" s="328"/>
      <c r="M29" s="325"/>
    </row>
    <row r="30" spans="1:13" s="93" customFormat="1" ht="37.5" x14ac:dyDescent="0.25">
      <c r="A30" s="315"/>
      <c r="B30" s="312"/>
      <c r="C30" s="305"/>
      <c r="D30" s="242" t="s">
        <v>2</v>
      </c>
      <c r="E30" s="157">
        <f>E37+E38+E39+E35</f>
        <v>1768502</v>
      </c>
      <c r="F30" s="130">
        <f t="shared" si="0"/>
        <v>10361236.163419999</v>
      </c>
      <c r="G30" s="157">
        <f>G37+G38+G39+G35+G47</f>
        <v>2138382</v>
      </c>
      <c r="H30" s="157">
        <f t="shared" ref="H30:K30" si="8">H37+H38+H39+H35+H47</f>
        <v>1899720.1634199999</v>
      </c>
      <c r="I30" s="157">
        <f t="shared" si="8"/>
        <v>2127902</v>
      </c>
      <c r="J30" s="157">
        <f t="shared" si="8"/>
        <v>2114543</v>
      </c>
      <c r="K30" s="157">
        <f t="shared" si="8"/>
        <v>2080689</v>
      </c>
      <c r="L30" s="328"/>
      <c r="M30" s="325"/>
    </row>
    <row r="31" spans="1:13" s="93" customFormat="1" ht="56.25" x14ac:dyDescent="0.25">
      <c r="A31" s="315"/>
      <c r="B31" s="312"/>
      <c r="C31" s="305"/>
      <c r="D31" s="242" t="s">
        <v>77</v>
      </c>
      <c r="E31" s="156">
        <f t="shared" ref="E31" si="9">E40+E36+E44+E45+E46+E48</f>
        <v>1128859.5313599999</v>
      </c>
      <c r="F31" s="130">
        <f t="shared" si="0"/>
        <v>7174501.7905799998</v>
      </c>
      <c r="G31" s="156">
        <f>G40+G36+G44+G45+G46+G48</f>
        <v>1183618.7060500004</v>
      </c>
      <c r="H31" s="156">
        <f>H40+H36+H44+H45+H46+H48</f>
        <v>1725357.6091</v>
      </c>
      <c r="I31" s="156">
        <f t="shared" ref="I31:K31" si="10">I40+I36+I44+I45+I46+I48</f>
        <v>1399981.4554300001</v>
      </c>
      <c r="J31" s="156">
        <f t="shared" si="10"/>
        <v>1443987.01</v>
      </c>
      <c r="K31" s="156">
        <f t="shared" si="10"/>
        <v>1421557.01</v>
      </c>
      <c r="L31" s="328"/>
      <c r="M31" s="325"/>
    </row>
    <row r="32" spans="1:13" s="93" customFormat="1" ht="57.75" customHeight="1" x14ac:dyDescent="0.25">
      <c r="A32" s="315"/>
      <c r="B32" s="312"/>
      <c r="C32" s="305"/>
      <c r="D32" s="243" t="s">
        <v>118</v>
      </c>
      <c r="E32" s="156">
        <f>E41</f>
        <v>184994.723</v>
      </c>
      <c r="F32" s="130">
        <f t="shared" si="0"/>
        <v>1997383.416</v>
      </c>
      <c r="G32" s="156">
        <f t="shared" ref="G32:K32" si="11">G41</f>
        <v>260556.948</v>
      </c>
      <c r="H32" s="156">
        <f>H41</f>
        <v>432829.16700000002</v>
      </c>
      <c r="I32" s="156">
        <f t="shared" si="11"/>
        <v>434665.76699999999</v>
      </c>
      <c r="J32" s="156">
        <f t="shared" si="11"/>
        <v>434665.76699999999</v>
      </c>
      <c r="K32" s="156">
        <f t="shared" si="11"/>
        <v>434665.76699999999</v>
      </c>
      <c r="L32" s="328"/>
      <c r="M32" s="325"/>
    </row>
    <row r="33" spans="1:14" s="93" customFormat="1" ht="75" x14ac:dyDescent="0.25">
      <c r="A33" s="315"/>
      <c r="B33" s="312"/>
      <c r="C33" s="305"/>
      <c r="D33" s="243" t="s">
        <v>25</v>
      </c>
      <c r="E33" s="157">
        <f t="shared" ref="E33" si="12">E42</f>
        <v>56075.205379999999</v>
      </c>
      <c r="F33" s="130">
        <f t="shared" si="0"/>
        <v>374592.27174999996</v>
      </c>
      <c r="G33" s="157">
        <f t="shared" ref="G33:K33" si="13">G42</f>
        <v>40434.160920000002</v>
      </c>
      <c r="H33" s="157">
        <f t="shared" si="13"/>
        <v>68047.759989999991</v>
      </c>
      <c r="I33" s="157">
        <f t="shared" si="13"/>
        <v>88479.45027999999</v>
      </c>
      <c r="J33" s="157">
        <f t="shared" si="13"/>
        <v>88815.45027999999</v>
      </c>
      <c r="K33" s="157">
        <f t="shared" si="13"/>
        <v>88815.45027999999</v>
      </c>
      <c r="L33" s="328"/>
      <c r="M33" s="325"/>
    </row>
    <row r="34" spans="1:14" s="93" customFormat="1" ht="56.25" x14ac:dyDescent="0.25">
      <c r="A34" s="315"/>
      <c r="B34" s="312"/>
      <c r="C34" s="305"/>
      <c r="D34" s="243" t="s">
        <v>32</v>
      </c>
      <c r="E34" s="157">
        <f t="shared" ref="E34" si="14">E43</f>
        <v>219815.44200000001</v>
      </c>
      <c r="F34" s="130">
        <f t="shared" si="0"/>
        <v>107277.66599999998</v>
      </c>
      <c r="G34" s="157">
        <f t="shared" ref="G34:K34" si="15">G43</f>
        <v>21392.631000000001</v>
      </c>
      <c r="H34" s="157">
        <f t="shared" si="15"/>
        <v>21390.845999999998</v>
      </c>
      <c r="I34" s="157">
        <f t="shared" si="15"/>
        <v>21498.062999999998</v>
      </c>
      <c r="J34" s="157">
        <f t="shared" si="15"/>
        <v>21498.062999999998</v>
      </c>
      <c r="K34" s="157">
        <f t="shared" si="15"/>
        <v>21498.062999999998</v>
      </c>
      <c r="L34" s="328"/>
      <c r="M34" s="325"/>
    </row>
    <row r="35" spans="1:14" s="93" customFormat="1" ht="106.5" customHeight="1" x14ac:dyDescent="0.25">
      <c r="A35" s="284" t="s">
        <v>47</v>
      </c>
      <c r="B35" s="287" t="s">
        <v>223</v>
      </c>
      <c r="C35" s="288" t="s">
        <v>74</v>
      </c>
      <c r="D35" s="239" t="s">
        <v>2</v>
      </c>
      <c r="E35" s="147">
        <v>0</v>
      </c>
      <c r="F35" s="130">
        <f t="shared" ref="F35" si="16">SUM(G35:K35)</f>
        <v>4116.3299799999995</v>
      </c>
      <c r="G35" s="147">
        <v>0</v>
      </c>
      <c r="H35" s="276">
        <f>2029.59998+234.39+1168+684.34</f>
        <v>4116.3299799999995</v>
      </c>
      <c r="I35" s="147">
        <v>0</v>
      </c>
      <c r="J35" s="147">
        <v>0</v>
      </c>
      <c r="K35" s="147">
        <v>0</v>
      </c>
      <c r="L35" s="324" t="s">
        <v>6</v>
      </c>
      <c r="M35" s="326" t="s">
        <v>314</v>
      </c>
      <c r="N35" s="93" t="s">
        <v>293</v>
      </c>
    </row>
    <row r="36" spans="1:14" s="93" customFormat="1" ht="126" customHeight="1" x14ac:dyDescent="0.25">
      <c r="A36" s="284"/>
      <c r="B36" s="287"/>
      <c r="C36" s="288"/>
      <c r="D36" s="239" t="s">
        <v>77</v>
      </c>
      <c r="E36" s="147">
        <v>0</v>
      </c>
      <c r="F36" s="130">
        <f t="shared" ref="F36" si="17">SUM(G36:K36)</f>
        <v>192068.32202000002</v>
      </c>
      <c r="G36" s="147">
        <f>119416+14000-35243.4829-14000-84172.5171</f>
        <v>0</v>
      </c>
      <c r="H36" s="276">
        <f>44781+74635.34-503.21118+503.21118+46184.56197+26805.90987-338.48982</f>
        <v>192068.32202000002</v>
      </c>
      <c r="I36" s="147">
        <v>0</v>
      </c>
      <c r="J36" s="147">
        <v>0</v>
      </c>
      <c r="K36" s="147">
        <v>0</v>
      </c>
      <c r="L36" s="324"/>
      <c r="M36" s="327"/>
      <c r="N36" s="95" t="s">
        <v>294</v>
      </c>
    </row>
    <row r="37" spans="1:14" s="93" customFormat="1" ht="177.75" customHeight="1" x14ac:dyDescent="0.25">
      <c r="A37" s="237" t="s">
        <v>48</v>
      </c>
      <c r="B37" s="240" t="s">
        <v>224</v>
      </c>
      <c r="C37" s="247" t="s">
        <v>74</v>
      </c>
      <c r="D37" s="246" t="s">
        <v>2</v>
      </c>
      <c r="E37" s="148">
        <v>1540593</v>
      </c>
      <c r="F37" s="130">
        <f>SUM(G37:K37)</f>
        <v>9020561</v>
      </c>
      <c r="G37" s="149">
        <f>1883026+29927</f>
        <v>1912953</v>
      </c>
      <c r="H37" s="148">
        <f>1787598+69261-319828</f>
        <v>1537031</v>
      </c>
      <c r="I37" s="148">
        <f>1787598+69261</f>
        <v>1856859</v>
      </c>
      <c r="J37" s="148">
        <f>1787598+69261</f>
        <v>1856859</v>
      </c>
      <c r="K37" s="148">
        <f>1787598+69261</f>
        <v>1856859</v>
      </c>
      <c r="L37" s="236" t="s">
        <v>6</v>
      </c>
      <c r="M37" s="245" t="s">
        <v>63</v>
      </c>
      <c r="N37" s="93" t="s">
        <v>288</v>
      </c>
    </row>
    <row r="38" spans="1:14" s="93" customFormat="1" ht="138" customHeight="1" x14ac:dyDescent="0.25">
      <c r="A38" s="237" t="s">
        <v>49</v>
      </c>
      <c r="B38" s="240" t="s">
        <v>225</v>
      </c>
      <c r="C38" s="247" t="s">
        <v>74</v>
      </c>
      <c r="D38" s="247" t="s">
        <v>2</v>
      </c>
      <c r="E38" s="148">
        <v>102862</v>
      </c>
      <c r="F38" s="130">
        <f t="shared" si="0"/>
        <v>489753</v>
      </c>
      <c r="G38" s="148">
        <f>105426-9753</f>
        <v>95673</v>
      </c>
      <c r="H38" s="148">
        <f>99303-783</f>
        <v>98520</v>
      </c>
      <c r="I38" s="148">
        <f t="shared" ref="I38:K38" si="18">99303-783</f>
        <v>98520</v>
      </c>
      <c r="J38" s="148">
        <f t="shared" si="18"/>
        <v>98520</v>
      </c>
      <c r="K38" s="148">
        <f t="shared" si="18"/>
        <v>98520</v>
      </c>
      <c r="L38" s="244" t="s">
        <v>6</v>
      </c>
      <c r="M38" s="245" t="s">
        <v>61</v>
      </c>
    </row>
    <row r="39" spans="1:14" s="93" customFormat="1" ht="138" customHeight="1" x14ac:dyDescent="0.25">
      <c r="A39" s="211" t="s">
        <v>50</v>
      </c>
      <c r="B39" s="150" t="s">
        <v>226</v>
      </c>
      <c r="C39" s="151" t="s">
        <v>74</v>
      </c>
      <c r="D39" s="247" t="s">
        <v>2</v>
      </c>
      <c r="E39" s="149">
        <v>125047</v>
      </c>
      <c r="F39" s="130">
        <f t="shared" si="0"/>
        <v>630996</v>
      </c>
      <c r="G39" s="149">
        <f>159998+6210-26667-9785</f>
        <v>129756</v>
      </c>
      <c r="H39" s="149">
        <v>125310</v>
      </c>
      <c r="I39" s="149">
        <v>125310</v>
      </c>
      <c r="J39" s="149">
        <v>125310</v>
      </c>
      <c r="K39" s="149">
        <v>125310</v>
      </c>
      <c r="L39" s="152" t="s">
        <v>22</v>
      </c>
      <c r="M39" s="245" t="s">
        <v>34</v>
      </c>
    </row>
    <row r="40" spans="1:14" s="93" customFormat="1" ht="56.25" x14ac:dyDescent="0.25">
      <c r="A40" s="283" t="s">
        <v>148</v>
      </c>
      <c r="B40" s="289" t="s">
        <v>227</v>
      </c>
      <c r="C40" s="334" t="s">
        <v>74</v>
      </c>
      <c r="D40" s="246" t="s">
        <v>77</v>
      </c>
      <c r="E40" s="149">
        <f>943864.80836+E41</f>
        <v>1128859.5313599999</v>
      </c>
      <c r="F40" s="130">
        <f>SUM(G40:K40)</f>
        <v>6030353.6622900004</v>
      </c>
      <c r="G40" s="149">
        <f>947401.169+G41+5699+50000+17209-116388-23200-36148.9-13851.1-6529.767-71283.907+30500-1054.33328-1404.37335-30.175-169.01504-1000-640.58717-94.715-156.09-2808.19584-15000+1527.29+2821.39-94.026-142.206-239.625+8657.366+142.206</f>
        <v>1034279.3533200003</v>
      </c>
      <c r="H40" s="231">
        <f>1216028.144+13338-11044.922-1646.643+32486+24857.038-4076.5925-3730.791+282.86995+641.68771+5840.64238-1236.6+135</f>
        <v>1271873.83354</v>
      </c>
      <c r="I40" s="149">
        <f>1166649.289+13338+32486-86.83357+420</f>
        <v>1212806.4554300001</v>
      </c>
      <c r="J40" s="149">
        <f>1209663.01+13338+32486+420</f>
        <v>1255907.01</v>
      </c>
      <c r="K40" s="149">
        <f>1209663.01+13338+32486</f>
        <v>1255487.01</v>
      </c>
      <c r="L40" s="277" t="s">
        <v>119</v>
      </c>
      <c r="M40" s="314" t="s">
        <v>138</v>
      </c>
      <c r="N40" s="93" t="s">
        <v>303</v>
      </c>
    </row>
    <row r="41" spans="1:14" s="93" customFormat="1" ht="58.5" customHeight="1" x14ac:dyDescent="0.25">
      <c r="A41" s="283"/>
      <c r="B41" s="289"/>
      <c r="C41" s="334"/>
      <c r="D41" s="246" t="s">
        <v>118</v>
      </c>
      <c r="E41" s="149">
        <v>184994.723</v>
      </c>
      <c r="F41" s="130">
        <f t="shared" si="0"/>
        <v>1997383.416</v>
      </c>
      <c r="G41" s="149">
        <f>436128+6788-10236.233-30500-166507.684+14604.401+10280.464</f>
        <v>260556.948</v>
      </c>
      <c r="H41" s="231">
        <f>402179.767+32486-600-1236.6</f>
        <v>432829.16700000002</v>
      </c>
      <c r="I41" s="149">
        <f>402179.767+32486</f>
        <v>434665.76699999999</v>
      </c>
      <c r="J41" s="149">
        <f>402179.767+32486</f>
        <v>434665.76699999999</v>
      </c>
      <c r="K41" s="149">
        <f>402179.767+32486</f>
        <v>434665.76699999999</v>
      </c>
      <c r="L41" s="277"/>
      <c r="M41" s="314"/>
      <c r="N41" s="93" t="s">
        <v>282</v>
      </c>
    </row>
    <row r="42" spans="1:14" s="93" customFormat="1" ht="75" x14ac:dyDescent="0.25">
      <c r="A42" s="283"/>
      <c r="B42" s="289"/>
      <c r="C42" s="334"/>
      <c r="D42" s="246" t="s">
        <v>25</v>
      </c>
      <c r="E42" s="149">
        <v>56075.205379999999</v>
      </c>
      <c r="F42" s="130">
        <f t="shared" si="0"/>
        <v>374592.27174999996</v>
      </c>
      <c r="G42" s="149">
        <f>74036.82228+8218.296-7665.594+3945.092-23915.87172-14203.08419+18.50055</f>
        <v>40434.160920000002</v>
      </c>
      <c r="H42" s="149">
        <f>74036.82228+8218.296+2815.332-8194.18243-8828.50786</f>
        <v>68047.759989999991</v>
      </c>
      <c r="I42" s="149">
        <f>74036.82228+8218.296+6224.332</f>
        <v>88479.45027999999</v>
      </c>
      <c r="J42" s="149">
        <f>74036.82228+8218.296+6560.332</f>
        <v>88815.45027999999</v>
      </c>
      <c r="K42" s="149">
        <f>74036.82228+8218.296+6560.332</f>
        <v>88815.45027999999</v>
      </c>
      <c r="L42" s="277"/>
      <c r="M42" s="314"/>
    </row>
    <row r="43" spans="1:14" s="93" customFormat="1" ht="56.25" x14ac:dyDescent="0.25">
      <c r="A43" s="283"/>
      <c r="B43" s="289"/>
      <c r="C43" s="334"/>
      <c r="D43" s="246" t="s">
        <v>32</v>
      </c>
      <c r="E43" s="149">
        <v>219815.44200000001</v>
      </c>
      <c r="F43" s="130">
        <f>SUM(G43:K43)</f>
        <v>107277.66599999998</v>
      </c>
      <c r="G43" s="149">
        <v>21392.631000000001</v>
      </c>
      <c r="H43" s="149">
        <f>21498.063-107.217</f>
        <v>21390.845999999998</v>
      </c>
      <c r="I43" s="149">
        <v>21498.062999999998</v>
      </c>
      <c r="J43" s="149">
        <v>21498.062999999998</v>
      </c>
      <c r="K43" s="149">
        <v>21498.062999999998</v>
      </c>
      <c r="L43" s="277"/>
      <c r="M43" s="314"/>
    </row>
    <row r="44" spans="1:14" s="93" customFormat="1" ht="301.5" customHeight="1" x14ac:dyDescent="0.25">
      <c r="A44" s="211" t="s">
        <v>149</v>
      </c>
      <c r="B44" s="150" t="s">
        <v>228</v>
      </c>
      <c r="C44" s="151" t="s">
        <v>74</v>
      </c>
      <c r="D44" s="247" t="s">
        <v>77</v>
      </c>
      <c r="E44" s="149">
        <v>0</v>
      </c>
      <c r="F44" s="130">
        <f t="shared" ref="F44" si="19">SUM(G44:K44)</f>
        <v>249906.46604</v>
      </c>
      <c r="G44" s="149">
        <f>13851.1+16000-16000+17000+6500+6172.5171-6500-2500-1340</f>
        <v>33183.617099999996</v>
      </c>
      <c r="H44" s="231">
        <f>14756.6+259.96959+14000-198+84257.86769-46184.56197-169.02637</f>
        <v>66722.848939999996</v>
      </c>
      <c r="I44" s="149">
        <v>50000</v>
      </c>
      <c r="J44" s="149">
        <v>50000</v>
      </c>
      <c r="K44" s="149">
        <v>50000</v>
      </c>
      <c r="L44" s="152" t="s">
        <v>6</v>
      </c>
      <c r="M44" s="245" t="s">
        <v>278</v>
      </c>
      <c r="N44" s="93" t="s">
        <v>296</v>
      </c>
    </row>
    <row r="45" spans="1:14" s="93" customFormat="1" ht="66.75" customHeight="1" x14ac:dyDescent="0.25">
      <c r="A45" s="211" t="s">
        <v>150</v>
      </c>
      <c r="B45" s="150" t="s">
        <v>229</v>
      </c>
      <c r="C45" s="151" t="s">
        <v>74</v>
      </c>
      <c r="D45" s="247" t="s">
        <v>77</v>
      </c>
      <c r="E45" s="149">
        <v>0</v>
      </c>
      <c r="F45" s="130">
        <f t="shared" ref="F45" si="20">SUM(G45:K45)</f>
        <v>583449.93063000008</v>
      </c>
      <c r="G45" s="149">
        <f>116388-90.05837-142.206</f>
        <v>116155.73563</v>
      </c>
      <c r="H45" s="149">
        <f>116070+2190+824.195</f>
        <v>119084.19500000001</v>
      </c>
      <c r="I45" s="149">
        <v>116070</v>
      </c>
      <c r="J45" s="149">
        <v>116070</v>
      </c>
      <c r="K45" s="149">
        <v>116070</v>
      </c>
      <c r="L45" s="152" t="s">
        <v>6</v>
      </c>
      <c r="M45" s="245" t="s">
        <v>151</v>
      </c>
    </row>
    <row r="46" spans="1:14" s="93" customFormat="1" ht="56.25" x14ac:dyDescent="0.25">
      <c r="A46" s="211" t="s">
        <v>176</v>
      </c>
      <c r="B46" s="150" t="s">
        <v>230</v>
      </c>
      <c r="C46" s="151" t="s">
        <v>74</v>
      </c>
      <c r="D46" s="247" t="s">
        <v>77</v>
      </c>
      <c r="E46" s="149">
        <v>0</v>
      </c>
      <c r="F46" s="130">
        <f t="shared" ref="F46" si="21">SUM(G46:K46)</f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52" t="s">
        <v>6</v>
      </c>
      <c r="M46" s="245" t="s">
        <v>103</v>
      </c>
    </row>
    <row r="47" spans="1:14" s="93" customFormat="1" ht="59.25" customHeight="1" x14ac:dyDescent="0.25">
      <c r="A47" s="339" t="s">
        <v>183</v>
      </c>
      <c r="B47" s="337" t="s">
        <v>231</v>
      </c>
      <c r="C47" s="341" t="s">
        <v>184</v>
      </c>
      <c r="D47" s="247" t="s">
        <v>2</v>
      </c>
      <c r="E47" s="149">
        <v>0</v>
      </c>
      <c r="F47" s="130">
        <f t="shared" ref="F47" si="22">SUM(G47:K47)</f>
        <v>215809.83344000002</v>
      </c>
      <c r="G47" s="149">
        <v>0</v>
      </c>
      <c r="H47" s="231">
        <f>90649+49666.7-2029.59998-234.39-1168-686.4-476-978.47658</f>
        <v>134742.83344000002</v>
      </c>
      <c r="I47" s="149">
        <v>47213</v>
      </c>
      <c r="J47" s="149">
        <v>33854</v>
      </c>
      <c r="K47" s="149">
        <v>0</v>
      </c>
      <c r="L47" s="343" t="s">
        <v>6</v>
      </c>
      <c r="M47" s="345" t="s">
        <v>182</v>
      </c>
      <c r="N47" s="93" t="s">
        <v>298</v>
      </c>
    </row>
    <row r="48" spans="1:14" s="93" customFormat="1" ht="59.25" customHeight="1" x14ac:dyDescent="0.25">
      <c r="A48" s="340"/>
      <c r="B48" s="338"/>
      <c r="C48" s="342"/>
      <c r="D48" s="247" t="s">
        <v>77</v>
      </c>
      <c r="E48" s="149">
        <v>0</v>
      </c>
      <c r="F48" s="130">
        <f t="shared" ref="F48" si="23">SUM(G48:K48)</f>
        <v>118723.4096</v>
      </c>
      <c r="G48" s="149">
        <v>0</v>
      </c>
      <c r="H48" s="149">
        <f>9968+22408.8404+9222.575+34008.9942</f>
        <v>75608.409599999999</v>
      </c>
      <c r="I48" s="149">
        <v>21105</v>
      </c>
      <c r="J48" s="149">
        <v>22010</v>
      </c>
      <c r="K48" s="149">
        <v>0</v>
      </c>
      <c r="L48" s="344"/>
      <c r="M48" s="346"/>
    </row>
    <row r="49" spans="1:14" s="93" customFormat="1" ht="18.75" x14ac:dyDescent="0.25">
      <c r="A49" s="315" t="s">
        <v>12</v>
      </c>
      <c r="B49" s="312" t="s">
        <v>310</v>
      </c>
      <c r="C49" s="305" t="s">
        <v>74</v>
      </c>
      <c r="D49" s="153" t="s">
        <v>5</v>
      </c>
      <c r="E49" s="154">
        <f>E51+E52+E50</f>
        <v>54595</v>
      </c>
      <c r="F49" s="130">
        <f>SUM(G49:K49)</f>
        <v>330395.19808</v>
      </c>
      <c r="G49" s="154">
        <f>G51+G52+G50</f>
        <v>65614.223000000013</v>
      </c>
      <c r="H49" s="154">
        <f>H51+H52+H50</f>
        <v>79950.975080000004</v>
      </c>
      <c r="I49" s="154">
        <f>I51+I52+I50</f>
        <v>61610</v>
      </c>
      <c r="J49" s="154">
        <f>J51+J52+J50</f>
        <v>61610</v>
      </c>
      <c r="K49" s="154">
        <f>K51+K52+K50</f>
        <v>61610</v>
      </c>
      <c r="L49" s="302"/>
      <c r="M49" s="285"/>
    </row>
    <row r="50" spans="1:14" s="93" customFormat="1" ht="37.5" x14ac:dyDescent="0.25">
      <c r="A50" s="315"/>
      <c r="B50" s="312"/>
      <c r="C50" s="305"/>
      <c r="D50" s="242" t="s">
        <v>66</v>
      </c>
      <c r="E50" s="156">
        <f>E55</f>
        <v>0</v>
      </c>
      <c r="F50" s="130">
        <f t="shared" si="0"/>
        <v>15732.183400000002</v>
      </c>
      <c r="G50" s="156">
        <f>G55</f>
        <v>9253.4785700000011</v>
      </c>
      <c r="H50" s="156">
        <f t="shared" ref="H50:K50" si="24">H55</f>
        <v>6478.7048299999997</v>
      </c>
      <c r="I50" s="156">
        <f t="shared" si="24"/>
        <v>0</v>
      </c>
      <c r="J50" s="156">
        <f t="shared" si="24"/>
        <v>0</v>
      </c>
      <c r="K50" s="156">
        <f t="shared" si="24"/>
        <v>0</v>
      </c>
      <c r="L50" s="302"/>
      <c r="M50" s="285"/>
    </row>
    <row r="51" spans="1:14" s="93" customFormat="1" ht="36.75" customHeight="1" x14ac:dyDescent="0.25">
      <c r="A51" s="315"/>
      <c r="B51" s="312"/>
      <c r="C51" s="305"/>
      <c r="D51" s="242" t="s">
        <v>2</v>
      </c>
      <c r="E51" s="156">
        <f>E53+E56</f>
        <v>34122</v>
      </c>
      <c r="F51" s="130">
        <f t="shared" si="0"/>
        <v>196127.81659999999</v>
      </c>
      <c r="G51" s="156">
        <f>G53+G56</f>
        <v>36286.521430000001</v>
      </c>
      <c r="H51" s="156">
        <f t="shared" ref="H51:K51" si="25">H53+H56</f>
        <v>46662.295169999998</v>
      </c>
      <c r="I51" s="156">
        <f t="shared" si="25"/>
        <v>38507</v>
      </c>
      <c r="J51" s="156">
        <f t="shared" si="25"/>
        <v>37336</v>
      </c>
      <c r="K51" s="156">
        <f t="shared" si="25"/>
        <v>37336</v>
      </c>
      <c r="L51" s="302"/>
      <c r="M51" s="285"/>
    </row>
    <row r="52" spans="1:14" s="93" customFormat="1" ht="57" customHeight="1" x14ac:dyDescent="0.25">
      <c r="A52" s="315"/>
      <c r="B52" s="312"/>
      <c r="C52" s="305"/>
      <c r="D52" s="242" t="s">
        <v>77</v>
      </c>
      <c r="E52" s="157">
        <f>E54+E57</f>
        <v>20473</v>
      </c>
      <c r="F52" s="130">
        <f t="shared" si="0"/>
        <v>118535.19808</v>
      </c>
      <c r="G52" s="157">
        <f>G54+G57</f>
        <v>20074.223000000002</v>
      </c>
      <c r="H52" s="157">
        <f t="shared" ref="H52:K52" si="26">H54+H57</f>
        <v>26809.97508</v>
      </c>
      <c r="I52" s="157">
        <f t="shared" si="26"/>
        <v>23103</v>
      </c>
      <c r="J52" s="157">
        <f t="shared" si="26"/>
        <v>24274</v>
      </c>
      <c r="K52" s="157">
        <f t="shared" si="26"/>
        <v>24274</v>
      </c>
      <c r="L52" s="302"/>
      <c r="M52" s="285"/>
    </row>
    <row r="53" spans="1:14" s="93" customFormat="1" ht="42" customHeight="1" x14ac:dyDescent="0.25">
      <c r="A53" s="284" t="s">
        <v>51</v>
      </c>
      <c r="B53" s="287" t="s">
        <v>232</v>
      </c>
      <c r="C53" s="288" t="s">
        <v>74</v>
      </c>
      <c r="D53" s="239" t="s">
        <v>2</v>
      </c>
      <c r="E53" s="147">
        <v>34122</v>
      </c>
      <c r="F53" s="130">
        <f t="shared" si="0"/>
        <v>190883</v>
      </c>
      <c r="G53" s="147">
        <f>32187+3672-2657</f>
        <v>33202</v>
      </c>
      <c r="H53" s="147">
        <f>38507+5995</f>
        <v>44502</v>
      </c>
      <c r="I53" s="147">
        <v>38507</v>
      </c>
      <c r="J53" s="147">
        <v>37336</v>
      </c>
      <c r="K53" s="147">
        <v>37336</v>
      </c>
      <c r="L53" s="290" t="s">
        <v>6</v>
      </c>
      <c r="M53" s="286" t="s">
        <v>60</v>
      </c>
    </row>
    <row r="54" spans="1:14" s="93" customFormat="1" ht="56.25" x14ac:dyDescent="0.25">
      <c r="A54" s="284"/>
      <c r="B54" s="287"/>
      <c r="C54" s="288"/>
      <c r="D54" s="239" t="s">
        <v>77</v>
      </c>
      <c r="E54" s="147">
        <v>20473</v>
      </c>
      <c r="F54" s="130">
        <f t="shared" si="0"/>
        <v>118273</v>
      </c>
      <c r="G54" s="147">
        <f>19312+2203-1595</f>
        <v>19920</v>
      </c>
      <c r="H54" s="147">
        <f>23103+3599</f>
        <v>26702</v>
      </c>
      <c r="I54" s="147">
        <v>23103</v>
      </c>
      <c r="J54" s="147">
        <v>24274</v>
      </c>
      <c r="K54" s="147">
        <v>24274</v>
      </c>
      <c r="L54" s="290"/>
      <c r="M54" s="286"/>
      <c r="N54" s="93" t="s">
        <v>287</v>
      </c>
    </row>
    <row r="55" spans="1:14" s="93" customFormat="1" ht="93" customHeight="1" x14ac:dyDescent="0.25">
      <c r="A55" s="291" t="s">
        <v>52</v>
      </c>
      <c r="B55" s="294" t="s">
        <v>233</v>
      </c>
      <c r="C55" s="297" t="s">
        <v>74</v>
      </c>
      <c r="D55" s="239" t="s">
        <v>66</v>
      </c>
      <c r="E55" s="147">
        <v>0</v>
      </c>
      <c r="F55" s="130">
        <f t="shared" si="0"/>
        <v>15732.183400000002</v>
      </c>
      <c r="G55" s="147">
        <f>9253.35+0.12857</f>
        <v>9253.4785700000011</v>
      </c>
      <c r="H55" s="147">
        <f>6478.88641-0.18158</f>
        <v>6478.7048299999997</v>
      </c>
      <c r="I55" s="147">
        <v>0</v>
      </c>
      <c r="J55" s="147">
        <v>0</v>
      </c>
      <c r="K55" s="147">
        <v>0</v>
      </c>
      <c r="L55" s="241"/>
      <c r="M55" s="280" t="s">
        <v>207</v>
      </c>
    </row>
    <row r="56" spans="1:14" s="93" customFormat="1" ht="93" customHeight="1" x14ac:dyDescent="0.25">
      <c r="A56" s="292"/>
      <c r="B56" s="295"/>
      <c r="C56" s="298"/>
      <c r="D56" s="239" t="s">
        <v>2</v>
      </c>
      <c r="E56" s="147">
        <v>0</v>
      </c>
      <c r="F56" s="130">
        <f t="shared" ref="F56:F57" si="27">SUM(G56:K56)</f>
        <v>5244.8166000000001</v>
      </c>
      <c r="G56" s="147">
        <f>3084.45+0.07143</f>
        <v>3084.5214299999998</v>
      </c>
      <c r="H56" s="147">
        <f>2160.11359+0.18158</f>
        <v>2160.2951699999999</v>
      </c>
      <c r="I56" s="147">
        <v>0</v>
      </c>
      <c r="J56" s="147">
        <v>0</v>
      </c>
      <c r="K56" s="147">
        <v>0</v>
      </c>
      <c r="L56" s="290" t="s">
        <v>6</v>
      </c>
      <c r="M56" s="281"/>
    </row>
    <row r="57" spans="1:14" s="93" customFormat="1" ht="93" customHeight="1" x14ac:dyDescent="0.25">
      <c r="A57" s="293"/>
      <c r="B57" s="296"/>
      <c r="C57" s="299"/>
      <c r="D57" s="239" t="s">
        <v>77</v>
      </c>
      <c r="E57" s="147">
        <v>0</v>
      </c>
      <c r="F57" s="130">
        <f t="shared" si="27"/>
        <v>262.19808</v>
      </c>
      <c r="G57" s="147">
        <v>154.22300000000001</v>
      </c>
      <c r="H57" s="147">
        <f>107.97476+0.00032</f>
        <v>107.97508000000001</v>
      </c>
      <c r="I57" s="147">
        <v>0</v>
      </c>
      <c r="J57" s="147">
        <v>0</v>
      </c>
      <c r="K57" s="147">
        <v>0</v>
      </c>
      <c r="L57" s="290"/>
      <c r="M57" s="282"/>
    </row>
    <row r="58" spans="1:14" ht="18.75" x14ac:dyDescent="0.3">
      <c r="A58" s="303" t="s">
        <v>27</v>
      </c>
      <c r="B58" s="304"/>
      <c r="C58" s="304"/>
      <c r="D58" s="304"/>
      <c r="E58" s="107">
        <f>E60+E61+E63+E64+E59</f>
        <v>3227847.1787399999</v>
      </c>
      <c r="F58" s="167">
        <f>SUM(G58:K58)</f>
        <v>18523249.198830001</v>
      </c>
      <c r="G58" s="107">
        <f>G60+G61+G63+G64+G59</f>
        <v>3624687.8299700003</v>
      </c>
      <c r="H58" s="107">
        <f t="shared" ref="H58:K58" si="28">H60+H61+H63+H64+H59</f>
        <v>3794467.3535900004</v>
      </c>
      <c r="I58" s="107">
        <f t="shared" si="28"/>
        <v>3699470.9687100002</v>
      </c>
      <c r="J58" s="107">
        <f t="shared" si="28"/>
        <v>3730453.5232799998</v>
      </c>
      <c r="K58" s="107">
        <f t="shared" si="28"/>
        <v>3674169.5232799998</v>
      </c>
      <c r="L58" s="15"/>
      <c r="M58" s="16"/>
    </row>
    <row r="59" spans="1:14" ht="18.75" x14ac:dyDescent="0.3">
      <c r="A59" s="278" t="s">
        <v>66</v>
      </c>
      <c r="B59" s="279"/>
      <c r="C59" s="279"/>
      <c r="D59" s="279"/>
      <c r="E59" s="108">
        <f>E50</f>
        <v>0</v>
      </c>
      <c r="F59" s="167">
        <f t="shared" si="0"/>
        <v>15732.183400000002</v>
      </c>
      <c r="G59" s="108">
        <f t="shared" ref="G59:K59" si="29">G50</f>
        <v>9253.4785700000011</v>
      </c>
      <c r="H59" s="108">
        <f t="shared" si="29"/>
        <v>6478.7048299999997</v>
      </c>
      <c r="I59" s="108">
        <f t="shared" si="29"/>
        <v>0</v>
      </c>
      <c r="J59" s="108">
        <f t="shared" si="29"/>
        <v>0</v>
      </c>
      <c r="K59" s="108">
        <f t="shared" si="29"/>
        <v>0</v>
      </c>
      <c r="L59" s="17"/>
      <c r="M59" s="58"/>
    </row>
    <row r="60" spans="1:14" ht="18.75" x14ac:dyDescent="0.3">
      <c r="A60" s="278" t="s">
        <v>2</v>
      </c>
      <c r="B60" s="279"/>
      <c r="C60" s="279"/>
      <c r="D60" s="279"/>
      <c r="E60" s="108">
        <f>E17+E30+E51</f>
        <v>1802624</v>
      </c>
      <c r="F60" s="167">
        <f t="shared" si="0"/>
        <v>10665946.98002</v>
      </c>
      <c r="G60" s="108">
        <f t="shared" ref="G60:K61" si="30">G17+G30+G51</f>
        <v>2283251.5214300002</v>
      </c>
      <c r="H60" s="108">
        <f t="shared" si="30"/>
        <v>1946382.4585899999</v>
      </c>
      <c r="I60" s="108">
        <f t="shared" si="30"/>
        <v>2166409</v>
      </c>
      <c r="J60" s="108">
        <f t="shared" si="30"/>
        <v>2151879</v>
      </c>
      <c r="K60" s="108">
        <f t="shared" si="30"/>
        <v>2118025</v>
      </c>
      <c r="L60" s="17"/>
      <c r="M60" s="58"/>
    </row>
    <row r="61" spans="1:14" ht="18.75" x14ac:dyDescent="0.3">
      <c r="A61" s="278" t="s">
        <v>78</v>
      </c>
      <c r="B61" s="279"/>
      <c r="C61" s="279"/>
      <c r="D61" s="279"/>
      <c r="E61" s="109">
        <f>E18+E31+E52</f>
        <v>1149332.5313599999</v>
      </c>
      <c r="F61" s="167">
        <f t="shared" si="0"/>
        <v>7359700.0976599995</v>
      </c>
      <c r="G61" s="109">
        <f t="shared" si="30"/>
        <v>1270356.0380500003</v>
      </c>
      <c r="H61" s="109">
        <f t="shared" si="30"/>
        <v>1752167.58418</v>
      </c>
      <c r="I61" s="109">
        <f t="shared" si="30"/>
        <v>1423084.4554300001</v>
      </c>
      <c r="J61" s="109">
        <f t="shared" si="30"/>
        <v>1468261.01</v>
      </c>
      <c r="K61" s="109">
        <f t="shared" si="30"/>
        <v>1445831.01</v>
      </c>
      <c r="L61" s="17"/>
      <c r="M61" s="58"/>
    </row>
    <row r="62" spans="1:14" ht="18.75" x14ac:dyDescent="0.3">
      <c r="A62" s="278" t="s">
        <v>118</v>
      </c>
      <c r="B62" s="279"/>
      <c r="C62" s="279"/>
      <c r="D62" s="279"/>
      <c r="E62" s="109">
        <f>E32</f>
        <v>184994.723</v>
      </c>
      <c r="F62" s="167">
        <f t="shared" si="0"/>
        <v>1997383.416</v>
      </c>
      <c r="G62" s="109">
        <f t="shared" ref="G62:K64" si="31">G32</f>
        <v>260556.948</v>
      </c>
      <c r="H62" s="109">
        <f t="shared" si="31"/>
        <v>432829.16700000002</v>
      </c>
      <c r="I62" s="109">
        <f t="shared" si="31"/>
        <v>434665.76699999999</v>
      </c>
      <c r="J62" s="109">
        <f t="shared" si="31"/>
        <v>434665.76699999999</v>
      </c>
      <c r="K62" s="109">
        <f t="shared" si="31"/>
        <v>434665.76699999999</v>
      </c>
      <c r="L62" s="17"/>
      <c r="M62" s="58"/>
    </row>
    <row r="63" spans="1:14" ht="18.75" x14ac:dyDescent="0.3">
      <c r="A63" s="278" t="s">
        <v>25</v>
      </c>
      <c r="B63" s="279"/>
      <c r="C63" s="279"/>
      <c r="D63" s="279"/>
      <c r="E63" s="109">
        <f>E33</f>
        <v>56075.205379999999</v>
      </c>
      <c r="F63" s="167">
        <f t="shared" si="0"/>
        <v>374592.27174999996</v>
      </c>
      <c r="G63" s="109">
        <f t="shared" si="31"/>
        <v>40434.160920000002</v>
      </c>
      <c r="H63" s="109">
        <f t="shared" si="31"/>
        <v>68047.759989999991</v>
      </c>
      <c r="I63" s="109">
        <f t="shared" si="31"/>
        <v>88479.45027999999</v>
      </c>
      <c r="J63" s="109">
        <f t="shared" si="31"/>
        <v>88815.45027999999</v>
      </c>
      <c r="K63" s="109">
        <f t="shared" si="31"/>
        <v>88815.45027999999</v>
      </c>
      <c r="L63" s="17"/>
      <c r="M63" s="58"/>
    </row>
    <row r="64" spans="1:14" ht="19.5" thickBot="1" x14ac:dyDescent="0.35">
      <c r="A64" s="335" t="s">
        <v>32</v>
      </c>
      <c r="B64" s="336"/>
      <c r="C64" s="336"/>
      <c r="D64" s="336"/>
      <c r="E64" s="118">
        <f>E34</f>
        <v>219815.44200000001</v>
      </c>
      <c r="F64" s="167">
        <f t="shared" si="0"/>
        <v>107277.66599999998</v>
      </c>
      <c r="G64" s="118">
        <f t="shared" si="31"/>
        <v>21392.631000000001</v>
      </c>
      <c r="H64" s="118">
        <f t="shared" si="31"/>
        <v>21390.845999999998</v>
      </c>
      <c r="I64" s="118">
        <f t="shared" si="31"/>
        <v>21498.062999999998</v>
      </c>
      <c r="J64" s="118">
        <f t="shared" si="31"/>
        <v>21498.062999999998</v>
      </c>
      <c r="K64" s="118">
        <f t="shared" si="31"/>
        <v>21498.062999999998</v>
      </c>
      <c r="L64" s="42"/>
      <c r="M64" s="43"/>
    </row>
    <row r="65" spans="2:12" x14ac:dyDescent="0.25">
      <c r="I65" s="110"/>
      <c r="J65" s="111"/>
      <c r="K65" s="111"/>
    </row>
    <row r="66" spans="2:12" ht="18.75" x14ac:dyDescent="0.3">
      <c r="B66" s="308" t="s">
        <v>120</v>
      </c>
      <c r="C66" s="309"/>
      <c r="D66" s="309"/>
      <c r="E66" s="112">
        <v>0</v>
      </c>
      <c r="F66" s="119">
        <f>SUM(G66:K66)</f>
        <v>87001.052770000009</v>
      </c>
      <c r="G66" s="112">
        <f>17209-3871+G20-1404.37335-30.175-169.01504-1000-94.715-156.09-2808.19584</f>
        <v>31675.435770000004</v>
      </c>
      <c r="H66" s="112">
        <f>13338-3867.026+5840.643</f>
        <v>15311.617</v>
      </c>
      <c r="I66" s="112">
        <v>13338</v>
      </c>
      <c r="J66" s="112">
        <v>13338</v>
      </c>
      <c r="K66" s="112">
        <v>13338</v>
      </c>
      <c r="L66" s="18"/>
    </row>
    <row r="67" spans="2:12" ht="18.75" x14ac:dyDescent="0.3">
      <c r="B67" s="308" t="s">
        <v>36</v>
      </c>
      <c r="C67" s="309"/>
      <c r="D67" s="309"/>
      <c r="E67" s="112">
        <v>0</v>
      </c>
      <c r="F67" s="119">
        <f t="shared" ref="F67:F77" si="32">SUM(G67:K67)</f>
        <v>41000</v>
      </c>
      <c r="G67" s="112">
        <f>G19</f>
        <v>41000</v>
      </c>
      <c r="H67" s="112">
        <f t="shared" ref="H67:K67" si="33">H19</f>
        <v>0</v>
      </c>
      <c r="I67" s="112">
        <f t="shared" si="33"/>
        <v>0</v>
      </c>
      <c r="J67" s="112">
        <f t="shared" si="33"/>
        <v>0</v>
      </c>
      <c r="K67" s="112">
        <f t="shared" si="33"/>
        <v>0</v>
      </c>
      <c r="L67" s="18"/>
    </row>
    <row r="68" spans="2:12" ht="18.75" x14ac:dyDescent="0.3">
      <c r="B68" s="300" t="s">
        <v>37</v>
      </c>
      <c r="C68" s="301"/>
      <c r="D68" s="301"/>
      <c r="E68" s="113">
        <f t="shared" ref="E68" si="34">SUM(E66:E67)</f>
        <v>0</v>
      </c>
      <c r="F68" s="119">
        <f t="shared" si="32"/>
        <v>128001.05277000001</v>
      </c>
      <c r="G68" s="113">
        <f>SUM(G66:G67)</f>
        <v>72675.435770000011</v>
      </c>
      <c r="H68" s="113">
        <f t="shared" ref="H68:K68" si="35">SUM(H66:H67)</f>
        <v>15311.617</v>
      </c>
      <c r="I68" s="113">
        <f t="shared" si="35"/>
        <v>13338</v>
      </c>
      <c r="J68" s="113">
        <f t="shared" si="35"/>
        <v>13338</v>
      </c>
      <c r="K68" s="113">
        <f t="shared" si="35"/>
        <v>13338</v>
      </c>
      <c r="L68" s="18"/>
    </row>
    <row r="69" spans="2:12" ht="18.75" x14ac:dyDescent="0.3">
      <c r="B69" s="308" t="s">
        <v>121</v>
      </c>
      <c r="C69" s="309"/>
      <c r="D69" s="309"/>
      <c r="E69" s="112">
        <v>0</v>
      </c>
      <c r="F69" s="119">
        <f t="shared" si="32"/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8"/>
    </row>
    <row r="70" spans="2:12" ht="18.75" x14ac:dyDescent="0.3">
      <c r="B70" s="308" t="s">
        <v>122</v>
      </c>
      <c r="C70" s="309"/>
      <c r="D70" s="309"/>
      <c r="E70" s="112">
        <v>4755</v>
      </c>
      <c r="F70" s="119">
        <f t="shared" si="32"/>
        <v>29206</v>
      </c>
      <c r="G70" s="112">
        <f>6210-544</f>
        <v>5666</v>
      </c>
      <c r="H70" s="112">
        <v>5885</v>
      </c>
      <c r="I70" s="112">
        <v>5885</v>
      </c>
      <c r="J70" s="112">
        <v>5885</v>
      </c>
      <c r="K70" s="112">
        <v>5885</v>
      </c>
      <c r="L70" s="18"/>
    </row>
    <row r="71" spans="2:12" ht="18.75" x14ac:dyDescent="0.3">
      <c r="B71" s="300" t="s">
        <v>123</v>
      </c>
      <c r="C71" s="301"/>
      <c r="D71" s="301"/>
      <c r="E71" s="113">
        <f t="shared" ref="E71" si="36">SUM(E69:E70)</f>
        <v>4755</v>
      </c>
      <c r="F71" s="119">
        <f t="shared" si="32"/>
        <v>29206</v>
      </c>
      <c r="G71" s="113">
        <f>SUM(G69:G70)</f>
        <v>5666</v>
      </c>
      <c r="H71" s="113">
        <f t="shared" ref="H71:K71" si="37">SUM(H69:H70)</f>
        <v>5885</v>
      </c>
      <c r="I71" s="113">
        <f t="shared" si="37"/>
        <v>5885</v>
      </c>
      <c r="J71" s="113">
        <f t="shared" si="37"/>
        <v>5885</v>
      </c>
      <c r="K71" s="113">
        <f t="shared" si="37"/>
        <v>5885</v>
      </c>
      <c r="L71" s="18"/>
    </row>
    <row r="72" spans="2:12" ht="18.75" x14ac:dyDescent="0.3">
      <c r="B72" s="308" t="s">
        <v>124</v>
      </c>
      <c r="C72" s="309"/>
      <c r="D72" s="309"/>
      <c r="E72" s="112">
        <f t="shared" ref="E72" si="38">E61-E66-E69</f>
        <v>1149332.5313599999</v>
      </c>
      <c r="F72" s="119">
        <f t="shared" si="32"/>
        <v>7272699.0448899996</v>
      </c>
      <c r="G72" s="112">
        <f>G61-G66-G69</f>
        <v>1238680.6022800002</v>
      </c>
      <c r="H72" s="112">
        <f>H61-H66-H69</f>
        <v>1736855.9671799999</v>
      </c>
      <c r="I72" s="112">
        <f t="shared" ref="I72:K72" si="39">I61-I66-I69</f>
        <v>1409746.4554300001</v>
      </c>
      <c r="J72" s="112">
        <f>J61-J66-J69</f>
        <v>1454923.01</v>
      </c>
      <c r="K72" s="112">
        <f t="shared" si="39"/>
        <v>1432493.01</v>
      </c>
      <c r="L72" s="18"/>
    </row>
    <row r="73" spans="2:12" ht="18.75" x14ac:dyDescent="0.3">
      <c r="B73" s="308" t="s">
        <v>144</v>
      </c>
      <c r="C73" s="309"/>
      <c r="D73" s="310"/>
      <c r="E73" s="112">
        <f>E59</f>
        <v>0</v>
      </c>
      <c r="F73" s="119">
        <f t="shared" si="32"/>
        <v>15732.183400000002</v>
      </c>
      <c r="G73" s="112">
        <f>G59</f>
        <v>9253.4785700000011</v>
      </c>
      <c r="H73" s="112">
        <f t="shared" ref="H73:K73" si="40">H59</f>
        <v>6478.7048299999997</v>
      </c>
      <c r="I73" s="112">
        <f t="shared" si="40"/>
        <v>0</v>
      </c>
      <c r="J73" s="112">
        <f t="shared" si="40"/>
        <v>0</v>
      </c>
      <c r="K73" s="112">
        <f t="shared" si="40"/>
        <v>0</v>
      </c>
      <c r="L73" s="18"/>
    </row>
    <row r="74" spans="2:12" ht="18.75" x14ac:dyDescent="0.3">
      <c r="B74" s="308" t="s">
        <v>40</v>
      </c>
      <c r="C74" s="309"/>
      <c r="D74" s="309"/>
      <c r="E74" s="112">
        <f>E60-E67-E70</f>
        <v>1797869</v>
      </c>
      <c r="F74" s="119">
        <f t="shared" si="32"/>
        <v>10595740.98002</v>
      </c>
      <c r="G74" s="112">
        <f>G60-G67-G70</f>
        <v>2236585.5214300002</v>
      </c>
      <c r="H74" s="112">
        <f>H60-H67-H70</f>
        <v>1940497.4585899999</v>
      </c>
      <c r="I74" s="112">
        <f>I60-I67-I70</f>
        <v>2160524</v>
      </c>
      <c r="J74" s="112">
        <f>J60-J67-J70</f>
        <v>2145994</v>
      </c>
      <c r="K74" s="112">
        <f>K60-K67-K70</f>
        <v>2112140</v>
      </c>
      <c r="L74" s="18"/>
    </row>
    <row r="75" spans="2:12" ht="18.75" x14ac:dyDescent="0.3">
      <c r="B75" s="306" t="s">
        <v>25</v>
      </c>
      <c r="C75" s="307"/>
      <c r="D75" s="307"/>
      <c r="E75" s="112">
        <f>E63</f>
        <v>56075.205379999999</v>
      </c>
      <c r="F75" s="119">
        <f t="shared" si="32"/>
        <v>374592.27174999996</v>
      </c>
      <c r="G75" s="112">
        <f t="shared" ref="G75:K76" si="41">G63</f>
        <v>40434.160920000002</v>
      </c>
      <c r="H75" s="112">
        <f t="shared" si="41"/>
        <v>68047.759989999991</v>
      </c>
      <c r="I75" s="112">
        <f t="shared" si="41"/>
        <v>88479.45027999999</v>
      </c>
      <c r="J75" s="112">
        <f t="shared" si="41"/>
        <v>88815.45027999999</v>
      </c>
      <c r="K75" s="112">
        <f t="shared" si="41"/>
        <v>88815.45027999999</v>
      </c>
      <c r="L75" s="18"/>
    </row>
    <row r="76" spans="2:12" ht="18.75" x14ac:dyDescent="0.3">
      <c r="B76" s="306" t="s">
        <v>32</v>
      </c>
      <c r="C76" s="307"/>
      <c r="D76" s="307"/>
      <c r="E76" s="112">
        <f>E64</f>
        <v>219815.44200000001</v>
      </c>
      <c r="F76" s="119">
        <f t="shared" si="32"/>
        <v>107277.66599999998</v>
      </c>
      <c r="G76" s="112">
        <f t="shared" si="41"/>
        <v>21392.631000000001</v>
      </c>
      <c r="H76" s="112">
        <f t="shared" si="41"/>
        <v>21390.845999999998</v>
      </c>
      <c r="I76" s="112">
        <f t="shared" si="41"/>
        <v>21498.062999999998</v>
      </c>
      <c r="J76" s="112">
        <f t="shared" si="41"/>
        <v>21498.062999999998</v>
      </c>
      <c r="K76" s="112">
        <f t="shared" si="41"/>
        <v>21498.062999999998</v>
      </c>
      <c r="L76" s="18"/>
    </row>
    <row r="77" spans="2:12" ht="18.75" x14ac:dyDescent="0.3">
      <c r="B77" s="300" t="s">
        <v>41</v>
      </c>
      <c r="C77" s="301"/>
      <c r="D77" s="301"/>
      <c r="E77" s="113">
        <f>SUM(E72:E76)</f>
        <v>3223092.1787399999</v>
      </c>
      <c r="F77" s="119">
        <f t="shared" si="32"/>
        <v>18366042.146060001</v>
      </c>
      <c r="G77" s="113">
        <f>SUM(G72:G76)</f>
        <v>3546346.3942000004</v>
      </c>
      <c r="H77" s="123">
        <f>SUM(H72:H76)</f>
        <v>3773270.7365899999</v>
      </c>
      <c r="I77" s="122">
        <f>SUM(I72:I76)</f>
        <v>3680247.9687100002</v>
      </c>
      <c r="J77" s="113">
        <f>SUM(J72:J76)</f>
        <v>3711230.5232799998</v>
      </c>
      <c r="K77" s="113">
        <f>SUM(K72:K76)</f>
        <v>3654946.5232799998</v>
      </c>
      <c r="L77" s="18"/>
    </row>
    <row r="78" spans="2:12" x14ac:dyDescent="0.25">
      <c r="E78" s="12"/>
      <c r="F78" s="19"/>
      <c r="G78" s="12"/>
      <c r="H78" s="91"/>
      <c r="I78" s="20"/>
      <c r="J78" s="14"/>
      <c r="K78" s="14"/>
    </row>
    <row r="79" spans="2:12" ht="15.75" x14ac:dyDescent="0.25">
      <c r="E79" s="21"/>
      <c r="F79" s="224">
        <f>F68+F71+F77</f>
        <v>18523249.198830001</v>
      </c>
      <c r="G79" s="225">
        <f t="shared" ref="G79:K79" si="42">G68+G71+G77</f>
        <v>3624687.8299700003</v>
      </c>
      <c r="H79" s="225">
        <f t="shared" si="42"/>
        <v>3794467.35359</v>
      </c>
      <c r="I79" s="225">
        <f t="shared" si="42"/>
        <v>3699470.9687100002</v>
      </c>
      <c r="J79" s="225">
        <f t="shared" si="42"/>
        <v>3730453.5232799998</v>
      </c>
      <c r="K79" s="225">
        <f t="shared" si="42"/>
        <v>3674169.5232799998</v>
      </c>
    </row>
    <row r="80" spans="2:12" ht="15.75" x14ac:dyDescent="0.25">
      <c r="F80" s="19"/>
      <c r="G80" s="12"/>
      <c r="H80" s="92"/>
      <c r="I80" s="20"/>
      <c r="J80" s="12"/>
      <c r="K80" s="12"/>
    </row>
    <row r="81" spans="5:11" ht="15.75" x14ac:dyDescent="0.25">
      <c r="G81" s="12"/>
      <c r="H81" s="92"/>
      <c r="I81" s="20"/>
      <c r="J81" s="12"/>
      <c r="K81" s="12"/>
    </row>
    <row r="82" spans="5:11" ht="15.75" x14ac:dyDescent="0.25">
      <c r="H82" s="92"/>
      <c r="I82" s="92"/>
      <c r="J82" s="92"/>
    </row>
    <row r="83" spans="5:11" x14ac:dyDescent="0.25">
      <c r="G83" s="12"/>
      <c r="H83" s="91"/>
      <c r="I83" s="20"/>
      <c r="J83" s="12"/>
      <c r="K83" s="12"/>
    </row>
    <row r="84" spans="5:11" x14ac:dyDescent="0.25">
      <c r="G84" s="111"/>
    </row>
    <row r="90" spans="5:11" x14ac:dyDescent="0.25">
      <c r="E90" s="12"/>
      <c r="F90" s="19"/>
      <c r="G90" s="12"/>
      <c r="H90" s="91"/>
      <c r="I90" s="20"/>
      <c r="J90" s="12"/>
      <c r="K90" s="12"/>
    </row>
    <row r="92" spans="5:11" x14ac:dyDescent="0.25">
      <c r="H92" s="91"/>
    </row>
    <row r="93" spans="5:11" x14ac:dyDescent="0.25">
      <c r="H93" s="91"/>
    </row>
  </sheetData>
  <sheetProtection formatCells="0" formatColumns="0" formatRows="0" insertColumns="0" insertRows="0" insertHyperlinks="0" deleteColumns="0" deleteRows="0" sort="0" autoFilter="0" pivotTables="0"/>
  <mergeCells count="97">
    <mergeCell ref="B47:B48"/>
    <mergeCell ref="A47:A48"/>
    <mergeCell ref="C47:C48"/>
    <mergeCell ref="L47:L48"/>
    <mergeCell ref="M47:M48"/>
    <mergeCell ref="C40:C43"/>
    <mergeCell ref="A29:A34"/>
    <mergeCell ref="B69:D69"/>
    <mergeCell ref="B70:D70"/>
    <mergeCell ref="B53:B54"/>
    <mergeCell ref="C53:C54"/>
    <mergeCell ref="B29:B34"/>
    <mergeCell ref="A49:A52"/>
    <mergeCell ref="B49:B52"/>
    <mergeCell ref="B68:D68"/>
    <mergeCell ref="B66:D66"/>
    <mergeCell ref="B67:D67"/>
    <mergeCell ref="A64:D64"/>
    <mergeCell ref="A63:D63"/>
    <mergeCell ref="A62:D62"/>
    <mergeCell ref="A60:D60"/>
    <mergeCell ref="L21:L22"/>
    <mergeCell ref="A10:A13"/>
    <mergeCell ref="B10:B13"/>
    <mergeCell ref="A15:M15"/>
    <mergeCell ref="C10:C13"/>
    <mergeCell ref="L10:L13"/>
    <mergeCell ref="E10:E13"/>
    <mergeCell ref="D10:D13"/>
    <mergeCell ref="G10:K12"/>
    <mergeCell ref="A23:A24"/>
    <mergeCell ref="B23:B24"/>
    <mergeCell ref="C23:C24"/>
    <mergeCell ref="A21:A22"/>
    <mergeCell ref="B21:B22"/>
    <mergeCell ref="C21:C22"/>
    <mergeCell ref="B25:B26"/>
    <mergeCell ref="C25:C26"/>
    <mergeCell ref="M25:M28"/>
    <mergeCell ref="A27:A28"/>
    <mergeCell ref="B27:B28"/>
    <mergeCell ref="C27:C28"/>
    <mergeCell ref="M40:M43"/>
    <mergeCell ref="F10:F13"/>
    <mergeCell ref="E6:H6"/>
    <mergeCell ref="K6:M6"/>
    <mergeCell ref="M10:M13"/>
    <mergeCell ref="B8:M8"/>
    <mergeCell ref="M21:M22"/>
    <mergeCell ref="L23:L24"/>
    <mergeCell ref="M29:M34"/>
    <mergeCell ref="C29:C34"/>
    <mergeCell ref="L35:L36"/>
    <mergeCell ref="M35:M36"/>
    <mergeCell ref="L29:L34"/>
    <mergeCell ref="L25:L26"/>
    <mergeCell ref="M23:M24"/>
    <mergeCell ref="L27:L28"/>
    <mergeCell ref="G9:M9"/>
    <mergeCell ref="L16:L18"/>
    <mergeCell ref="M16:M18"/>
    <mergeCell ref="A19:A20"/>
    <mergeCell ref="B19:B20"/>
    <mergeCell ref="C19:C20"/>
    <mergeCell ref="B16:B18"/>
    <mergeCell ref="L19:L20"/>
    <mergeCell ref="M19:M20"/>
    <mergeCell ref="C16:C18"/>
    <mergeCell ref="A16:A18"/>
    <mergeCell ref="B77:D77"/>
    <mergeCell ref="B75:D75"/>
    <mergeCell ref="B76:D76"/>
    <mergeCell ref="B74:D74"/>
    <mergeCell ref="B72:D72"/>
    <mergeCell ref="B73:D73"/>
    <mergeCell ref="B71:D71"/>
    <mergeCell ref="L49:L52"/>
    <mergeCell ref="A58:D58"/>
    <mergeCell ref="A53:A54"/>
    <mergeCell ref="C49:C52"/>
    <mergeCell ref="A59:D59"/>
    <mergeCell ref="L40:L43"/>
    <mergeCell ref="A61:D61"/>
    <mergeCell ref="M55:M57"/>
    <mergeCell ref="A40:A43"/>
    <mergeCell ref="A25:A26"/>
    <mergeCell ref="M49:M52"/>
    <mergeCell ref="M53:M54"/>
    <mergeCell ref="A35:A36"/>
    <mergeCell ref="B35:B36"/>
    <mergeCell ref="C35:C36"/>
    <mergeCell ref="B40:B43"/>
    <mergeCell ref="L56:L57"/>
    <mergeCell ref="A55:A57"/>
    <mergeCell ref="B55:B57"/>
    <mergeCell ref="C55:C57"/>
    <mergeCell ref="L53:L54"/>
  </mergeCells>
  <pageMargins left="0.19685039370078741" right="0.19685039370078741" top="0.59055118110236227" bottom="0.19685039370078741" header="0.39370078740157483" footer="0"/>
  <pageSetup paperSize="9" scale="44" fitToHeight="0" orientation="landscape" r:id="rId1"/>
  <headerFooter differentFirst="1" alignWithMargins="0">
    <oddHeader>&amp;C&amp;"Times New Roman,обычный"&amp;12&amp;K000000&amp;P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O115"/>
  <sheetViews>
    <sheetView view="pageBreakPreview" topLeftCell="A65" zoomScale="70" zoomScaleNormal="70" zoomScaleSheetLayoutView="70" workbookViewId="0">
      <selection activeCell="M91" sqref="A1:M91"/>
    </sheetView>
  </sheetViews>
  <sheetFormatPr defaultColWidth="9.140625" defaultRowHeight="15" x14ac:dyDescent="0.25"/>
  <cols>
    <col min="1" max="1" width="9.140625" style="2"/>
    <col min="2" max="2" width="69" style="2" customWidth="1"/>
    <col min="3" max="3" width="17.85546875" style="2" customWidth="1"/>
    <col min="4" max="4" width="30.85546875" style="2" customWidth="1"/>
    <col min="5" max="5" width="20.5703125" style="2" hidden="1" customWidth="1"/>
    <col min="6" max="6" width="22.140625" style="22" customWidth="1"/>
    <col min="7" max="7" width="20.140625" style="2" customWidth="1"/>
    <col min="8" max="9" width="20.140625" style="93" customWidth="1"/>
    <col min="10" max="11" width="20.140625" style="2" customWidth="1"/>
    <col min="12" max="12" width="21.140625" style="2" customWidth="1"/>
    <col min="13" max="13" width="50" style="2" customWidth="1"/>
    <col min="14" max="14" width="11.85546875" style="2" customWidth="1"/>
    <col min="15" max="16384" width="9.140625" style="2"/>
  </cols>
  <sheetData>
    <row r="1" spans="1:14" ht="15.75" customHeight="1" thickBot="1" x14ac:dyDescent="0.3">
      <c r="A1" s="1"/>
      <c r="B1" s="3"/>
      <c r="C1" s="4"/>
      <c r="D1" s="5"/>
      <c r="E1" s="5"/>
      <c r="F1" s="24"/>
      <c r="G1" s="6"/>
      <c r="H1" s="89"/>
      <c r="I1" s="89"/>
      <c r="J1" s="6"/>
      <c r="K1" s="6"/>
      <c r="L1" s="103"/>
      <c r="M1" s="103"/>
    </row>
    <row r="2" spans="1:14" ht="15" customHeight="1" x14ac:dyDescent="0.25">
      <c r="A2" s="386" t="s">
        <v>7</v>
      </c>
      <c r="B2" s="384" t="s">
        <v>8</v>
      </c>
      <c r="C2" s="384" t="s">
        <v>81</v>
      </c>
      <c r="D2" s="384" t="s">
        <v>9</v>
      </c>
      <c r="E2" s="384" t="s">
        <v>70</v>
      </c>
      <c r="F2" s="388" t="s">
        <v>10</v>
      </c>
      <c r="G2" s="392" t="s">
        <v>24</v>
      </c>
      <c r="H2" s="392"/>
      <c r="I2" s="392"/>
      <c r="J2" s="392"/>
      <c r="K2" s="392"/>
      <c r="L2" s="380" t="s">
        <v>11</v>
      </c>
      <c r="M2" s="390" t="s">
        <v>4</v>
      </c>
    </row>
    <row r="3" spans="1:14" x14ac:dyDescent="0.25">
      <c r="A3" s="387"/>
      <c r="B3" s="385"/>
      <c r="C3" s="385"/>
      <c r="D3" s="385"/>
      <c r="E3" s="385"/>
      <c r="F3" s="389"/>
      <c r="G3" s="393"/>
      <c r="H3" s="393"/>
      <c r="I3" s="393"/>
      <c r="J3" s="393"/>
      <c r="K3" s="393"/>
      <c r="L3" s="381"/>
      <c r="M3" s="391"/>
    </row>
    <row r="4" spans="1:14" ht="45.75" customHeight="1" x14ac:dyDescent="0.25">
      <c r="A4" s="387"/>
      <c r="B4" s="385"/>
      <c r="C4" s="385"/>
      <c r="D4" s="385"/>
      <c r="E4" s="385"/>
      <c r="F4" s="389"/>
      <c r="G4" s="230" t="s">
        <v>57</v>
      </c>
      <c r="H4" s="230" t="s">
        <v>58</v>
      </c>
      <c r="I4" s="230" t="s">
        <v>71</v>
      </c>
      <c r="J4" s="230" t="s">
        <v>72</v>
      </c>
      <c r="K4" s="230" t="s">
        <v>73</v>
      </c>
      <c r="L4" s="381"/>
      <c r="M4" s="391"/>
    </row>
    <row r="5" spans="1:14" ht="17.25" customHeight="1" x14ac:dyDescent="0.25">
      <c r="A5" s="229" t="s">
        <v>18</v>
      </c>
      <c r="B5" s="90">
        <v>2</v>
      </c>
      <c r="C5" s="90" t="s">
        <v>12</v>
      </c>
      <c r="D5" s="90" t="s">
        <v>56</v>
      </c>
      <c r="E5" s="90" t="s">
        <v>13</v>
      </c>
      <c r="F5" s="10" t="s">
        <v>13</v>
      </c>
      <c r="G5" s="90" t="s">
        <v>53</v>
      </c>
      <c r="H5" s="90" t="s">
        <v>14</v>
      </c>
      <c r="I5" s="90" t="s">
        <v>54</v>
      </c>
      <c r="J5" s="90" t="s">
        <v>15</v>
      </c>
      <c r="K5" s="90" t="s">
        <v>16</v>
      </c>
      <c r="L5" s="90" t="s">
        <v>19</v>
      </c>
      <c r="M5" s="146" t="s">
        <v>20</v>
      </c>
    </row>
    <row r="6" spans="1:14" ht="10.5" hidden="1" customHeight="1" x14ac:dyDescent="0.25">
      <c r="A6" s="382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83"/>
    </row>
    <row r="7" spans="1:14" s="25" customFormat="1" ht="25.5" customHeight="1" x14ac:dyDescent="0.25">
      <c r="A7" s="374" t="s">
        <v>140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</row>
    <row r="8" spans="1:14" s="93" customFormat="1" ht="18.75" x14ac:dyDescent="0.25">
      <c r="A8" s="377" t="s">
        <v>18</v>
      </c>
      <c r="B8" s="401" t="s">
        <v>188</v>
      </c>
      <c r="C8" s="401" t="s">
        <v>74</v>
      </c>
      <c r="D8" s="256" t="s">
        <v>5</v>
      </c>
      <c r="E8" s="106">
        <f>SUM(E10:E14)</f>
        <v>4225099.1168600004</v>
      </c>
      <c r="F8" s="120">
        <f>SUM(G8:K8)</f>
        <v>24914898.770259999</v>
      </c>
      <c r="G8" s="106">
        <f>SUM(G9:G14)-G12</f>
        <v>4853586.8967700005</v>
      </c>
      <c r="H8" s="106">
        <f t="shared" ref="H8:K8" si="0">SUM(H9:H14)-H12</f>
        <v>5366427.9251299994</v>
      </c>
      <c r="I8" s="106">
        <f t="shared" si="0"/>
        <v>4905905.3147799997</v>
      </c>
      <c r="J8" s="106">
        <f t="shared" si="0"/>
        <v>4894489.3167900005</v>
      </c>
      <c r="K8" s="106">
        <f t="shared" si="0"/>
        <v>4894489.3167900005</v>
      </c>
      <c r="L8" s="375"/>
      <c r="M8" s="376"/>
    </row>
    <row r="9" spans="1:14" s="93" customFormat="1" ht="39" customHeight="1" x14ac:dyDescent="0.25">
      <c r="A9" s="377"/>
      <c r="B9" s="401"/>
      <c r="C9" s="401"/>
      <c r="D9" s="256" t="s">
        <v>66</v>
      </c>
      <c r="E9" s="162">
        <f>E28</f>
        <v>0</v>
      </c>
      <c r="F9" s="120">
        <f>SUM(G9:K9)</f>
        <v>606966</v>
      </c>
      <c r="G9" s="162">
        <f t="shared" ref="G9:K9" si="1">G28</f>
        <v>46690</v>
      </c>
      <c r="H9" s="162">
        <f t="shared" si="1"/>
        <v>140069</v>
      </c>
      <c r="I9" s="162">
        <f t="shared" si="1"/>
        <v>140069</v>
      </c>
      <c r="J9" s="162">
        <f t="shared" si="1"/>
        <v>140069</v>
      </c>
      <c r="K9" s="162">
        <f t="shared" si="1"/>
        <v>140069</v>
      </c>
      <c r="L9" s="375"/>
      <c r="M9" s="376"/>
    </row>
    <row r="10" spans="1:14" s="93" customFormat="1" ht="39.75" customHeight="1" x14ac:dyDescent="0.25">
      <c r="A10" s="377"/>
      <c r="B10" s="401"/>
      <c r="C10" s="401"/>
      <c r="D10" s="256" t="s">
        <v>2</v>
      </c>
      <c r="E10" s="162">
        <f>E15+E16+E29+E31</f>
        <v>3242446</v>
      </c>
      <c r="F10" s="120">
        <f t="shared" ref="F10:F11" si="2">SUM(G10:K10)</f>
        <v>17992119.699999999</v>
      </c>
      <c r="G10" s="162">
        <f>G15+G16+G29+G31+G22+G17</f>
        <v>3536833</v>
      </c>
      <c r="H10" s="162">
        <f>H15+H16+H29+H31+H22+H17</f>
        <v>3954425.6999999997</v>
      </c>
      <c r="I10" s="162">
        <f t="shared" ref="I10:K10" si="3">I15+I16+I29+I31+I22+I17</f>
        <v>3500287</v>
      </c>
      <c r="J10" s="162">
        <f t="shared" si="3"/>
        <v>3500287</v>
      </c>
      <c r="K10" s="162">
        <f t="shared" si="3"/>
        <v>3500287</v>
      </c>
      <c r="L10" s="375"/>
      <c r="M10" s="376"/>
    </row>
    <row r="11" spans="1:14" s="93" customFormat="1" ht="58.5" customHeight="1" x14ac:dyDescent="0.25">
      <c r="A11" s="377"/>
      <c r="B11" s="401"/>
      <c r="C11" s="401"/>
      <c r="D11" s="256" t="s">
        <v>78</v>
      </c>
      <c r="E11" s="162">
        <f>E18+E23+E24+E25+E26+E27+E30+E32</f>
        <v>711549.13716000004</v>
      </c>
      <c r="F11" s="120">
        <f t="shared" si="2"/>
        <v>4962281.2442000005</v>
      </c>
      <c r="G11" s="162">
        <f>G18+G23+G24+G25+G26+G27+G30+G32</f>
        <v>1064676.5543900002</v>
      </c>
      <c r="H11" s="162">
        <f t="shared" ref="H11:K11" si="4">H18+H23+H24+H25+H26+H27+H30+H32</f>
        <v>1000117.33282</v>
      </c>
      <c r="I11" s="162">
        <f t="shared" si="4"/>
        <v>963123.25099000009</v>
      </c>
      <c r="J11" s="162">
        <f t="shared" si="4"/>
        <v>967182.05300000007</v>
      </c>
      <c r="K11" s="162">
        <f t="shared" si="4"/>
        <v>967182.05300000007</v>
      </c>
      <c r="L11" s="375"/>
      <c r="M11" s="376"/>
    </row>
    <row r="12" spans="1:14" s="93" customFormat="1" ht="77.25" customHeight="1" x14ac:dyDescent="0.25">
      <c r="A12" s="377"/>
      <c r="B12" s="401"/>
      <c r="C12" s="401"/>
      <c r="D12" s="256" t="s">
        <v>118</v>
      </c>
      <c r="E12" s="162">
        <f>E19</f>
        <v>0</v>
      </c>
      <c r="F12" s="120">
        <f>SUM(G12:K12)</f>
        <v>55693.377</v>
      </c>
      <c r="G12" s="162">
        <f t="shared" ref="G12:K12" si="5">G19</f>
        <v>4822.2330000000002</v>
      </c>
      <c r="H12" s="162">
        <f t="shared" si="5"/>
        <v>14095.236000000001</v>
      </c>
      <c r="I12" s="162">
        <f t="shared" si="5"/>
        <v>12258.636</v>
      </c>
      <c r="J12" s="162">
        <f t="shared" si="5"/>
        <v>12258.636</v>
      </c>
      <c r="K12" s="162">
        <f t="shared" si="5"/>
        <v>12258.636</v>
      </c>
      <c r="L12" s="375"/>
      <c r="M12" s="376"/>
    </row>
    <row r="13" spans="1:14" s="93" customFormat="1" ht="74.25" customHeight="1" x14ac:dyDescent="0.25">
      <c r="A13" s="377"/>
      <c r="B13" s="401"/>
      <c r="C13" s="401"/>
      <c r="D13" s="243" t="s">
        <v>25</v>
      </c>
      <c r="E13" s="157">
        <f>E20</f>
        <v>262352.43170000002</v>
      </c>
      <c r="F13" s="120">
        <f t="shared" ref="F13:F84" si="6">SUM(G13:K13)</f>
        <v>1350521.7660600003</v>
      </c>
      <c r="G13" s="157">
        <f t="shared" ref="G13:K14" si="7">G20</f>
        <v>204913.88738000003</v>
      </c>
      <c r="H13" s="157">
        <f t="shared" si="7"/>
        <v>271101.32831000001</v>
      </c>
      <c r="I13" s="157">
        <f t="shared" si="7"/>
        <v>301818.71679000003</v>
      </c>
      <c r="J13" s="157">
        <f t="shared" si="7"/>
        <v>286343.91679000005</v>
      </c>
      <c r="K13" s="157">
        <f t="shared" si="7"/>
        <v>286343.91679000005</v>
      </c>
      <c r="L13" s="375"/>
      <c r="M13" s="376"/>
    </row>
    <row r="14" spans="1:14" s="93" customFormat="1" ht="60" customHeight="1" x14ac:dyDescent="0.25">
      <c r="A14" s="377"/>
      <c r="B14" s="401"/>
      <c r="C14" s="401"/>
      <c r="D14" s="243" t="s">
        <v>32</v>
      </c>
      <c r="E14" s="157">
        <f>E21</f>
        <v>8751.5480000000007</v>
      </c>
      <c r="F14" s="120">
        <f t="shared" si="6"/>
        <v>3010.0599999999995</v>
      </c>
      <c r="G14" s="157">
        <f t="shared" si="7"/>
        <v>473.45499999999998</v>
      </c>
      <c r="H14" s="157">
        <f>H21</f>
        <v>714.56399999999996</v>
      </c>
      <c r="I14" s="157">
        <f t="shared" si="7"/>
        <v>607.34699999999998</v>
      </c>
      <c r="J14" s="157">
        <f t="shared" si="7"/>
        <v>607.34699999999998</v>
      </c>
      <c r="K14" s="157">
        <f t="shared" si="7"/>
        <v>607.34699999999998</v>
      </c>
      <c r="L14" s="375"/>
      <c r="M14" s="376"/>
    </row>
    <row r="15" spans="1:14" s="93" customFormat="1" ht="232.5" customHeight="1" x14ac:dyDescent="0.25">
      <c r="A15" s="233" t="s">
        <v>43</v>
      </c>
      <c r="B15" s="251" t="s">
        <v>234</v>
      </c>
      <c r="C15" s="252" t="s">
        <v>74</v>
      </c>
      <c r="D15" s="252" t="s">
        <v>2</v>
      </c>
      <c r="E15" s="131">
        <v>2978099</v>
      </c>
      <c r="F15" s="120">
        <f t="shared" si="6"/>
        <v>16614774</v>
      </c>
      <c r="G15" s="131">
        <f>3210098+35817-26457+2141-12+72690-9295</f>
        <v>3284982</v>
      </c>
      <c r="H15" s="131">
        <f>3234579-7647+20879+401185</f>
        <v>3648996</v>
      </c>
      <c r="I15" s="131">
        <f t="shared" ref="I15:K15" si="8">3234579-7647</f>
        <v>3226932</v>
      </c>
      <c r="J15" s="131">
        <f t="shared" si="8"/>
        <v>3226932</v>
      </c>
      <c r="K15" s="131">
        <f t="shared" si="8"/>
        <v>3226932</v>
      </c>
      <c r="L15" s="253" t="s">
        <v>6</v>
      </c>
      <c r="M15" s="258" t="s">
        <v>55</v>
      </c>
      <c r="N15" s="93" t="s">
        <v>289</v>
      </c>
    </row>
    <row r="16" spans="1:14" s="93" customFormat="1" ht="197.25" customHeight="1" x14ac:dyDescent="0.25">
      <c r="A16" s="250" t="s">
        <v>44</v>
      </c>
      <c r="B16" s="251" t="s">
        <v>235</v>
      </c>
      <c r="C16" s="252" t="s">
        <v>74</v>
      </c>
      <c r="D16" s="252" t="s">
        <v>2</v>
      </c>
      <c r="E16" s="131">
        <v>264347</v>
      </c>
      <c r="F16" s="120">
        <f t="shared" si="6"/>
        <v>1356326</v>
      </c>
      <c r="G16" s="131">
        <f>198695-7084+64297-4057</f>
        <v>251851</v>
      </c>
      <c r="H16" s="131">
        <f>261340+12015-1177+12232</f>
        <v>284410</v>
      </c>
      <c r="I16" s="131">
        <f t="shared" ref="I16:K16" si="9">261340+12015</f>
        <v>273355</v>
      </c>
      <c r="J16" s="131">
        <f t="shared" si="9"/>
        <v>273355</v>
      </c>
      <c r="K16" s="131">
        <f t="shared" si="9"/>
        <v>273355</v>
      </c>
      <c r="L16" s="253" t="s">
        <v>6</v>
      </c>
      <c r="M16" s="254" t="s">
        <v>62</v>
      </c>
    </row>
    <row r="17" spans="1:14" s="93" customFormat="1" ht="37.5" x14ac:dyDescent="0.25">
      <c r="A17" s="417" t="s">
        <v>45</v>
      </c>
      <c r="B17" s="420" t="s">
        <v>236</v>
      </c>
      <c r="C17" s="364" t="s">
        <v>74</v>
      </c>
      <c r="D17" s="274" t="s">
        <v>2</v>
      </c>
      <c r="E17" s="235"/>
      <c r="F17" s="275">
        <f t="shared" si="6"/>
        <v>686.4</v>
      </c>
      <c r="G17" s="235">
        <v>0</v>
      </c>
      <c r="H17" s="235">
        <v>686.4</v>
      </c>
      <c r="I17" s="235">
        <v>0</v>
      </c>
      <c r="J17" s="235">
        <v>0</v>
      </c>
      <c r="K17" s="235">
        <v>0</v>
      </c>
      <c r="L17" s="353" t="s">
        <v>119</v>
      </c>
      <c r="M17" s="423" t="s">
        <v>137</v>
      </c>
      <c r="N17" s="93" t="s">
        <v>297</v>
      </c>
    </row>
    <row r="18" spans="1:14" s="93" customFormat="1" ht="62.25" customHeight="1" x14ac:dyDescent="0.25">
      <c r="A18" s="418"/>
      <c r="B18" s="421"/>
      <c r="C18" s="365"/>
      <c r="D18" s="252" t="s">
        <v>78</v>
      </c>
      <c r="E18" s="131">
        <f>711549.13716</f>
        <v>711549.13716000004</v>
      </c>
      <c r="F18" s="120">
        <f t="shared" si="6"/>
        <v>3515294.2971900003</v>
      </c>
      <c r="G18" s="131">
        <f>813042.768+77248+48404+50000-546+16195-4208.136-140544+551.999-38800+38800+22197.606+36148.9-2982-147146.506+680.29+G19-55085.004-10236.233-22594.977-185.59002-680.29-1120.3095-528.475-644.64-6043.49+6043.49+495.98757-732.65794-3188.29-261.55857-1200+130.5+1797.861-3567.48+600+181.2+598.401-4996.94311-4273.514-300-207.135-94.918-116.165-1692.9+130.5-35.58174+130.5</f>
        <v>666186.44169000012</v>
      </c>
      <c r="H18" s="235">
        <f>694150.73+10358+2022.403-158.20534+22400.39297+4646.48647+1180.2568+12308.26099+10648.93805-134.7-71.09335-641.68771-5840.64237+24083.303+1236.6+12307.256+44323.2-135</f>
        <v>832684.49851000006</v>
      </c>
      <c r="I18" s="131">
        <f>657054.848+10358+2022.403-0.00001</f>
        <v>669435.25099000009</v>
      </c>
      <c r="J18" s="131">
        <f>661113.65+10358+2022.403</f>
        <v>673494.05300000007</v>
      </c>
      <c r="K18" s="131">
        <f>661113.65+10358+2022.403</f>
        <v>673494.05300000007</v>
      </c>
      <c r="L18" s="355"/>
      <c r="M18" s="424"/>
      <c r="N18" s="93" t="s">
        <v>304</v>
      </c>
    </row>
    <row r="19" spans="1:14" s="93" customFormat="1" ht="78" customHeight="1" x14ac:dyDescent="0.25">
      <c r="A19" s="418"/>
      <c r="B19" s="421"/>
      <c r="C19" s="365"/>
      <c r="D19" s="252" t="s">
        <v>118</v>
      </c>
      <c r="E19" s="131">
        <v>0</v>
      </c>
      <c r="F19" s="120">
        <f t="shared" si="6"/>
        <v>55693.377</v>
      </c>
      <c r="G19" s="131">
        <f>9555.943+680.29-6414+1000</f>
        <v>4822.2330000000002</v>
      </c>
      <c r="H19" s="131">
        <f>10236.233+2022.403+600+1236.6</f>
        <v>14095.236000000001</v>
      </c>
      <c r="I19" s="131">
        <f>10236.233+2022.403</f>
        <v>12258.636</v>
      </c>
      <c r="J19" s="131">
        <f>10236.233+2022.403</f>
        <v>12258.636</v>
      </c>
      <c r="K19" s="131">
        <f>10236.233+2022.403</f>
        <v>12258.636</v>
      </c>
      <c r="L19" s="355"/>
      <c r="M19" s="424"/>
      <c r="N19" s="93" t="s">
        <v>283</v>
      </c>
    </row>
    <row r="20" spans="1:14" s="93" customFormat="1" ht="74.25" customHeight="1" x14ac:dyDescent="0.25">
      <c r="A20" s="418"/>
      <c r="B20" s="421"/>
      <c r="C20" s="365"/>
      <c r="D20" s="246" t="s">
        <v>25</v>
      </c>
      <c r="E20" s="149">
        <v>262352.43170000002</v>
      </c>
      <c r="F20" s="130">
        <f t="shared" ref="F20:F21" si="10">SUM(G20:K20)</f>
        <v>1350521.7660600003</v>
      </c>
      <c r="G20" s="149">
        <f>278507.29472+14583.509-23875.20965-37368.98325+114.8-798.99101-26919.17545+670.64302</f>
        <v>204913.88738000003</v>
      </c>
      <c r="H20" s="149">
        <f>278507.29472+14583.509+11107.25707-12894.15384-20202.57864</f>
        <v>271101.32831000001</v>
      </c>
      <c r="I20" s="149">
        <f>278507.29472+14583.509+8727.91307</f>
        <v>301818.71679000003</v>
      </c>
      <c r="J20" s="149">
        <f>278507.29472+14583.509-6746.88693</f>
        <v>286343.91679000005</v>
      </c>
      <c r="K20" s="149">
        <f>278507.29472+14583.509-6746.88693</f>
        <v>286343.91679000005</v>
      </c>
      <c r="L20" s="355"/>
      <c r="M20" s="424"/>
    </row>
    <row r="21" spans="1:14" s="93" customFormat="1" ht="60" customHeight="1" x14ac:dyDescent="0.25">
      <c r="A21" s="419"/>
      <c r="B21" s="422"/>
      <c r="C21" s="366"/>
      <c r="D21" s="246" t="s">
        <v>32</v>
      </c>
      <c r="E21" s="149">
        <v>8751.5480000000007</v>
      </c>
      <c r="F21" s="130">
        <f t="shared" si="10"/>
        <v>3010.0599999999995</v>
      </c>
      <c r="G21" s="149">
        <v>473.45499999999998</v>
      </c>
      <c r="H21" s="149">
        <f>607.347+107.217</f>
        <v>714.56399999999996</v>
      </c>
      <c r="I21" s="149">
        <v>607.34699999999998</v>
      </c>
      <c r="J21" s="149">
        <v>607.34699999999998</v>
      </c>
      <c r="K21" s="149">
        <v>607.34699999999998</v>
      </c>
      <c r="L21" s="354"/>
      <c r="M21" s="425"/>
      <c r="N21" s="125"/>
    </row>
    <row r="22" spans="1:14" s="93" customFormat="1" ht="149.25" customHeight="1" x14ac:dyDescent="0.25">
      <c r="A22" s="339" t="s">
        <v>46</v>
      </c>
      <c r="B22" s="337" t="s">
        <v>237</v>
      </c>
      <c r="C22" s="151" t="s">
        <v>184</v>
      </c>
      <c r="D22" s="246" t="s">
        <v>2</v>
      </c>
      <c r="E22" s="149"/>
      <c r="F22" s="130">
        <f t="shared" ref="F22:F26" si="11">SUM(G22:K22)</f>
        <v>20333.3</v>
      </c>
      <c r="G22" s="149">
        <v>0</v>
      </c>
      <c r="H22" s="149">
        <v>20333.3</v>
      </c>
      <c r="I22" s="149">
        <v>0</v>
      </c>
      <c r="J22" s="149">
        <v>0</v>
      </c>
      <c r="K22" s="149">
        <v>0</v>
      </c>
      <c r="L22" s="343" t="s">
        <v>6</v>
      </c>
      <c r="M22" s="345" t="s">
        <v>279</v>
      </c>
      <c r="N22" s="125"/>
    </row>
    <row r="23" spans="1:14" s="93" customFormat="1" ht="149.25" customHeight="1" x14ac:dyDescent="0.25">
      <c r="A23" s="340"/>
      <c r="B23" s="338"/>
      <c r="C23" s="248" t="s">
        <v>74</v>
      </c>
      <c r="D23" s="247" t="s">
        <v>77</v>
      </c>
      <c r="E23" s="149">
        <v>0</v>
      </c>
      <c r="F23" s="130">
        <f t="shared" si="11"/>
        <v>724665.86526999995</v>
      </c>
      <c r="G23" s="149">
        <f>147146.506+13892.84739+78000+13000+6500-573.945+1461.55857-1797.861+2642.4-5212.475</f>
        <v>255059.03095999997</v>
      </c>
      <c r="H23" s="231">
        <f>140705.4-74635.34-22408.8404-3069.18497+17687.22831+990.54+3586.60598+205.79335-44107.07236-77.2956</f>
        <v>18877.834309999995</v>
      </c>
      <c r="I23" s="149">
        <v>150243</v>
      </c>
      <c r="J23" s="149">
        <v>150243</v>
      </c>
      <c r="K23" s="149">
        <v>150243</v>
      </c>
      <c r="L23" s="344"/>
      <c r="M23" s="346"/>
      <c r="N23" s="93" t="s">
        <v>295</v>
      </c>
    </row>
    <row r="24" spans="1:14" s="93" customFormat="1" ht="64.5" customHeight="1" x14ac:dyDescent="0.25">
      <c r="A24" s="211" t="s">
        <v>105</v>
      </c>
      <c r="B24" s="150" t="s">
        <v>238</v>
      </c>
      <c r="C24" s="151" t="s">
        <v>74</v>
      </c>
      <c r="D24" s="247" t="s">
        <v>77</v>
      </c>
      <c r="E24" s="149">
        <v>0</v>
      </c>
      <c r="F24" s="130">
        <f t="shared" si="11"/>
        <v>722321.08174000005</v>
      </c>
      <c r="G24" s="149">
        <f>140544+2982-94.91826</f>
        <v>143431.08173999999</v>
      </c>
      <c r="H24" s="231">
        <f>143445+3285+1825</f>
        <v>148555</v>
      </c>
      <c r="I24" s="149">
        <v>143445</v>
      </c>
      <c r="J24" s="149">
        <v>143445</v>
      </c>
      <c r="K24" s="149">
        <v>143445</v>
      </c>
      <c r="L24" s="152" t="s">
        <v>6</v>
      </c>
      <c r="M24" s="245" t="s">
        <v>152</v>
      </c>
      <c r="N24" s="93" t="s">
        <v>300</v>
      </c>
    </row>
    <row r="25" spans="1:14" s="93" customFormat="1" ht="64.5" customHeight="1" x14ac:dyDescent="0.25">
      <c r="A25" s="211" t="s">
        <v>153</v>
      </c>
      <c r="B25" s="150" t="s">
        <v>239</v>
      </c>
      <c r="C25" s="151" t="s">
        <v>74</v>
      </c>
      <c r="D25" s="247" t="s">
        <v>77</v>
      </c>
      <c r="E25" s="149">
        <v>0</v>
      </c>
      <c r="F25" s="130">
        <f t="shared" ref="F25" si="12">SUM(G25:K25)</f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52" t="s">
        <v>6</v>
      </c>
      <c r="M25" s="245" t="s">
        <v>154</v>
      </c>
    </row>
    <row r="26" spans="1:14" s="93" customFormat="1" ht="56.25" x14ac:dyDescent="0.25">
      <c r="A26" s="211" t="s">
        <v>155</v>
      </c>
      <c r="B26" s="150" t="s">
        <v>240</v>
      </c>
      <c r="C26" s="151" t="s">
        <v>74</v>
      </c>
      <c r="D26" s="247" t="s">
        <v>77</v>
      </c>
      <c r="E26" s="149">
        <v>0</v>
      </c>
      <c r="F26" s="130">
        <f t="shared" si="11"/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52" t="s">
        <v>6</v>
      </c>
      <c r="M26" s="245" t="s">
        <v>103</v>
      </c>
    </row>
    <row r="27" spans="1:14" s="93" customFormat="1" ht="56.25" x14ac:dyDescent="0.25">
      <c r="A27" s="211" t="s">
        <v>156</v>
      </c>
      <c r="B27" s="150" t="s">
        <v>241</v>
      </c>
      <c r="C27" s="151" t="s">
        <v>74</v>
      </c>
      <c r="D27" s="247" t="s">
        <v>77</v>
      </c>
      <c r="E27" s="149">
        <v>0</v>
      </c>
      <c r="F27" s="130">
        <f t="shared" ref="F27:F30" si="13">SUM(G27:K27)</f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52" t="s">
        <v>6</v>
      </c>
      <c r="M27" s="245" t="s">
        <v>157</v>
      </c>
    </row>
    <row r="28" spans="1:14" s="93" customFormat="1" ht="110.25" customHeight="1" x14ac:dyDescent="0.25">
      <c r="A28" s="339" t="s">
        <v>167</v>
      </c>
      <c r="B28" s="337" t="s">
        <v>242</v>
      </c>
      <c r="C28" s="341" t="s">
        <v>74</v>
      </c>
      <c r="D28" s="252" t="s">
        <v>66</v>
      </c>
      <c r="E28" s="149">
        <v>0</v>
      </c>
      <c r="F28" s="130">
        <f t="shared" si="13"/>
        <v>606966</v>
      </c>
      <c r="G28" s="149">
        <f>45466+1224</f>
        <v>46690</v>
      </c>
      <c r="H28" s="149">
        <v>140069</v>
      </c>
      <c r="I28" s="149">
        <v>140069</v>
      </c>
      <c r="J28" s="149">
        <v>140069</v>
      </c>
      <c r="K28" s="149">
        <v>140069</v>
      </c>
      <c r="L28" s="343" t="s">
        <v>6</v>
      </c>
      <c r="M28" s="345" t="s">
        <v>168</v>
      </c>
    </row>
    <row r="29" spans="1:14" s="93" customFormat="1" ht="93" customHeight="1" x14ac:dyDescent="0.25">
      <c r="A29" s="406"/>
      <c r="B29" s="396"/>
      <c r="C29" s="397"/>
      <c r="D29" s="252" t="s">
        <v>2</v>
      </c>
      <c r="E29" s="149">
        <v>0</v>
      </c>
      <c r="F29" s="130">
        <f t="shared" si="13"/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369"/>
      <c r="M29" s="368"/>
    </row>
    <row r="30" spans="1:14" s="93" customFormat="1" ht="90" customHeight="1" x14ac:dyDescent="0.25">
      <c r="A30" s="340"/>
      <c r="B30" s="338"/>
      <c r="C30" s="342"/>
      <c r="D30" s="252" t="s">
        <v>79</v>
      </c>
      <c r="E30" s="149">
        <v>0</v>
      </c>
      <c r="F30" s="130">
        <f t="shared" si="13"/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344"/>
      <c r="M30" s="346"/>
    </row>
    <row r="31" spans="1:14" s="93" customFormat="1" ht="75" customHeight="1" x14ac:dyDescent="0.25">
      <c r="A31" s="339" t="s">
        <v>169</v>
      </c>
      <c r="B31" s="337" t="s">
        <v>243</v>
      </c>
      <c r="C31" s="341" t="s">
        <v>74</v>
      </c>
      <c r="D31" s="252" t="s">
        <v>2</v>
      </c>
      <c r="E31" s="149">
        <v>0</v>
      </c>
      <c r="F31" s="130">
        <f t="shared" ref="F31:F32" si="14">SUM(G31:K31)</f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343" t="s">
        <v>6</v>
      </c>
      <c r="M31" s="345" t="s">
        <v>170</v>
      </c>
    </row>
    <row r="32" spans="1:14" s="93" customFormat="1" ht="81" customHeight="1" x14ac:dyDescent="0.25">
      <c r="A32" s="340"/>
      <c r="B32" s="338"/>
      <c r="C32" s="342"/>
      <c r="D32" s="252" t="s">
        <v>79</v>
      </c>
      <c r="E32" s="149">
        <v>0</v>
      </c>
      <c r="F32" s="130">
        <f t="shared" si="14"/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344"/>
      <c r="M32" s="346"/>
    </row>
    <row r="33" spans="1:13" s="93" customFormat="1" ht="18.75" x14ac:dyDescent="0.25">
      <c r="A33" s="377" t="s">
        <v>180</v>
      </c>
      <c r="B33" s="401" t="s">
        <v>189</v>
      </c>
      <c r="C33" s="401" t="s">
        <v>74</v>
      </c>
      <c r="D33" s="256" t="s">
        <v>5</v>
      </c>
      <c r="E33" s="106">
        <f>E34</f>
        <v>0</v>
      </c>
      <c r="F33" s="120">
        <f t="shared" si="6"/>
        <v>0</v>
      </c>
      <c r="G33" s="106">
        <f>G34</f>
        <v>0</v>
      </c>
      <c r="H33" s="106">
        <f t="shared" ref="H33:K34" si="15">H34</f>
        <v>0</v>
      </c>
      <c r="I33" s="106">
        <f t="shared" si="15"/>
        <v>0</v>
      </c>
      <c r="J33" s="106">
        <f t="shared" si="15"/>
        <v>0</v>
      </c>
      <c r="K33" s="106">
        <f t="shared" si="15"/>
        <v>0</v>
      </c>
      <c r="L33" s="375"/>
      <c r="M33" s="376"/>
    </row>
    <row r="34" spans="1:13" s="93" customFormat="1" ht="61.5" customHeight="1" x14ac:dyDescent="0.25">
      <c r="A34" s="377"/>
      <c r="B34" s="401"/>
      <c r="C34" s="401"/>
      <c r="D34" s="256" t="s">
        <v>2</v>
      </c>
      <c r="E34" s="162">
        <f>E35</f>
        <v>0</v>
      </c>
      <c r="F34" s="120">
        <f t="shared" si="6"/>
        <v>0</v>
      </c>
      <c r="G34" s="162">
        <f>G35</f>
        <v>0</v>
      </c>
      <c r="H34" s="162">
        <f t="shared" si="15"/>
        <v>0</v>
      </c>
      <c r="I34" s="162">
        <f t="shared" si="15"/>
        <v>0</v>
      </c>
      <c r="J34" s="162">
        <f t="shared" si="15"/>
        <v>0</v>
      </c>
      <c r="K34" s="162">
        <f t="shared" si="15"/>
        <v>0</v>
      </c>
      <c r="L34" s="375"/>
      <c r="M34" s="376"/>
    </row>
    <row r="35" spans="1:13" s="93" customFormat="1" ht="120.75" customHeight="1" x14ac:dyDescent="0.25">
      <c r="A35" s="250" t="s">
        <v>47</v>
      </c>
      <c r="B35" s="251" t="s">
        <v>244</v>
      </c>
      <c r="C35" s="252" t="s">
        <v>74</v>
      </c>
      <c r="D35" s="252" t="s">
        <v>2</v>
      </c>
      <c r="E35" s="131">
        <v>0</v>
      </c>
      <c r="F35" s="120">
        <f t="shared" si="6"/>
        <v>0</v>
      </c>
      <c r="G35" s="131">
        <f>666-666</f>
        <v>0</v>
      </c>
      <c r="H35" s="131">
        <v>0</v>
      </c>
      <c r="I35" s="131">
        <v>0</v>
      </c>
      <c r="J35" s="131">
        <v>0</v>
      </c>
      <c r="K35" s="131">
        <v>0</v>
      </c>
      <c r="L35" s="253" t="s">
        <v>6</v>
      </c>
      <c r="M35" s="254" t="s">
        <v>17</v>
      </c>
    </row>
    <row r="36" spans="1:13" s="93" customFormat="1" ht="18.75" x14ac:dyDescent="0.25">
      <c r="A36" s="377" t="s">
        <v>12</v>
      </c>
      <c r="B36" s="401" t="s">
        <v>190</v>
      </c>
      <c r="C36" s="401" t="s">
        <v>74</v>
      </c>
      <c r="D36" s="256" t="s">
        <v>5</v>
      </c>
      <c r="E36" s="106">
        <f>E38+E39+E37</f>
        <v>295275.34999999998</v>
      </c>
      <c r="F36" s="120">
        <f t="shared" si="6"/>
        <v>2662348.39127</v>
      </c>
      <c r="G36" s="106">
        <f t="shared" ref="G36:K36" si="16">G38+G39+G37</f>
        <v>386688.90373000002</v>
      </c>
      <c r="H36" s="106">
        <f t="shared" si="16"/>
        <v>524079.26148999995</v>
      </c>
      <c r="I36" s="106">
        <f t="shared" si="16"/>
        <v>550061.61508000002</v>
      </c>
      <c r="J36" s="106">
        <f t="shared" si="16"/>
        <v>607678.60496999999</v>
      </c>
      <c r="K36" s="106">
        <f t="shared" si="16"/>
        <v>593840.00600000005</v>
      </c>
      <c r="L36" s="375"/>
      <c r="M36" s="376"/>
    </row>
    <row r="37" spans="1:13" s="93" customFormat="1" ht="39.75" customHeight="1" x14ac:dyDescent="0.25">
      <c r="A37" s="377"/>
      <c r="B37" s="401"/>
      <c r="C37" s="401"/>
      <c r="D37" s="256" t="s">
        <v>66</v>
      </c>
      <c r="E37" s="162">
        <f>E51</f>
        <v>0</v>
      </c>
      <c r="F37" s="120">
        <f t="shared" si="6"/>
        <v>635563.88235999993</v>
      </c>
      <c r="G37" s="162">
        <f>G51+G56</f>
        <v>54688.388480000001</v>
      </c>
      <c r="H37" s="162">
        <f t="shared" ref="H37:K37" si="17">H51+H56</f>
        <v>134386.38781999997</v>
      </c>
      <c r="I37" s="162">
        <f t="shared" si="17"/>
        <v>148706.47700000001</v>
      </c>
      <c r="J37" s="162">
        <f t="shared" si="17"/>
        <v>148891.30786999999</v>
      </c>
      <c r="K37" s="162">
        <f t="shared" si="17"/>
        <v>148891.32118999999</v>
      </c>
      <c r="L37" s="375"/>
      <c r="M37" s="376"/>
    </row>
    <row r="38" spans="1:13" s="93" customFormat="1" ht="39.75" customHeight="1" x14ac:dyDescent="0.25">
      <c r="A38" s="377"/>
      <c r="B38" s="401"/>
      <c r="C38" s="401"/>
      <c r="D38" s="256" t="s">
        <v>2</v>
      </c>
      <c r="E38" s="162">
        <f t="shared" ref="E38" si="18">E40+E42+E44+E45+E47+E49+E52+E54</f>
        <v>216647</v>
      </c>
      <c r="F38" s="120">
        <f t="shared" si="6"/>
        <v>1028051.6176400001</v>
      </c>
      <c r="G38" s="162">
        <f>G40+G42+G44+G45+G47+G49+G52+G54+G57</f>
        <v>225682.61152000001</v>
      </c>
      <c r="H38" s="162">
        <f t="shared" ref="H38:K38" si="19">H40+H42+H44+H45+H47+H49+H52+H54+H57</f>
        <v>237463.31218000001</v>
      </c>
      <c r="I38" s="162">
        <f t="shared" si="19"/>
        <v>197638.02299999999</v>
      </c>
      <c r="J38" s="162">
        <f t="shared" si="19"/>
        <v>190709.99213</v>
      </c>
      <c r="K38" s="162">
        <f t="shared" si="19"/>
        <v>176557.67881000001</v>
      </c>
      <c r="L38" s="375"/>
      <c r="M38" s="376"/>
    </row>
    <row r="39" spans="1:13" s="93" customFormat="1" ht="58.5" customHeight="1" x14ac:dyDescent="0.25">
      <c r="A39" s="377"/>
      <c r="B39" s="401"/>
      <c r="C39" s="401"/>
      <c r="D39" s="256" t="s">
        <v>78</v>
      </c>
      <c r="E39" s="162">
        <f t="shared" ref="E39" si="20">E43+E46+E48+E41+E50+E53+E55</f>
        <v>78628.350000000006</v>
      </c>
      <c r="F39" s="120">
        <f t="shared" si="6"/>
        <v>998732.89127000002</v>
      </c>
      <c r="G39" s="162">
        <f>G43+G46+G48+G41+G50+G53+G55+G58</f>
        <v>106317.90373000001</v>
      </c>
      <c r="H39" s="162">
        <f t="shared" ref="H39:K39" si="21">H43+H46+H48+H41+H50+H53+H55+H58</f>
        <v>152229.56148999999</v>
      </c>
      <c r="I39" s="162">
        <f t="shared" si="21"/>
        <v>203717.11508000002</v>
      </c>
      <c r="J39" s="162">
        <f t="shared" si="21"/>
        <v>268077.30497</v>
      </c>
      <c r="K39" s="162">
        <f t="shared" si="21"/>
        <v>268391.00599999999</v>
      </c>
      <c r="L39" s="375"/>
      <c r="M39" s="376"/>
    </row>
    <row r="40" spans="1:13" s="93" customFormat="1" ht="81" customHeight="1" x14ac:dyDescent="0.25">
      <c r="A40" s="358" t="s">
        <v>51</v>
      </c>
      <c r="B40" s="361" t="s">
        <v>309</v>
      </c>
      <c r="C40" s="364" t="s">
        <v>74</v>
      </c>
      <c r="D40" s="252" t="s">
        <v>2</v>
      </c>
      <c r="E40" s="131">
        <v>13649</v>
      </c>
      <c r="F40" s="120">
        <f t="shared" si="6"/>
        <v>70668</v>
      </c>
      <c r="G40" s="131">
        <v>14040</v>
      </c>
      <c r="H40" s="131">
        <v>14157</v>
      </c>
      <c r="I40" s="131">
        <v>14157</v>
      </c>
      <c r="J40" s="131">
        <v>14157</v>
      </c>
      <c r="K40" s="131">
        <v>14157</v>
      </c>
      <c r="L40" s="394" t="s">
        <v>308</v>
      </c>
      <c r="M40" s="367" t="s">
        <v>165</v>
      </c>
    </row>
    <row r="41" spans="1:13" s="93" customFormat="1" ht="81" customHeight="1" x14ac:dyDescent="0.25">
      <c r="A41" s="360"/>
      <c r="B41" s="363"/>
      <c r="C41" s="366"/>
      <c r="D41" s="252" t="s">
        <v>78</v>
      </c>
      <c r="E41" s="131">
        <v>0</v>
      </c>
      <c r="F41" s="120">
        <f>SUM(G41:K41)</f>
        <v>27950.650999999998</v>
      </c>
      <c r="G41" s="131">
        <f>4207.099+1274</f>
        <v>5481.0990000000002</v>
      </c>
      <c r="H41" s="131">
        <v>5617.3879999999999</v>
      </c>
      <c r="I41" s="131">
        <v>5617.3879999999999</v>
      </c>
      <c r="J41" s="131">
        <v>5617.3879999999999</v>
      </c>
      <c r="K41" s="131">
        <v>5617.3879999999999</v>
      </c>
      <c r="L41" s="395"/>
      <c r="M41" s="357"/>
    </row>
    <row r="42" spans="1:13" s="93" customFormat="1" ht="97.5" customHeight="1" x14ac:dyDescent="0.25">
      <c r="A42" s="358" t="s">
        <v>52</v>
      </c>
      <c r="B42" s="361" t="s">
        <v>245</v>
      </c>
      <c r="C42" s="364" t="s">
        <v>74</v>
      </c>
      <c r="D42" s="252" t="s">
        <v>2</v>
      </c>
      <c r="E42" s="131">
        <v>200475</v>
      </c>
      <c r="F42" s="120">
        <f t="shared" si="6"/>
        <v>104348</v>
      </c>
      <c r="G42" s="131">
        <f>202841-82029-16464</f>
        <v>104348</v>
      </c>
      <c r="H42" s="131">
        <f>202841-202841</f>
        <v>0</v>
      </c>
      <c r="I42" s="131">
        <f>202841-202841</f>
        <v>0</v>
      </c>
      <c r="J42" s="131">
        <v>0</v>
      </c>
      <c r="K42" s="131">
        <v>0</v>
      </c>
      <c r="L42" s="353" t="s">
        <v>6</v>
      </c>
      <c r="M42" s="367" t="s">
        <v>166</v>
      </c>
    </row>
    <row r="43" spans="1:13" s="93" customFormat="1" ht="78.75" customHeight="1" x14ac:dyDescent="0.25">
      <c r="A43" s="360"/>
      <c r="B43" s="363"/>
      <c r="C43" s="366"/>
      <c r="D43" s="252" t="s">
        <v>78</v>
      </c>
      <c r="E43" s="131">
        <v>70667.320000000007</v>
      </c>
      <c r="F43" s="120">
        <f t="shared" si="6"/>
        <v>87875.051999999996</v>
      </c>
      <c r="G43" s="131">
        <f>86888.555+684.497+302</f>
        <v>87875.051999999996</v>
      </c>
      <c r="H43" s="131">
        <v>0</v>
      </c>
      <c r="I43" s="131">
        <v>0</v>
      </c>
      <c r="J43" s="131">
        <v>0</v>
      </c>
      <c r="K43" s="131">
        <v>0</v>
      </c>
      <c r="L43" s="354"/>
      <c r="M43" s="357"/>
    </row>
    <row r="44" spans="1:13" s="93" customFormat="1" ht="99.75" customHeight="1" x14ac:dyDescent="0.25">
      <c r="A44" s="250" t="s">
        <v>84</v>
      </c>
      <c r="B44" s="255" t="s">
        <v>246</v>
      </c>
      <c r="C44" s="252" t="s">
        <v>74</v>
      </c>
      <c r="D44" s="252" t="s">
        <v>2</v>
      </c>
      <c r="E44" s="131">
        <v>93</v>
      </c>
      <c r="F44" s="120">
        <f t="shared" si="6"/>
        <v>329</v>
      </c>
      <c r="G44" s="131">
        <f>85-56</f>
        <v>29</v>
      </c>
      <c r="H44" s="131">
        <v>75</v>
      </c>
      <c r="I44" s="131">
        <v>75</v>
      </c>
      <c r="J44" s="131">
        <v>75</v>
      </c>
      <c r="K44" s="131">
        <v>75</v>
      </c>
      <c r="L44" s="253" t="s">
        <v>6</v>
      </c>
      <c r="M44" s="254" t="s">
        <v>26</v>
      </c>
    </row>
    <row r="45" spans="1:13" s="93" customFormat="1" ht="37.5" x14ac:dyDescent="0.25">
      <c r="A45" s="371" t="s">
        <v>85</v>
      </c>
      <c r="B45" s="372" t="s">
        <v>247</v>
      </c>
      <c r="C45" s="373" t="s">
        <v>74</v>
      </c>
      <c r="D45" s="252" t="s">
        <v>2</v>
      </c>
      <c r="E45" s="131">
        <v>1680</v>
      </c>
      <c r="F45" s="120">
        <f t="shared" si="6"/>
        <v>0</v>
      </c>
      <c r="G45" s="131">
        <v>0</v>
      </c>
      <c r="H45" s="131">
        <f>1680-1680</f>
        <v>0</v>
      </c>
      <c r="I45" s="131">
        <f>1680-1680</f>
        <v>0</v>
      </c>
      <c r="J45" s="131">
        <f>1680-1680</f>
        <v>0</v>
      </c>
      <c r="K45" s="131">
        <v>0</v>
      </c>
      <c r="L45" s="378" t="s">
        <v>6</v>
      </c>
      <c r="M45" s="379" t="s">
        <v>280</v>
      </c>
    </row>
    <row r="46" spans="1:13" s="93" customFormat="1" ht="56.25" x14ac:dyDescent="0.25">
      <c r="A46" s="371"/>
      <c r="B46" s="372"/>
      <c r="C46" s="373"/>
      <c r="D46" s="252" t="s">
        <v>78</v>
      </c>
      <c r="E46" s="131">
        <v>420</v>
      </c>
      <c r="F46" s="120">
        <f t="shared" si="6"/>
        <v>0</v>
      </c>
      <c r="G46" s="131">
        <v>0</v>
      </c>
      <c r="H46" s="131">
        <f>420-420</f>
        <v>0</v>
      </c>
      <c r="I46" s="131">
        <f>420-420</f>
        <v>0</v>
      </c>
      <c r="J46" s="131">
        <f>420-420</f>
        <v>0</v>
      </c>
      <c r="K46" s="131">
        <v>0</v>
      </c>
      <c r="L46" s="378"/>
      <c r="M46" s="379"/>
    </row>
    <row r="47" spans="1:13" s="93" customFormat="1" ht="37.5" x14ac:dyDescent="0.25">
      <c r="A47" s="371" t="s">
        <v>89</v>
      </c>
      <c r="B47" s="398" t="s">
        <v>248</v>
      </c>
      <c r="C47" s="373" t="s">
        <v>74</v>
      </c>
      <c r="D47" s="252" t="s">
        <v>2</v>
      </c>
      <c r="E47" s="131">
        <v>750</v>
      </c>
      <c r="F47" s="120">
        <f t="shared" si="6"/>
        <v>3571</v>
      </c>
      <c r="G47" s="131">
        <f>896-133</f>
        <v>763</v>
      </c>
      <c r="H47" s="131">
        <v>701.99999999999989</v>
      </c>
      <c r="I47" s="131">
        <v>702</v>
      </c>
      <c r="J47" s="131">
        <v>702</v>
      </c>
      <c r="K47" s="131">
        <v>702</v>
      </c>
      <c r="L47" s="378" t="s">
        <v>6</v>
      </c>
      <c r="M47" s="379" t="s">
        <v>59</v>
      </c>
    </row>
    <row r="48" spans="1:13" s="93" customFormat="1" ht="63" customHeight="1" x14ac:dyDescent="0.25">
      <c r="A48" s="371"/>
      <c r="B48" s="398"/>
      <c r="C48" s="373"/>
      <c r="D48" s="252" t="s">
        <v>78</v>
      </c>
      <c r="E48" s="131">
        <v>7541.03</v>
      </c>
      <c r="F48" s="120">
        <f t="shared" si="6"/>
        <v>37754.264730000003</v>
      </c>
      <c r="G48" s="131">
        <f>9540.413-1810+254.60973-87.01</f>
        <v>7898.0127300000004</v>
      </c>
      <c r="H48" s="131">
        <v>7464.0630000000001</v>
      </c>
      <c r="I48" s="131">
        <v>7464.0630000000001</v>
      </c>
      <c r="J48" s="131">
        <v>7464.0630000000001</v>
      </c>
      <c r="K48" s="131">
        <v>7464.0630000000001</v>
      </c>
      <c r="L48" s="378"/>
      <c r="M48" s="379"/>
    </row>
    <row r="49" spans="1:14" s="93" customFormat="1" ht="125.25" customHeight="1" x14ac:dyDescent="0.25">
      <c r="A49" s="358" t="s">
        <v>171</v>
      </c>
      <c r="B49" s="361" t="s">
        <v>249</v>
      </c>
      <c r="C49" s="364" t="s">
        <v>74</v>
      </c>
      <c r="D49" s="252" t="s">
        <v>2</v>
      </c>
      <c r="E49" s="131">
        <v>0</v>
      </c>
      <c r="F49" s="120">
        <f t="shared" ref="F49:F51" si="22">SUM(G49:K49)</f>
        <v>64979</v>
      </c>
      <c r="G49" s="131">
        <f>62765+2214</f>
        <v>64979</v>
      </c>
      <c r="H49" s="131">
        <v>0</v>
      </c>
      <c r="I49" s="131">
        <v>0</v>
      </c>
      <c r="J49" s="131">
        <v>0</v>
      </c>
      <c r="K49" s="131">
        <v>0</v>
      </c>
      <c r="L49" s="355" t="s">
        <v>6</v>
      </c>
      <c r="M49" s="356" t="s">
        <v>174</v>
      </c>
    </row>
    <row r="50" spans="1:14" s="93" customFormat="1" ht="129" customHeight="1" x14ac:dyDescent="0.25">
      <c r="A50" s="360"/>
      <c r="B50" s="363"/>
      <c r="C50" s="366"/>
      <c r="D50" s="252" t="s">
        <v>78</v>
      </c>
      <c r="E50" s="131">
        <v>0</v>
      </c>
      <c r="F50" s="120">
        <f t="shared" si="22"/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354"/>
      <c r="M50" s="357"/>
    </row>
    <row r="51" spans="1:14" s="93" customFormat="1" ht="44.25" customHeight="1" x14ac:dyDescent="0.25">
      <c r="A51" s="358" t="s">
        <v>172</v>
      </c>
      <c r="B51" s="361" t="s">
        <v>250</v>
      </c>
      <c r="C51" s="364" t="s">
        <v>74</v>
      </c>
      <c r="D51" s="252" t="s">
        <v>66</v>
      </c>
      <c r="E51" s="131">
        <v>0</v>
      </c>
      <c r="F51" s="120">
        <f t="shared" si="22"/>
        <v>635563.88235999993</v>
      </c>
      <c r="G51" s="131">
        <v>54688.388480000001</v>
      </c>
      <c r="H51" s="131">
        <f>134386.38781+0.01251-0.0125</f>
        <v>134386.38781999997</v>
      </c>
      <c r="I51" s="131">
        <f>148706.477+0.01309-0.01309</f>
        <v>148706.47700000001</v>
      </c>
      <c r="J51" s="131">
        <f>148891.32119-0.01332</f>
        <v>148891.30786999999</v>
      </c>
      <c r="K51" s="131">
        <v>148891.32118999999</v>
      </c>
      <c r="L51" s="353" t="s">
        <v>6</v>
      </c>
      <c r="M51" s="367" t="s">
        <v>173</v>
      </c>
    </row>
    <row r="52" spans="1:14" s="93" customFormat="1" ht="37.5" x14ac:dyDescent="0.25">
      <c r="A52" s="359"/>
      <c r="B52" s="362"/>
      <c r="C52" s="365"/>
      <c r="D52" s="252" t="s">
        <v>2</v>
      </c>
      <c r="E52" s="131">
        <v>0</v>
      </c>
      <c r="F52" s="120">
        <f t="shared" ref="F52:F53" si="23">SUM(G52:K52)</f>
        <v>374375.61764000001</v>
      </c>
      <c r="G52" s="131">
        <v>41523.611519999999</v>
      </c>
      <c r="H52" s="131">
        <f>71548.61219-0.01251+16233.70287+0.00963</f>
        <v>87782.312179999994</v>
      </c>
      <c r="I52" s="131">
        <f>73025.523-0.01309+16104.47992+0.03317</f>
        <v>89130.023000000001</v>
      </c>
      <c r="J52" s="131">
        <f>160921-90027.32119+14152.2357+0.07762</f>
        <v>85045.992129999999</v>
      </c>
      <c r="K52" s="131">
        <f>160921-90027.32119</f>
        <v>70893.678809999998</v>
      </c>
      <c r="L52" s="355"/>
      <c r="M52" s="356"/>
    </row>
    <row r="53" spans="1:14" s="93" customFormat="1" ht="63" customHeight="1" x14ac:dyDescent="0.25">
      <c r="A53" s="360"/>
      <c r="B53" s="363"/>
      <c r="C53" s="366"/>
      <c r="D53" s="252" t="s">
        <v>78</v>
      </c>
      <c r="E53" s="131">
        <v>0</v>
      </c>
      <c r="F53" s="120">
        <f t="shared" si="23"/>
        <v>196035.65749000001</v>
      </c>
      <c r="G53" s="131">
        <f>5063.74</f>
        <v>5063.74</v>
      </c>
      <c r="H53" s="131">
        <f>42928.98455+0.00046-16233.9942</f>
        <v>26694.990810000003</v>
      </c>
      <c r="I53" s="131">
        <f>43815.30126-16104.48772</f>
        <v>27710.813540000003</v>
      </c>
      <c r="J53" s="131">
        <f>104626-72685.88686</f>
        <v>31940.113140000001</v>
      </c>
      <c r="K53" s="131">
        <v>104626</v>
      </c>
      <c r="L53" s="354"/>
      <c r="M53" s="357"/>
    </row>
    <row r="54" spans="1:14" s="93" customFormat="1" ht="84" customHeight="1" x14ac:dyDescent="0.25">
      <c r="A54" s="358" t="s">
        <v>185</v>
      </c>
      <c r="B54" s="361" t="s">
        <v>251</v>
      </c>
      <c r="C54" s="364" t="s">
        <v>184</v>
      </c>
      <c r="D54" s="252" t="s">
        <v>2</v>
      </c>
      <c r="E54" s="131">
        <v>0</v>
      </c>
      <c r="F54" s="120">
        <f t="shared" ref="F54:F55" si="24">SUM(G54:K54)</f>
        <v>409781</v>
      </c>
      <c r="G54" s="131">
        <v>0</v>
      </c>
      <c r="H54" s="131">
        <f>145724-10977</f>
        <v>134747</v>
      </c>
      <c r="I54" s="131">
        <f>101198-7624</f>
        <v>93574</v>
      </c>
      <c r="J54" s="131">
        <f>98121-7391</f>
        <v>90730</v>
      </c>
      <c r="K54" s="131">
        <f>98121-7391</f>
        <v>90730</v>
      </c>
      <c r="L54" s="355" t="s">
        <v>6</v>
      </c>
      <c r="M54" s="356" t="s">
        <v>252</v>
      </c>
    </row>
    <row r="55" spans="1:14" s="93" customFormat="1" ht="91.5" customHeight="1" x14ac:dyDescent="0.25">
      <c r="A55" s="360"/>
      <c r="B55" s="363"/>
      <c r="C55" s="366"/>
      <c r="D55" s="252" t="s">
        <v>78</v>
      </c>
      <c r="E55" s="131">
        <v>0</v>
      </c>
      <c r="F55" s="120">
        <f t="shared" si="24"/>
        <v>649117.26604999998</v>
      </c>
      <c r="G55" s="131">
        <v>0</v>
      </c>
      <c r="H55" s="131">
        <f>16192+86888.555+11044.922+1646.643-1220-0.00032-2099</f>
        <v>112453.11967999999</v>
      </c>
      <c r="I55" s="131">
        <f>60718+86888.555-657.14052-129.05166+16104.48772</f>
        <v>162924.85054000001</v>
      </c>
      <c r="J55" s="131">
        <f>63795+86888.555-313.70103+72685.88686</f>
        <v>223055.74083</v>
      </c>
      <c r="K55" s="131">
        <f>63795+86888.555</f>
        <v>150683.55499999999</v>
      </c>
      <c r="L55" s="354"/>
      <c r="M55" s="357"/>
      <c r="N55" s="93" t="s">
        <v>291</v>
      </c>
    </row>
    <row r="56" spans="1:14" s="93" customFormat="1" ht="43.5" customHeight="1" x14ac:dyDescent="0.25">
      <c r="A56" s="358" t="s">
        <v>211</v>
      </c>
      <c r="B56" s="361" t="s">
        <v>212</v>
      </c>
      <c r="C56" s="364" t="s">
        <v>184</v>
      </c>
      <c r="D56" s="252" t="s">
        <v>66</v>
      </c>
      <c r="E56" s="131">
        <v>0</v>
      </c>
      <c r="F56" s="120">
        <f t="shared" ref="F56" si="25">SUM(G56:K56)</f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353" t="s">
        <v>6</v>
      </c>
      <c r="M56" s="367" t="s">
        <v>213</v>
      </c>
    </row>
    <row r="57" spans="1:14" s="93" customFormat="1" ht="37.5" x14ac:dyDescent="0.25">
      <c r="A57" s="359"/>
      <c r="B57" s="362"/>
      <c r="C57" s="365"/>
      <c r="D57" s="252" t="s">
        <v>2</v>
      </c>
      <c r="E57" s="131">
        <v>0</v>
      </c>
      <c r="F57" s="120">
        <f t="shared" ref="F57:F58" si="26">SUM(G57:K57)</f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355"/>
      <c r="M57" s="356"/>
    </row>
    <row r="58" spans="1:14" s="93" customFormat="1" ht="63" customHeight="1" x14ac:dyDescent="0.25">
      <c r="A58" s="360"/>
      <c r="B58" s="363"/>
      <c r="C58" s="366"/>
      <c r="D58" s="252" t="s">
        <v>78</v>
      </c>
      <c r="E58" s="131">
        <v>0</v>
      </c>
      <c r="F58" s="120">
        <f t="shared" si="26"/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354"/>
      <c r="M58" s="357"/>
    </row>
    <row r="59" spans="1:14" s="93" customFormat="1" ht="18.75" x14ac:dyDescent="0.25">
      <c r="A59" s="407" t="s">
        <v>56</v>
      </c>
      <c r="B59" s="409" t="s">
        <v>191</v>
      </c>
      <c r="C59" s="404" t="s">
        <v>74</v>
      </c>
      <c r="D59" s="27" t="s">
        <v>5</v>
      </c>
      <c r="E59" s="163">
        <f>E60</f>
        <v>9428.6200000000008</v>
      </c>
      <c r="F59" s="132">
        <f>SUM(G59:K59)</f>
        <v>37067.438000000002</v>
      </c>
      <c r="G59" s="163">
        <f t="shared" ref="G59:K60" si="27">G60</f>
        <v>8708.8200000000015</v>
      </c>
      <c r="H59" s="163">
        <f t="shared" si="27"/>
        <v>10581.604000000001</v>
      </c>
      <c r="I59" s="163">
        <f t="shared" si="27"/>
        <v>8888.5069999999996</v>
      </c>
      <c r="J59" s="163">
        <f t="shared" si="27"/>
        <v>8888.5069999999996</v>
      </c>
      <c r="K59" s="163">
        <f t="shared" si="27"/>
        <v>0</v>
      </c>
      <c r="L59" s="411"/>
      <c r="M59" s="412"/>
    </row>
    <row r="60" spans="1:14" s="93" customFormat="1" ht="80.25" customHeight="1" x14ac:dyDescent="0.25">
      <c r="A60" s="408"/>
      <c r="B60" s="410"/>
      <c r="C60" s="405"/>
      <c r="D60" s="27" t="s">
        <v>80</v>
      </c>
      <c r="E60" s="164">
        <f>E61</f>
        <v>9428.6200000000008</v>
      </c>
      <c r="F60" s="132">
        <f>SUM(G60:K60)</f>
        <v>37067.438000000002</v>
      </c>
      <c r="G60" s="164">
        <f t="shared" si="27"/>
        <v>8708.8200000000015</v>
      </c>
      <c r="H60" s="164">
        <f t="shared" si="27"/>
        <v>10581.604000000001</v>
      </c>
      <c r="I60" s="164">
        <f t="shared" si="27"/>
        <v>8888.5069999999996</v>
      </c>
      <c r="J60" s="164">
        <f t="shared" si="27"/>
        <v>8888.5069999999996</v>
      </c>
      <c r="K60" s="164">
        <f t="shared" si="27"/>
        <v>0</v>
      </c>
      <c r="L60" s="411"/>
      <c r="M60" s="412"/>
    </row>
    <row r="61" spans="1:14" s="93" customFormat="1" ht="139.5" customHeight="1" x14ac:dyDescent="0.25">
      <c r="A61" s="170" t="s">
        <v>82</v>
      </c>
      <c r="B61" s="260" t="s">
        <v>253</v>
      </c>
      <c r="C61" s="172" t="s">
        <v>74</v>
      </c>
      <c r="D61" s="158" t="s">
        <v>80</v>
      </c>
      <c r="E61" s="159">
        <v>9428.6200000000008</v>
      </c>
      <c r="F61" s="133">
        <f>SUM(G61:K61)</f>
        <v>37067.438000000002</v>
      </c>
      <c r="G61" s="159">
        <f>11009.555-0.4-551.999-1748.336</f>
        <v>8708.8200000000015</v>
      </c>
      <c r="H61" s="269">
        <f>10457.156+124.448</f>
        <v>10581.604000000001</v>
      </c>
      <c r="I61" s="159">
        <v>8888.5069999999996</v>
      </c>
      <c r="J61" s="159">
        <v>8888.5069999999996</v>
      </c>
      <c r="K61" s="159">
        <v>0</v>
      </c>
      <c r="L61" s="173" t="s">
        <v>6</v>
      </c>
      <c r="M61" s="174" t="s">
        <v>102</v>
      </c>
      <c r="N61" s="93" t="s">
        <v>301</v>
      </c>
    </row>
    <row r="62" spans="1:14" s="93" customFormat="1" ht="18.75" x14ac:dyDescent="0.25">
      <c r="A62" s="377" t="s">
        <v>13</v>
      </c>
      <c r="B62" s="401" t="s">
        <v>312</v>
      </c>
      <c r="C62" s="401" t="s">
        <v>74</v>
      </c>
      <c r="D62" s="256" t="s">
        <v>5</v>
      </c>
      <c r="E62" s="106">
        <f>E63+E64+E65</f>
        <v>21116.64861</v>
      </c>
      <c r="F62" s="120">
        <f t="shared" si="6"/>
        <v>346286.28824999998</v>
      </c>
      <c r="G62" s="106">
        <f>G63+G64+G65</f>
        <v>252377.24121000001</v>
      </c>
      <c r="H62" s="106">
        <f t="shared" ref="H62:K62" si="28">H63+H64+H65</f>
        <v>68182.596850000002</v>
      </c>
      <c r="I62" s="106">
        <f t="shared" si="28"/>
        <v>12863.749159999999</v>
      </c>
      <c r="J62" s="106">
        <f t="shared" si="28"/>
        <v>12862.70103</v>
      </c>
      <c r="K62" s="106">
        <f t="shared" si="28"/>
        <v>0</v>
      </c>
      <c r="L62" s="375"/>
      <c r="M62" s="376"/>
    </row>
    <row r="63" spans="1:14" s="93" customFormat="1" ht="37.5" customHeight="1" x14ac:dyDescent="0.25">
      <c r="A63" s="377"/>
      <c r="B63" s="401"/>
      <c r="C63" s="401"/>
      <c r="D63" s="256" t="s">
        <v>66</v>
      </c>
      <c r="E63" s="162">
        <f>E75+E66</f>
        <v>5515.06754</v>
      </c>
      <c r="F63" s="120">
        <f t="shared" si="6"/>
        <v>30749.3433</v>
      </c>
      <c r="G63" s="162">
        <f>G75+G66</f>
        <v>2513.4090200000001</v>
      </c>
      <c r="H63" s="162">
        <f>H75+H66</f>
        <v>9412.4143999999997</v>
      </c>
      <c r="I63" s="162">
        <f>I75+I66</f>
        <v>9412.4796800000004</v>
      </c>
      <c r="J63" s="162">
        <f>J75+J66</f>
        <v>9411.0401999999995</v>
      </c>
      <c r="K63" s="162">
        <f>K75+K66</f>
        <v>0</v>
      </c>
      <c r="L63" s="375"/>
      <c r="M63" s="376"/>
    </row>
    <row r="64" spans="1:14" s="93" customFormat="1" ht="39.75" customHeight="1" x14ac:dyDescent="0.25">
      <c r="A64" s="377"/>
      <c r="B64" s="401"/>
      <c r="C64" s="401"/>
      <c r="D64" s="256" t="s">
        <v>2</v>
      </c>
      <c r="E64" s="162">
        <f>E76+E67+E69+E71+E73</f>
        <v>9510.3558499999999</v>
      </c>
      <c r="F64" s="120">
        <f t="shared" si="6"/>
        <v>12045.79328</v>
      </c>
      <c r="G64" s="162">
        <f>G76+G67+G69+G71+G73+G78</f>
        <v>2338.5909799999999</v>
      </c>
      <c r="H64" s="162">
        <f>H76+H67+H69+H71+H73+H78</f>
        <v>3431.7221799999998</v>
      </c>
      <c r="I64" s="162">
        <f t="shared" ref="I64:K64" si="29">I76+I67+I69+I71+I73+I78</f>
        <v>3137.5203199999996</v>
      </c>
      <c r="J64" s="162">
        <f t="shared" si="29"/>
        <v>3137.9598000000001</v>
      </c>
      <c r="K64" s="162">
        <f t="shared" si="29"/>
        <v>0</v>
      </c>
      <c r="L64" s="375"/>
      <c r="M64" s="376"/>
    </row>
    <row r="65" spans="1:15" s="93" customFormat="1" ht="58.5" customHeight="1" x14ac:dyDescent="0.25">
      <c r="A65" s="377"/>
      <c r="B65" s="401"/>
      <c r="C65" s="401"/>
      <c r="D65" s="256" t="s">
        <v>78</v>
      </c>
      <c r="E65" s="162">
        <f>E77+E68+E70+E72+E74+E79</f>
        <v>6091.2252200000003</v>
      </c>
      <c r="F65" s="120">
        <f t="shared" si="6"/>
        <v>303491.15166999999</v>
      </c>
      <c r="G65" s="162">
        <f>G77+G68+G70+G72+G74+G79</f>
        <v>247525.24121000001</v>
      </c>
      <c r="H65" s="162">
        <f>H77+H68+H70+H72+H74+H79</f>
        <v>55338.460269999996</v>
      </c>
      <c r="I65" s="162">
        <f>I77+I68+I70+I72+I74+I79</f>
        <v>313.74915999999996</v>
      </c>
      <c r="J65" s="162">
        <f>J77+J68+J70+J72+J74+J79</f>
        <v>313.70103</v>
      </c>
      <c r="K65" s="162">
        <f>K77+K68+K70+K72+K74+K79</f>
        <v>0</v>
      </c>
      <c r="L65" s="375"/>
      <c r="M65" s="376"/>
    </row>
    <row r="66" spans="1:15" s="93" customFormat="1" ht="45.75" customHeight="1" x14ac:dyDescent="0.25">
      <c r="A66" s="371" t="s">
        <v>86</v>
      </c>
      <c r="B66" s="372" t="s">
        <v>254</v>
      </c>
      <c r="C66" s="373" t="s">
        <v>74</v>
      </c>
      <c r="D66" s="252" t="s">
        <v>66</v>
      </c>
      <c r="E66" s="131">
        <v>3107.4</v>
      </c>
      <c r="F66" s="120">
        <f>SUM(G66:K66)</f>
        <v>0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378" t="s">
        <v>6</v>
      </c>
      <c r="M66" s="314" t="s">
        <v>164</v>
      </c>
    </row>
    <row r="67" spans="1:15" s="93" customFormat="1" ht="37.5" x14ac:dyDescent="0.25">
      <c r="A67" s="371"/>
      <c r="B67" s="372"/>
      <c r="C67" s="373"/>
      <c r="D67" s="252" t="s">
        <v>2</v>
      </c>
      <c r="E67" s="131">
        <v>1035.8</v>
      </c>
      <c r="F67" s="120">
        <f>SUM(G67:K67)</f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378"/>
      <c r="M67" s="314"/>
    </row>
    <row r="68" spans="1:15" s="93" customFormat="1" ht="69" customHeight="1" x14ac:dyDescent="0.25">
      <c r="A68" s="371"/>
      <c r="B68" s="372"/>
      <c r="C68" s="373"/>
      <c r="D68" s="252" t="s">
        <v>79</v>
      </c>
      <c r="E68" s="131">
        <v>103.58</v>
      </c>
      <c r="F68" s="120">
        <f>SUM(G68:K68)</f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378"/>
      <c r="M68" s="314"/>
    </row>
    <row r="69" spans="1:15" s="93" customFormat="1" ht="78.75" customHeight="1" x14ac:dyDescent="0.25">
      <c r="A69" s="371" t="s">
        <v>87</v>
      </c>
      <c r="B69" s="372" t="s">
        <v>214</v>
      </c>
      <c r="C69" s="373" t="s">
        <v>74</v>
      </c>
      <c r="D69" s="252" t="s">
        <v>2</v>
      </c>
      <c r="E69" s="160">
        <v>497</v>
      </c>
      <c r="F69" s="120">
        <f t="shared" ref="F69:F70" si="30">SUM(G69:K69)</f>
        <v>1500</v>
      </c>
      <c r="G69" s="160">
        <v>1500</v>
      </c>
      <c r="H69" s="160">
        <v>0</v>
      </c>
      <c r="I69" s="160">
        <v>0</v>
      </c>
      <c r="J69" s="160">
        <v>0</v>
      </c>
      <c r="K69" s="160">
        <v>0</v>
      </c>
      <c r="L69" s="413" t="s">
        <v>6</v>
      </c>
      <c r="M69" s="414" t="s">
        <v>255</v>
      </c>
    </row>
    <row r="70" spans="1:15" s="93" customFormat="1" ht="78.75" customHeight="1" x14ac:dyDescent="0.25">
      <c r="A70" s="371"/>
      <c r="B70" s="372"/>
      <c r="C70" s="373"/>
      <c r="D70" s="252" t="s">
        <v>79</v>
      </c>
      <c r="E70" s="160">
        <v>1488.3896299999999</v>
      </c>
      <c r="F70" s="120">
        <f t="shared" si="30"/>
        <v>26042.383000000002</v>
      </c>
      <c r="G70" s="160">
        <f>1500+776.01</f>
        <v>2276.0100000000002</v>
      </c>
      <c r="H70" s="160">
        <f>8000+15766.373</f>
        <v>23766.373</v>
      </c>
      <c r="I70" s="160">
        <v>0</v>
      </c>
      <c r="J70" s="160">
        <v>0</v>
      </c>
      <c r="K70" s="160">
        <v>0</v>
      </c>
      <c r="L70" s="413"/>
      <c r="M70" s="414"/>
    </row>
    <row r="71" spans="1:15" s="93" customFormat="1" ht="37.5" x14ac:dyDescent="0.25">
      <c r="A71" s="415" t="s">
        <v>128</v>
      </c>
      <c r="B71" s="416" t="s">
        <v>256</v>
      </c>
      <c r="C71" s="370" t="s">
        <v>74</v>
      </c>
      <c r="D71" s="96" t="s">
        <v>2</v>
      </c>
      <c r="E71" s="161">
        <v>0</v>
      </c>
      <c r="F71" s="128">
        <f t="shared" ref="F71" si="31">SUM(G71:K71)</f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378" t="s">
        <v>6</v>
      </c>
      <c r="M71" s="286" t="s">
        <v>109</v>
      </c>
    </row>
    <row r="72" spans="1:15" s="93" customFormat="1" ht="64.5" customHeight="1" x14ac:dyDescent="0.25">
      <c r="A72" s="415"/>
      <c r="B72" s="416"/>
      <c r="C72" s="370"/>
      <c r="D72" s="252" t="s">
        <v>79</v>
      </c>
      <c r="E72" s="160">
        <v>0</v>
      </c>
      <c r="F72" s="120">
        <f>SUM(G72:K72)</f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378"/>
      <c r="M72" s="286"/>
    </row>
    <row r="73" spans="1:15" s="93" customFormat="1" ht="61.5" customHeight="1" x14ac:dyDescent="0.25">
      <c r="A73" s="284" t="s">
        <v>129</v>
      </c>
      <c r="B73" s="287" t="s">
        <v>257</v>
      </c>
      <c r="C73" s="288" t="s">
        <v>74</v>
      </c>
      <c r="D73" s="239" t="s">
        <v>2</v>
      </c>
      <c r="E73" s="147">
        <v>7175</v>
      </c>
      <c r="F73" s="120">
        <f>SUM(G73:K73)</f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378" t="s">
        <v>6</v>
      </c>
      <c r="M73" s="414" t="s">
        <v>285</v>
      </c>
      <c r="N73" s="91"/>
      <c r="O73" s="91"/>
    </row>
    <row r="74" spans="1:15" s="93" customFormat="1" ht="56.25" x14ac:dyDescent="0.25">
      <c r="A74" s="284"/>
      <c r="B74" s="287"/>
      <c r="C74" s="288"/>
      <c r="D74" s="239" t="s">
        <v>77</v>
      </c>
      <c r="E74" s="147">
        <v>4419</v>
      </c>
      <c r="F74" s="120">
        <f>SUM(G74:K74)</f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378"/>
      <c r="M74" s="414"/>
      <c r="N74" s="91" t="s">
        <v>284</v>
      </c>
      <c r="O74" s="91"/>
    </row>
    <row r="75" spans="1:15" s="93" customFormat="1" ht="48" customHeight="1" x14ac:dyDescent="0.25">
      <c r="A75" s="371" t="s">
        <v>130</v>
      </c>
      <c r="B75" s="372" t="s">
        <v>258</v>
      </c>
      <c r="C75" s="373" t="s">
        <v>74</v>
      </c>
      <c r="D75" s="252" t="s">
        <v>66</v>
      </c>
      <c r="E75" s="131">
        <v>2407.6675399999999</v>
      </c>
      <c r="F75" s="120">
        <f t="shared" si="6"/>
        <v>30749.3433</v>
      </c>
      <c r="G75" s="131">
        <f>2513.37858+0.03044</f>
        <v>2513.4090200000001</v>
      </c>
      <c r="H75" s="131">
        <f>7596.17106+1816.24334</f>
        <v>9412.4143999999997</v>
      </c>
      <c r="I75" s="131">
        <f>7546.51875+1865.96093</f>
        <v>9412.4796800000004</v>
      </c>
      <c r="J75" s="131">
        <v>9411.0401999999995</v>
      </c>
      <c r="K75" s="131">
        <v>0</v>
      </c>
      <c r="L75" s="378" t="s">
        <v>6</v>
      </c>
      <c r="M75" s="314" t="s">
        <v>259</v>
      </c>
    </row>
    <row r="76" spans="1:15" s="93" customFormat="1" ht="37.5" x14ac:dyDescent="0.25">
      <c r="A76" s="371"/>
      <c r="B76" s="372"/>
      <c r="C76" s="373"/>
      <c r="D76" s="252" t="s">
        <v>2</v>
      </c>
      <c r="E76" s="131">
        <v>802.55584999999996</v>
      </c>
      <c r="F76" s="120">
        <f t="shared" si="6"/>
        <v>10251.6567</v>
      </c>
      <c r="G76" s="131">
        <f>837.79285+0.79813</f>
        <v>838.59098000000006</v>
      </c>
      <c r="H76" s="131">
        <f>2532.82894+604.75666</f>
        <v>3137.5855999999999</v>
      </c>
      <c r="I76" s="131">
        <f>2516.48125+621.03907</f>
        <v>3137.5203199999996</v>
      </c>
      <c r="J76" s="131">
        <v>3137.9598000000001</v>
      </c>
      <c r="K76" s="131">
        <v>0</v>
      </c>
      <c r="L76" s="378"/>
      <c r="M76" s="314"/>
    </row>
    <row r="77" spans="1:15" s="93" customFormat="1" ht="58.5" customHeight="1" x14ac:dyDescent="0.25">
      <c r="A77" s="371"/>
      <c r="B77" s="372"/>
      <c r="C77" s="373"/>
      <c r="D77" s="252" t="s">
        <v>79</v>
      </c>
      <c r="E77" s="131">
        <v>80.255589999999998</v>
      </c>
      <c r="F77" s="120">
        <f t="shared" ref="F77" si="32">SUM(G77:K77)</f>
        <v>1024.9764599999999</v>
      </c>
      <c r="G77" s="131">
        <v>83.77928</v>
      </c>
      <c r="H77" s="131">
        <f>253.2057+60.54128+0.00001</f>
        <v>313.74698999999998</v>
      </c>
      <c r="I77" s="131">
        <f>251.55063+62.19852+0.00001</f>
        <v>313.74915999999996</v>
      </c>
      <c r="J77" s="131">
        <v>313.70103</v>
      </c>
      <c r="K77" s="131">
        <v>0</v>
      </c>
      <c r="L77" s="378"/>
      <c r="M77" s="314"/>
    </row>
    <row r="78" spans="1:15" s="93" customFormat="1" ht="129" customHeight="1" x14ac:dyDescent="0.25">
      <c r="A78" s="347" t="s">
        <v>131</v>
      </c>
      <c r="B78" s="349" t="s">
        <v>260</v>
      </c>
      <c r="C78" s="351" t="s">
        <v>74</v>
      </c>
      <c r="D78" s="274" t="s">
        <v>2</v>
      </c>
      <c r="E78" s="235"/>
      <c r="F78" s="120">
        <f t="shared" ref="F78" si="33">SUM(G78:K78)</f>
        <v>294.13657999999998</v>
      </c>
      <c r="G78" s="235">
        <v>0</v>
      </c>
      <c r="H78" s="235">
        <v>294.13657999999998</v>
      </c>
      <c r="I78" s="235">
        <v>0</v>
      </c>
      <c r="J78" s="235">
        <v>0</v>
      </c>
      <c r="K78" s="235">
        <v>0</v>
      </c>
      <c r="L78" s="353" t="s">
        <v>6</v>
      </c>
      <c r="M78" s="280" t="s">
        <v>315</v>
      </c>
    </row>
    <row r="79" spans="1:15" s="93" customFormat="1" ht="148.5" customHeight="1" x14ac:dyDescent="0.25">
      <c r="A79" s="348"/>
      <c r="B79" s="350"/>
      <c r="C79" s="352"/>
      <c r="D79" s="96" t="s">
        <v>79</v>
      </c>
      <c r="E79" s="161">
        <v>0</v>
      </c>
      <c r="F79" s="120">
        <f t="shared" ref="F79" si="34">SUM(G79:K79)</f>
        <v>276423.79220999999</v>
      </c>
      <c r="G79" s="161">
        <f>130402+133500-222.6-9160.13926-11232.70813-1302.28573+3802.28573+2619.70032-3240.801</f>
        <v>245165.45193000001</v>
      </c>
      <c r="H79" s="268">
        <f>17301.16249+2526.076+10846.29+121.22342+636.6-173.01163</f>
        <v>31258.340279999997</v>
      </c>
      <c r="I79" s="161">
        <v>0</v>
      </c>
      <c r="J79" s="161">
        <v>0</v>
      </c>
      <c r="K79" s="161">
        <v>0</v>
      </c>
      <c r="L79" s="354"/>
      <c r="M79" s="282"/>
    </row>
    <row r="80" spans="1:15" s="93" customFormat="1" ht="29.25" customHeight="1" x14ac:dyDescent="0.25">
      <c r="A80" s="377" t="s">
        <v>53</v>
      </c>
      <c r="B80" s="401" t="s">
        <v>311</v>
      </c>
      <c r="C80" s="401" t="s">
        <v>74</v>
      </c>
      <c r="D80" s="256" t="s">
        <v>5</v>
      </c>
      <c r="E80" s="106">
        <f>E81+E82</f>
        <v>0</v>
      </c>
      <c r="F80" s="120">
        <f t="shared" si="6"/>
        <v>0</v>
      </c>
      <c r="G80" s="106">
        <f>G81+G82</f>
        <v>0</v>
      </c>
      <c r="H80" s="106">
        <f>H81+H82</f>
        <v>0</v>
      </c>
      <c r="I80" s="106">
        <f>I81+I82</f>
        <v>0</v>
      </c>
      <c r="J80" s="106">
        <f>J81+J82</f>
        <v>0</v>
      </c>
      <c r="K80" s="106">
        <f>K81+K82</f>
        <v>0</v>
      </c>
      <c r="L80" s="375"/>
      <c r="M80" s="376"/>
    </row>
    <row r="81" spans="1:13" s="93" customFormat="1" ht="39.75" customHeight="1" x14ac:dyDescent="0.25">
      <c r="A81" s="377"/>
      <c r="B81" s="401"/>
      <c r="C81" s="401"/>
      <c r="D81" s="256" t="s">
        <v>2</v>
      </c>
      <c r="E81" s="162">
        <f>E83</f>
        <v>0</v>
      </c>
      <c r="F81" s="120">
        <f t="shared" si="6"/>
        <v>0</v>
      </c>
      <c r="G81" s="162">
        <f t="shared" ref="G81:K82" si="35">G83</f>
        <v>0</v>
      </c>
      <c r="H81" s="162">
        <f t="shared" si="35"/>
        <v>0</v>
      </c>
      <c r="I81" s="162">
        <f t="shared" si="35"/>
        <v>0</v>
      </c>
      <c r="J81" s="162">
        <f t="shared" si="35"/>
        <v>0</v>
      </c>
      <c r="K81" s="162">
        <f t="shared" si="35"/>
        <v>0</v>
      </c>
      <c r="L81" s="375"/>
      <c r="M81" s="376"/>
    </row>
    <row r="82" spans="1:13" s="93" customFormat="1" ht="58.5" customHeight="1" x14ac:dyDescent="0.25">
      <c r="A82" s="377"/>
      <c r="B82" s="401"/>
      <c r="C82" s="401"/>
      <c r="D82" s="256" t="s">
        <v>78</v>
      </c>
      <c r="E82" s="162">
        <f>E84</f>
        <v>0</v>
      </c>
      <c r="F82" s="120">
        <f t="shared" si="6"/>
        <v>0</v>
      </c>
      <c r="G82" s="162">
        <f t="shared" si="35"/>
        <v>0</v>
      </c>
      <c r="H82" s="162">
        <f t="shared" si="35"/>
        <v>0</v>
      </c>
      <c r="I82" s="162">
        <f t="shared" si="35"/>
        <v>0</v>
      </c>
      <c r="J82" s="162">
        <f t="shared" si="35"/>
        <v>0</v>
      </c>
      <c r="K82" s="162">
        <f t="shared" si="35"/>
        <v>0</v>
      </c>
      <c r="L82" s="375"/>
      <c r="M82" s="376"/>
    </row>
    <row r="83" spans="1:13" s="93" customFormat="1" ht="37.5" x14ac:dyDescent="0.25">
      <c r="A83" s="371" t="s">
        <v>106</v>
      </c>
      <c r="B83" s="372" t="s">
        <v>261</v>
      </c>
      <c r="C83" s="373" t="s">
        <v>74</v>
      </c>
      <c r="D83" s="252" t="s">
        <v>2</v>
      </c>
      <c r="E83" s="160">
        <v>0</v>
      </c>
      <c r="F83" s="120">
        <f t="shared" si="6"/>
        <v>0</v>
      </c>
      <c r="G83" s="160">
        <v>0</v>
      </c>
      <c r="H83" s="160">
        <v>0</v>
      </c>
      <c r="I83" s="160">
        <v>0</v>
      </c>
      <c r="J83" s="160">
        <v>0</v>
      </c>
      <c r="K83" s="160">
        <v>0</v>
      </c>
      <c r="L83" s="413" t="s">
        <v>6</v>
      </c>
      <c r="M83" s="414" t="s">
        <v>262</v>
      </c>
    </row>
    <row r="84" spans="1:13" s="93" customFormat="1" ht="60" customHeight="1" x14ac:dyDescent="0.25">
      <c r="A84" s="371"/>
      <c r="B84" s="372"/>
      <c r="C84" s="373"/>
      <c r="D84" s="252" t="s">
        <v>78</v>
      </c>
      <c r="E84" s="160">
        <v>0</v>
      </c>
      <c r="F84" s="120">
        <f t="shared" si="6"/>
        <v>0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413"/>
      <c r="M84" s="414"/>
    </row>
    <row r="85" spans="1:13" ht="18.75" x14ac:dyDescent="0.25">
      <c r="A85" s="402" t="s">
        <v>28</v>
      </c>
      <c r="B85" s="403"/>
      <c r="C85" s="403"/>
      <c r="D85" s="403"/>
      <c r="E85" s="114">
        <f>E86+E87+E88+E90+E91</f>
        <v>4550919.7354699997</v>
      </c>
      <c r="F85" s="165">
        <f>SUM(G85:K85)</f>
        <v>27960600.88778</v>
      </c>
      <c r="G85" s="114">
        <f>G86+G87+G88+G90+G91</f>
        <v>5501361.8617099999</v>
      </c>
      <c r="H85" s="114">
        <f>H86+H87+H88+H90+H91</f>
        <v>5969271.3874699986</v>
      </c>
      <c r="I85" s="114">
        <f>I86+I87+I88+I90+I91</f>
        <v>5477719.1860199999</v>
      </c>
      <c r="J85" s="114">
        <f>J86+J87+J88+J90+J91</f>
        <v>5523919.1297900006</v>
      </c>
      <c r="K85" s="114">
        <f>K86+K87+K88+K90+K91</f>
        <v>5488329.3227900006</v>
      </c>
      <c r="L85" s="30"/>
      <c r="M85" s="47"/>
    </row>
    <row r="86" spans="1:13" ht="18.75" x14ac:dyDescent="0.25">
      <c r="A86" s="399" t="s">
        <v>66</v>
      </c>
      <c r="B86" s="400"/>
      <c r="C86" s="400"/>
      <c r="D86" s="400"/>
      <c r="E86" s="115">
        <f>E63</f>
        <v>5515.06754</v>
      </c>
      <c r="F86" s="165">
        <f>SUM(G86:K86)</f>
        <v>1273279.2256599998</v>
      </c>
      <c r="G86" s="115">
        <f>G63+G9+G37</f>
        <v>103891.7975</v>
      </c>
      <c r="H86" s="115">
        <f>H63+H9+H37</f>
        <v>283867.80221999995</v>
      </c>
      <c r="I86" s="115">
        <f>I63+I9+I37</f>
        <v>298187.95668</v>
      </c>
      <c r="J86" s="115">
        <f>J63+J9+J37</f>
        <v>298371.34806999995</v>
      </c>
      <c r="K86" s="115">
        <f>K63+K9+K37</f>
        <v>288960.32118999999</v>
      </c>
      <c r="L86" s="31"/>
      <c r="M86" s="48"/>
    </row>
    <row r="87" spans="1:13" ht="18.75" x14ac:dyDescent="0.25">
      <c r="A87" s="399" t="s">
        <v>2</v>
      </c>
      <c r="B87" s="400"/>
      <c r="C87" s="400"/>
      <c r="D87" s="400"/>
      <c r="E87" s="115">
        <f>E10+E34+E38+E64+E81</f>
        <v>3468603.3558499999</v>
      </c>
      <c r="F87" s="165">
        <f>SUM(G87:K87)</f>
        <v>19032217.110919997</v>
      </c>
      <c r="G87" s="115">
        <f>G10+G34+G38+G64+G81</f>
        <v>3764854.2024999997</v>
      </c>
      <c r="H87" s="115">
        <f>H10+H34+H38+H64+H81</f>
        <v>4195320.7343599992</v>
      </c>
      <c r="I87" s="115">
        <f>I10+I34+I38+I64+I81</f>
        <v>3701062.5433200002</v>
      </c>
      <c r="J87" s="115">
        <f>J10+J34+J38+J64+J81</f>
        <v>3694134.95193</v>
      </c>
      <c r="K87" s="115">
        <f>K10+K34+K38+K64+K81</f>
        <v>3676844.67881</v>
      </c>
      <c r="L87" s="31"/>
      <c r="M87" s="48"/>
    </row>
    <row r="88" spans="1:13" ht="18.75" x14ac:dyDescent="0.25">
      <c r="A88" s="399" t="s">
        <v>78</v>
      </c>
      <c r="B88" s="400"/>
      <c r="C88" s="400"/>
      <c r="D88" s="400"/>
      <c r="E88" s="115">
        <f>E11+E39+E60+E65+E82</f>
        <v>805697.33238000004</v>
      </c>
      <c r="F88" s="165">
        <f>SUM(G88:K88)</f>
        <v>6301572.7251399998</v>
      </c>
      <c r="G88" s="115">
        <f>G11+G39+G60+G65+G82</f>
        <v>1427228.51933</v>
      </c>
      <c r="H88" s="115">
        <f>H11+H39+H60+H65+H82</f>
        <v>1218266.9585799999</v>
      </c>
      <c r="I88" s="115">
        <f>I11+I39+I60+I65+I82</f>
        <v>1176042.6222299999</v>
      </c>
      <c r="J88" s="115">
        <f>J11+J39+J60+J65+J82</f>
        <v>1244461.5660000001</v>
      </c>
      <c r="K88" s="115">
        <f>K11+K39+K60+K65+K82</f>
        <v>1235573.0590000001</v>
      </c>
      <c r="L88" s="32"/>
      <c r="M88" s="48"/>
    </row>
    <row r="89" spans="1:13" ht="18.75" x14ac:dyDescent="0.3">
      <c r="A89" s="278" t="s">
        <v>118</v>
      </c>
      <c r="B89" s="279"/>
      <c r="C89" s="279"/>
      <c r="D89" s="279"/>
      <c r="E89" s="109">
        <f>E19</f>
        <v>0</v>
      </c>
      <c r="F89" s="165">
        <f>SUM(G89:K89)</f>
        <v>55693.377</v>
      </c>
      <c r="G89" s="109">
        <f>G19</f>
        <v>4822.2330000000002</v>
      </c>
      <c r="H89" s="109">
        <f>H19</f>
        <v>14095.236000000001</v>
      </c>
      <c r="I89" s="109">
        <f>I19</f>
        <v>12258.636</v>
      </c>
      <c r="J89" s="109">
        <f>J19</f>
        <v>12258.636</v>
      </c>
      <c r="K89" s="109">
        <f>K19</f>
        <v>12258.636</v>
      </c>
      <c r="L89" s="17"/>
      <c r="M89" s="58"/>
    </row>
    <row r="90" spans="1:13" ht="18.75" x14ac:dyDescent="0.3">
      <c r="A90" s="278" t="s">
        <v>25</v>
      </c>
      <c r="B90" s="279"/>
      <c r="C90" s="279"/>
      <c r="D90" s="279"/>
      <c r="E90" s="109">
        <f>E13</f>
        <v>262352.43170000002</v>
      </c>
      <c r="F90" s="165">
        <f t="shared" ref="F90:F91" si="36">SUM(G90:K90)</f>
        <v>1350521.7660600003</v>
      </c>
      <c r="G90" s="109">
        <f t="shared" ref="G90:K91" si="37">G13</f>
        <v>204913.88738000003</v>
      </c>
      <c r="H90" s="109">
        <f t="shared" si="37"/>
        <v>271101.32831000001</v>
      </c>
      <c r="I90" s="109">
        <f t="shared" si="37"/>
        <v>301818.71679000003</v>
      </c>
      <c r="J90" s="109">
        <f t="shared" si="37"/>
        <v>286343.91679000005</v>
      </c>
      <c r="K90" s="109">
        <f t="shared" si="37"/>
        <v>286343.91679000005</v>
      </c>
      <c r="L90" s="17"/>
      <c r="M90" s="58"/>
    </row>
    <row r="91" spans="1:13" ht="19.5" thickBot="1" x14ac:dyDescent="0.35">
      <c r="A91" s="335" t="s">
        <v>32</v>
      </c>
      <c r="B91" s="336"/>
      <c r="C91" s="336"/>
      <c r="D91" s="336"/>
      <c r="E91" s="118">
        <f>E14</f>
        <v>8751.5480000000007</v>
      </c>
      <c r="F91" s="165">
        <f t="shared" si="36"/>
        <v>3010.0599999999995</v>
      </c>
      <c r="G91" s="118">
        <f t="shared" si="37"/>
        <v>473.45499999999998</v>
      </c>
      <c r="H91" s="118">
        <f t="shared" si="37"/>
        <v>714.56399999999996</v>
      </c>
      <c r="I91" s="118">
        <f t="shared" si="37"/>
        <v>607.34699999999998</v>
      </c>
      <c r="J91" s="118">
        <f t="shared" si="37"/>
        <v>607.34699999999998</v>
      </c>
      <c r="K91" s="118">
        <f t="shared" si="37"/>
        <v>607.34699999999998</v>
      </c>
      <c r="L91" s="42"/>
      <c r="M91" s="43"/>
    </row>
    <row r="92" spans="1:13" ht="15.75" x14ac:dyDescent="0.25">
      <c r="A92" s="33"/>
      <c r="B92" s="33"/>
      <c r="C92" s="33"/>
      <c r="D92" s="33"/>
      <c r="E92" s="34"/>
      <c r="F92" s="35"/>
      <c r="G92" s="34"/>
      <c r="H92" s="94"/>
      <c r="I92" s="124"/>
      <c r="J92" s="116"/>
      <c r="K92" s="116"/>
      <c r="L92" s="36"/>
      <c r="M92" s="37"/>
    </row>
    <row r="93" spans="1:13" ht="18.75" x14ac:dyDescent="0.3">
      <c r="B93" s="308" t="s">
        <v>36</v>
      </c>
      <c r="C93" s="309"/>
      <c r="D93" s="309"/>
      <c r="E93" s="112">
        <f>E40</f>
        <v>13649</v>
      </c>
      <c r="F93" s="119">
        <f>SUM(G93:K93)</f>
        <v>70668</v>
      </c>
      <c r="G93" s="112">
        <f>G40</f>
        <v>14040</v>
      </c>
      <c r="H93" s="112">
        <f>H40</f>
        <v>14157</v>
      </c>
      <c r="I93" s="112">
        <f>I40</f>
        <v>14157</v>
      </c>
      <c r="J93" s="112">
        <f>J40</f>
        <v>14157</v>
      </c>
      <c r="K93" s="112">
        <f>K40</f>
        <v>14157</v>
      </c>
      <c r="L93" s="111"/>
    </row>
    <row r="94" spans="1:13" ht="18.75" x14ac:dyDescent="0.3">
      <c r="B94" s="308" t="s">
        <v>38</v>
      </c>
      <c r="C94" s="309"/>
      <c r="D94" s="309"/>
      <c r="E94" s="112">
        <f>E41</f>
        <v>0</v>
      </c>
      <c r="F94" s="119">
        <f>SUM(G94:K94)</f>
        <v>73242.931360000002</v>
      </c>
      <c r="G94" s="112">
        <f>16195+G41-5837-4996.94311</f>
        <v>10842.155890000002</v>
      </c>
      <c r="H94" s="112">
        <f>H41+10358+4339.86647-5840.643</f>
        <v>14474.61147</v>
      </c>
      <c r="I94" s="112">
        <f>I41+10358</f>
        <v>15975.387999999999</v>
      </c>
      <c r="J94" s="112">
        <f>J41+10358</f>
        <v>15975.387999999999</v>
      </c>
      <c r="K94" s="112">
        <f>K41+10358</f>
        <v>15975.387999999999</v>
      </c>
    </row>
    <row r="95" spans="1:13" ht="18.75" x14ac:dyDescent="0.3">
      <c r="B95" s="300" t="s">
        <v>37</v>
      </c>
      <c r="C95" s="301"/>
      <c r="D95" s="301"/>
      <c r="E95" s="113">
        <f>SUM(E93:E94)</f>
        <v>13649</v>
      </c>
      <c r="F95" s="113">
        <f t="shared" ref="F95:K95" si="38">SUM(F93:F94)</f>
        <v>143910.93135999999</v>
      </c>
      <c r="G95" s="113">
        <f t="shared" si="38"/>
        <v>24882.155890000002</v>
      </c>
      <c r="H95" s="113">
        <f t="shared" si="38"/>
        <v>28631.61147</v>
      </c>
      <c r="I95" s="113">
        <f t="shared" si="38"/>
        <v>30132.387999999999</v>
      </c>
      <c r="J95" s="113">
        <f t="shared" si="38"/>
        <v>30132.387999999999</v>
      </c>
      <c r="K95" s="113">
        <f t="shared" si="38"/>
        <v>30132.387999999999</v>
      </c>
    </row>
    <row r="96" spans="1:13" ht="18.75" x14ac:dyDescent="0.3">
      <c r="B96" s="308" t="s">
        <v>121</v>
      </c>
      <c r="C96" s="309"/>
      <c r="D96" s="309"/>
      <c r="E96" s="112">
        <v>0</v>
      </c>
      <c r="F96" s="119">
        <f>SUM(G96:K96)</f>
        <v>0</v>
      </c>
      <c r="G96" s="112">
        <f>10317.004-6043.49-4273.514</f>
        <v>0</v>
      </c>
      <c r="H96" s="112">
        <v>0</v>
      </c>
      <c r="I96" s="112">
        <v>0</v>
      </c>
      <c r="J96" s="112">
        <v>0</v>
      </c>
      <c r="K96" s="112">
        <v>0</v>
      </c>
      <c r="L96" s="18"/>
    </row>
    <row r="97" spans="2:12" ht="18.75" x14ac:dyDescent="0.3">
      <c r="B97" s="308" t="s">
        <v>122</v>
      </c>
      <c r="C97" s="309"/>
      <c r="D97" s="309"/>
      <c r="E97" s="112">
        <v>0</v>
      </c>
      <c r="F97" s="119">
        <f t="shared" ref="F97:F103" si="39">SUM(G97:K97)</f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8"/>
    </row>
    <row r="98" spans="2:12" ht="18.75" x14ac:dyDescent="0.3">
      <c r="B98" s="300" t="s">
        <v>123</v>
      </c>
      <c r="C98" s="301"/>
      <c r="D98" s="301"/>
      <c r="E98" s="113">
        <f t="shared" ref="E98" si="40">SUM(E96:E97)</f>
        <v>0</v>
      </c>
      <c r="F98" s="119">
        <f t="shared" si="39"/>
        <v>0</v>
      </c>
      <c r="G98" s="113">
        <f>SUM(G96:G97)</f>
        <v>0</v>
      </c>
      <c r="H98" s="113">
        <f t="shared" ref="H98:K98" si="41">SUM(H96:H97)</f>
        <v>0</v>
      </c>
      <c r="I98" s="113">
        <f t="shared" si="41"/>
        <v>0</v>
      </c>
      <c r="J98" s="113">
        <f t="shared" si="41"/>
        <v>0</v>
      </c>
      <c r="K98" s="113">
        <f t="shared" si="41"/>
        <v>0</v>
      </c>
      <c r="L98" s="18"/>
    </row>
    <row r="99" spans="2:12" ht="18.75" x14ac:dyDescent="0.3">
      <c r="B99" s="308" t="s">
        <v>69</v>
      </c>
      <c r="C99" s="309"/>
      <c r="D99" s="309"/>
      <c r="E99" s="112">
        <f t="shared" ref="E99" si="42">E86</f>
        <v>5515.06754</v>
      </c>
      <c r="F99" s="119">
        <f t="shared" si="39"/>
        <v>1273279.2256599998</v>
      </c>
      <c r="G99" s="112">
        <f>G86</f>
        <v>103891.7975</v>
      </c>
      <c r="H99" s="112">
        <f t="shared" ref="H99:K99" si="43">H86</f>
        <v>283867.80221999995</v>
      </c>
      <c r="I99" s="112">
        <f t="shared" si="43"/>
        <v>298187.95668</v>
      </c>
      <c r="J99" s="112">
        <f t="shared" si="43"/>
        <v>298371.34806999995</v>
      </c>
      <c r="K99" s="112">
        <f t="shared" si="43"/>
        <v>288960.32118999999</v>
      </c>
    </row>
    <row r="100" spans="2:12" ht="18.75" x14ac:dyDescent="0.3">
      <c r="B100" s="308" t="s">
        <v>40</v>
      </c>
      <c r="C100" s="309"/>
      <c r="D100" s="309"/>
      <c r="E100" s="112">
        <f t="shared" ref="E100" si="44">E87-E93-E97</f>
        <v>3454954.3558499999</v>
      </c>
      <c r="F100" s="119">
        <f t="shared" si="39"/>
        <v>18961549.110919997</v>
      </c>
      <c r="G100" s="112">
        <f>G87-G93-G97</f>
        <v>3750814.2024999997</v>
      </c>
      <c r="H100" s="112">
        <f t="shared" ref="H100:K100" si="45">H87-H93-H97</f>
        <v>4181163.7343599992</v>
      </c>
      <c r="I100" s="112">
        <f t="shared" si="45"/>
        <v>3686905.5433200002</v>
      </c>
      <c r="J100" s="112">
        <f t="shared" si="45"/>
        <v>3679977.95193</v>
      </c>
      <c r="K100" s="112">
        <f t="shared" si="45"/>
        <v>3662687.67881</v>
      </c>
    </row>
    <row r="101" spans="2:12" ht="18.75" x14ac:dyDescent="0.3">
      <c r="B101" s="308" t="s">
        <v>39</v>
      </c>
      <c r="C101" s="309"/>
      <c r="D101" s="309"/>
      <c r="E101" s="112">
        <f t="shared" ref="E101" si="46">E88-E94-E96</f>
        <v>805697.33238000004</v>
      </c>
      <c r="F101" s="119">
        <f t="shared" si="39"/>
        <v>6228329.7937799999</v>
      </c>
      <c r="G101" s="112">
        <f>G88-G94-G96</f>
        <v>1416386.36344</v>
      </c>
      <c r="H101" s="112">
        <f t="shared" ref="H101:K101" si="47">H88-H94-H96</f>
        <v>1203792.34711</v>
      </c>
      <c r="I101" s="112">
        <f t="shared" si="47"/>
        <v>1160067.2342299998</v>
      </c>
      <c r="J101" s="112">
        <f t="shared" si="47"/>
        <v>1228486.1780000001</v>
      </c>
      <c r="K101" s="112">
        <f t="shared" si="47"/>
        <v>1219597.6710000001</v>
      </c>
    </row>
    <row r="102" spans="2:12" ht="18.75" x14ac:dyDescent="0.3">
      <c r="B102" s="308" t="s">
        <v>25</v>
      </c>
      <c r="C102" s="309"/>
      <c r="D102" s="309"/>
      <c r="E102" s="112">
        <f t="shared" ref="E102" si="48">E90</f>
        <v>262352.43170000002</v>
      </c>
      <c r="F102" s="119">
        <f t="shared" si="39"/>
        <v>1350521.7660600003</v>
      </c>
      <c r="G102" s="112">
        <f>G90</f>
        <v>204913.88738000003</v>
      </c>
      <c r="H102" s="112">
        <f t="shared" ref="H102:K102" si="49">H90</f>
        <v>271101.32831000001</v>
      </c>
      <c r="I102" s="112">
        <f t="shared" si="49"/>
        <v>301818.71679000003</v>
      </c>
      <c r="J102" s="112">
        <f t="shared" si="49"/>
        <v>286343.91679000005</v>
      </c>
      <c r="K102" s="112">
        <f t="shared" si="49"/>
        <v>286343.91679000005</v>
      </c>
    </row>
    <row r="103" spans="2:12" ht="18.75" x14ac:dyDescent="0.3">
      <c r="B103" s="308" t="s">
        <v>32</v>
      </c>
      <c r="C103" s="309"/>
      <c r="D103" s="309"/>
      <c r="E103" s="112">
        <f t="shared" ref="E103" si="50">E91</f>
        <v>8751.5480000000007</v>
      </c>
      <c r="F103" s="119">
        <f t="shared" si="39"/>
        <v>3010.0599999999995</v>
      </c>
      <c r="G103" s="112">
        <f>G91</f>
        <v>473.45499999999998</v>
      </c>
      <c r="H103" s="112">
        <f t="shared" ref="H103:K103" si="51">H91</f>
        <v>714.56399999999996</v>
      </c>
      <c r="I103" s="112">
        <f t="shared" si="51"/>
        <v>607.34699999999998</v>
      </c>
      <c r="J103" s="112">
        <f t="shared" si="51"/>
        <v>607.34699999999998</v>
      </c>
      <c r="K103" s="112">
        <f t="shared" si="51"/>
        <v>607.34699999999998</v>
      </c>
    </row>
    <row r="104" spans="2:12" ht="18.75" x14ac:dyDescent="0.3">
      <c r="B104" s="300" t="s">
        <v>41</v>
      </c>
      <c r="C104" s="301"/>
      <c r="D104" s="301"/>
      <c r="E104" s="113">
        <f t="shared" ref="E104:K104" si="52">SUM(E99:E103)</f>
        <v>4537270.7354699997</v>
      </c>
      <c r="F104" s="119">
        <f t="shared" si="52"/>
        <v>27816689.956419993</v>
      </c>
      <c r="G104" s="113">
        <f t="shared" si="52"/>
        <v>5476479.7058199998</v>
      </c>
      <c r="H104" s="113">
        <f t="shared" si="52"/>
        <v>5940639.7759999996</v>
      </c>
      <c r="I104" s="123">
        <f t="shared" si="52"/>
        <v>5447586.7980199996</v>
      </c>
      <c r="J104" s="113">
        <f t="shared" si="52"/>
        <v>5493786.7417900003</v>
      </c>
      <c r="K104" s="113">
        <f t="shared" si="52"/>
        <v>5458196.9347900003</v>
      </c>
    </row>
    <row r="105" spans="2:12" x14ac:dyDescent="0.25">
      <c r="F105" s="19"/>
    </row>
    <row r="106" spans="2:12" x14ac:dyDescent="0.25">
      <c r="F106" s="188">
        <f>F95+F98+F104</f>
        <v>27960600.887779992</v>
      </c>
      <c r="G106" s="111">
        <f>G95+G98+G104</f>
        <v>5501361.8617099999</v>
      </c>
      <c r="H106" s="111">
        <f t="shared" ref="H106:K106" si="53">H95+H98+H104</f>
        <v>5969271.3874699995</v>
      </c>
      <c r="I106" s="111">
        <f t="shared" si="53"/>
        <v>5477719.1860199999</v>
      </c>
      <c r="J106" s="111">
        <f t="shared" si="53"/>
        <v>5523919.1297900006</v>
      </c>
      <c r="K106" s="111">
        <f t="shared" si="53"/>
        <v>5488329.3227900006</v>
      </c>
    </row>
    <row r="107" spans="2:12" ht="15.75" x14ac:dyDescent="0.25">
      <c r="H107" s="92"/>
      <c r="I107" s="91"/>
      <c r="J107" s="12"/>
      <c r="K107" s="12"/>
    </row>
    <row r="108" spans="2:12" ht="15.75" x14ac:dyDescent="0.25">
      <c r="G108" s="111"/>
      <c r="H108" s="92"/>
    </row>
    <row r="109" spans="2:12" ht="15.75" x14ac:dyDescent="0.25">
      <c r="H109" s="92">
        <v>1219793.196</v>
      </c>
      <c r="I109" s="93">
        <v>1221758.808</v>
      </c>
      <c r="J109" s="2">
        <v>1216477.405</v>
      </c>
    </row>
    <row r="110" spans="2:12" x14ac:dyDescent="0.25">
      <c r="H110" s="91">
        <f>H101-H109</f>
        <v>-16000.848890000023</v>
      </c>
      <c r="I110" s="91">
        <f t="shared" ref="I110:J110" si="54">I101-I109</f>
        <v>-61691.573770000134</v>
      </c>
      <c r="J110" s="91">
        <f t="shared" si="54"/>
        <v>12008.773000000045</v>
      </c>
    </row>
    <row r="111" spans="2:12" x14ac:dyDescent="0.25">
      <c r="H111" s="91"/>
    </row>
    <row r="113" spans="8:8" x14ac:dyDescent="0.25">
      <c r="H113" s="95"/>
    </row>
    <row r="114" spans="8:8" x14ac:dyDescent="0.25">
      <c r="H114" s="95"/>
    </row>
    <row r="115" spans="8:8" x14ac:dyDescent="0.25">
      <c r="H115" s="95"/>
    </row>
  </sheetData>
  <mergeCells count="154">
    <mergeCell ref="A17:A21"/>
    <mergeCell ref="B17:B21"/>
    <mergeCell ref="C17:C21"/>
    <mergeCell ref="L17:L21"/>
    <mergeCell ref="M17:M21"/>
    <mergeCell ref="A56:A58"/>
    <mergeCell ref="B56:B58"/>
    <mergeCell ref="C56:C58"/>
    <mergeCell ref="L56:L58"/>
    <mergeCell ref="M56:M58"/>
    <mergeCell ref="L45:L46"/>
    <mergeCell ref="M33:M34"/>
    <mergeCell ref="M36:M39"/>
    <mergeCell ref="M45:M46"/>
    <mergeCell ref="L36:L39"/>
    <mergeCell ref="M42:M43"/>
    <mergeCell ref="L42:L43"/>
    <mergeCell ref="B33:B34"/>
    <mergeCell ref="C33:C34"/>
    <mergeCell ref="L33:L34"/>
    <mergeCell ref="A47:A48"/>
    <mergeCell ref="A49:A50"/>
    <mergeCell ref="B49:B50"/>
    <mergeCell ref="C49:C50"/>
    <mergeCell ref="L83:L84"/>
    <mergeCell ref="M83:M84"/>
    <mergeCell ref="A80:A82"/>
    <mergeCell ref="B80:B82"/>
    <mergeCell ref="C80:C82"/>
    <mergeCell ref="L80:L82"/>
    <mergeCell ref="M80:M82"/>
    <mergeCell ref="A83:A84"/>
    <mergeCell ref="B83:B84"/>
    <mergeCell ref="C83:C84"/>
    <mergeCell ref="M62:M65"/>
    <mergeCell ref="A59:A60"/>
    <mergeCell ref="B59:B60"/>
    <mergeCell ref="L59:L60"/>
    <mergeCell ref="M59:M60"/>
    <mergeCell ref="L69:L70"/>
    <mergeCell ref="M69:M70"/>
    <mergeCell ref="M73:M74"/>
    <mergeCell ref="L73:L74"/>
    <mergeCell ref="A66:A68"/>
    <mergeCell ref="C66:C68"/>
    <mergeCell ref="L66:L68"/>
    <mergeCell ref="M66:M68"/>
    <mergeCell ref="B66:B68"/>
    <mergeCell ref="L71:L72"/>
    <mergeCell ref="M71:M72"/>
    <mergeCell ref="A73:A74"/>
    <mergeCell ref="B73:B74"/>
    <mergeCell ref="C73:C74"/>
    <mergeCell ref="A71:A72"/>
    <mergeCell ref="B71:B72"/>
    <mergeCell ref="B104:D104"/>
    <mergeCell ref="A88:D88"/>
    <mergeCell ref="A87:D87"/>
    <mergeCell ref="B102:D102"/>
    <mergeCell ref="B103:D103"/>
    <mergeCell ref="B94:D94"/>
    <mergeCell ref="B93:D93"/>
    <mergeCell ref="B95:D95"/>
    <mergeCell ref="A91:D91"/>
    <mergeCell ref="A90:D90"/>
    <mergeCell ref="B101:D101"/>
    <mergeCell ref="B100:D100"/>
    <mergeCell ref="B96:D96"/>
    <mergeCell ref="B97:D97"/>
    <mergeCell ref="B98:D98"/>
    <mergeCell ref="A89:D89"/>
    <mergeCell ref="A86:D86"/>
    <mergeCell ref="B99:D99"/>
    <mergeCell ref="A8:A14"/>
    <mergeCell ref="B8:B14"/>
    <mergeCell ref="C8:C14"/>
    <mergeCell ref="B36:B39"/>
    <mergeCell ref="C36:C39"/>
    <mergeCell ref="A62:A65"/>
    <mergeCell ref="A85:D85"/>
    <mergeCell ref="A45:A46"/>
    <mergeCell ref="B45:B46"/>
    <mergeCell ref="C45:C46"/>
    <mergeCell ref="C59:C60"/>
    <mergeCell ref="B62:B65"/>
    <mergeCell ref="C62:C65"/>
    <mergeCell ref="A75:A77"/>
    <mergeCell ref="B75:B77"/>
    <mergeCell ref="C75:C77"/>
    <mergeCell ref="C42:C43"/>
    <mergeCell ref="B42:B43"/>
    <mergeCell ref="A28:A30"/>
    <mergeCell ref="A40:A41"/>
    <mergeCell ref="B40:B41"/>
    <mergeCell ref="A33:A34"/>
    <mergeCell ref="A7:M7"/>
    <mergeCell ref="L8:L14"/>
    <mergeCell ref="M8:M14"/>
    <mergeCell ref="A36:A39"/>
    <mergeCell ref="L47:L48"/>
    <mergeCell ref="M47:M48"/>
    <mergeCell ref="L2:L4"/>
    <mergeCell ref="A6:M6"/>
    <mergeCell ref="B2:B4"/>
    <mergeCell ref="A2:A4"/>
    <mergeCell ref="F2:F4"/>
    <mergeCell ref="C2:C4"/>
    <mergeCell ref="D2:D4"/>
    <mergeCell ref="M2:M4"/>
    <mergeCell ref="G2:K3"/>
    <mergeCell ref="E2:E4"/>
    <mergeCell ref="C40:C41"/>
    <mergeCell ref="L40:L41"/>
    <mergeCell ref="M40:M41"/>
    <mergeCell ref="A42:A43"/>
    <mergeCell ref="B28:B30"/>
    <mergeCell ref="C28:C30"/>
    <mergeCell ref="B47:B48"/>
    <mergeCell ref="C47:C48"/>
    <mergeCell ref="A22:A23"/>
    <mergeCell ref="B22:B23"/>
    <mergeCell ref="M22:M23"/>
    <mergeCell ref="L22:L23"/>
    <mergeCell ref="M28:M30"/>
    <mergeCell ref="L28:L30"/>
    <mergeCell ref="B31:B32"/>
    <mergeCell ref="A31:A32"/>
    <mergeCell ref="C31:C32"/>
    <mergeCell ref="L31:L32"/>
    <mergeCell ref="M31:M32"/>
    <mergeCell ref="A78:A79"/>
    <mergeCell ref="B78:B79"/>
    <mergeCell ref="C78:C79"/>
    <mergeCell ref="L78:L79"/>
    <mergeCell ref="M78:M79"/>
    <mergeCell ref="L49:L50"/>
    <mergeCell ref="M49:M50"/>
    <mergeCell ref="A51:A53"/>
    <mergeCell ref="B51:B53"/>
    <mergeCell ref="C51:C53"/>
    <mergeCell ref="L51:L53"/>
    <mergeCell ref="M51:M53"/>
    <mergeCell ref="C71:C72"/>
    <mergeCell ref="A69:A70"/>
    <mergeCell ref="B69:B70"/>
    <mergeCell ref="C69:C70"/>
    <mergeCell ref="A54:A55"/>
    <mergeCell ref="B54:B55"/>
    <mergeCell ref="C54:C55"/>
    <mergeCell ref="L54:L55"/>
    <mergeCell ref="M54:M55"/>
    <mergeCell ref="L75:L77"/>
    <mergeCell ref="M75:M77"/>
    <mergeCell ref="L62:L65"/>
  </mergeCells>
  <pageMargins left="0.19685039370078741" right="0.19685039370078741" top="0.59055118110236227" bottom="0.19685039370078741" header="0.39370078740157483" footer="0"/>
  <pageSetup paperSize="9" scale="44" firstPageNumber="5" fitToHeight="0" orientation="landscape" useFirstPageNumber="1" r:id="rId1"/>
  <headerFooter alignWithMargins="0">
    <oddHeader>&amp;C&amp;"Times New Roman,обычный"&amp;12&amp;K000000&amp;P</oddHeader>
  </headerFooter>
  <rowBreaks count="1" manualBreakCount="1">
    <brk id="6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B91"/>
  <sheetViews>
    <sheetView tabSelected="1" view="pageBreakPreview" zoomScale="70" zoomScaleNormal="70" zoomScaleSheetLayoutView="70" workbookViewId="0">
      <selection activeCell="B59" sqref="B59:B62"/>
    </sheetView>
  </sheetViews>
  <sheetFormatPr defaultColWidth="9.140625" defaultRowHeight="15" x14ac:dyDescent="0.25"/>
  <cols>
    <col min="1" max="1" width="8.28515625" style="2" customWidth="1"/>
    <col min="2" max="2" width="66.85546875" style="2" customWidth="1"/>
    <col min="3" max="3" width="18.5703125" style="44" customWidth="1"/>
    <col min="4" max="4" width="31.140625" style="2" customWidth="1"/>
    <col min="5" max="5" width="20.7109375" style="2" hidden="1" customWidth="1"/>
    <col min="6" max="6" width="21.7109375" style="22" customWidth="1"/>
    <col min="7" max="7" width="18" style="2" customWidth="1"/>
    <col min="8" max="9" width="18" style="93" customWidth="1"/>
    <col min="10" max="11" width="18" style="2" customWidth="1"/>
    <col min="12" max="12" width="23.42578125" style="2" customWidth="1"/>
    <col min="13" max="13" width="44.140625" style="2" customWidth="1"/>
    <col min="14" max="16" width="23.140625" style="2" hidden="1" customWidth="1"/>
    <col min="17" max="17" width="20" style="2" hidden="1" customWidth="1"/>
    <col min="18" max="18" width="23.42578125" style="23" customWidth="1"/>
    <col min="19" max="20" width="9.140625" style="23" customWidth="1"/>
    <col min="21" max="28" width="9.140625" style="23"/>
    <col min="29" max="16384" width="9.140625" style="2"/>
  </cols>
  <sheetData>
    <row r="1" spans="1:20" ht="15.75" customHeight="1" thickBot="1" x14ac:dyDescent="0.3">
      <c r="A1" s="1"/>
      <c r="B1" s="3"/>
      <c r="C1" s="4"/>
      <c r="D1" s="5"/>
      <c r="E1" s="5"/>
      <c r="F1" s="24"/>
      <c r="G1" s="6"/>
      <c r="H1" s="89"/>
      <c r="I1" s="89"/>
      <c r="J1" s="6"/>
      <c r="K1" s="6"/>
      <c r="L1" s="263"/>
      <c r="M1" s="263"/>
      <c r="N1" s="103"/>
      <c r="O1" s="103"/>
      <c r="P1" s="103"/>
    </row>
    <row r="2" spans="1:20" ht="15.75" customHeight="1" x14ac:dyDescent="0.25">
      <c r="A2" s="439" t="s">
        <v>0</v>
      </c>
      <c r="B2" s="432" t="s">
        <v>8</v>
      </c>
      <c r="C2" s="432" t="s">
        <v>90</v>
      </c>
      <c r="D2" s="432" t="s">
        <v>9</v>
      </c>
      <c r="E2" s="432" t="s">
        <v>70</v>
      </c>
      <c r="F2" s="442" t="s">
        <v>10</v>
      </c>
      <c r="G2" s="432" t="s">
        <v>23</v>
      </c>
      <c r="H2" s="432"/>
      <c r="I2" s="432"/>
      <c r="J2" s="432"/>
      <c r="K2" s="432"/>
      <c r="L2" s="438" t="s">
        <v>11</v>
      </c>
      <c r="M2" s="434" t="s">
        <v>4</v>
      </c>
      <c r="N2" s="76"/>
      <c r="O2" s="76"/>
      <c r="P2" s="76"/>
    </row>
    <row r="3" spans="1:20" ht="15.75" customHeight="1" x14ac:dyDescent="0.25">
      <c r="A3" s="440"/>
      <c r="B3" s="433"/>
      <c r="C3" s="433"/>
      <c r="D3" s="441"/>
      <c r="E3" s="433"/>
      <c r="F3" s="443"/>
      <c r="G3" s="433"/>
      <c r="H3" s="433"/>
      <c r="I3" s="433"/>
      <c r="J3" s="433"/>
      <c r="K3" s="433"/>
      <c r="L3" s="437"/>
      <c r="M3" s="435"/>
      <c r="N3" s="76"/>
      <c r="O3" s="76"/>
      <c r="P3" s="76"/>
    </row>
    <row r="4" spans="1:20" ht="46.5" customHeight="1" x14ac:dyDescent="0.25">
      <c r="A4" s="440"/>
      <c r="B4" s="433"/>
      <c r="C4" s="441"/>
      <c r="D4" s="441"/>
      <c r="E4" s="433"/>
      <c r="F4" s="443"/>
      <c r="G4" s="262" t="s">
        <v>57</v>
      </c>
      <c r="H4" s="96" t="s">
        <v>58</v>
      </c>
      <c r="I4" s="96" t="s">
        <v>71</v>
      </c>
      <c r="J4" s="262" t="s">
        <v>72</v>
      </c>
      <c r="K4" s="262" t="s">
        <v>73</v>
      </c>
      <c r="L4" s="437"/>
      <c r="M4" s="435"/>
      <c r="N4" s="76" t="s">
        <v>67</v>
      </c>
      <c r="O4" s="76" t="s">
        <v>68</v>
      </c>
      <c r="P4" s="76"/>
    </row>
    <row r="5" spans="1:20" ht="21" customHeight="1" x14ac:dyDescent="0.25">
      <c r="A5" s="8">
        <v>1</v>
      </c>
      <c r="B5" s="9">
        <v>2</v>
      </c>
      <c r="C5" s="9" t="s">
        <v>12</v>
      </c>
      <c r="D5" s="9" t="s">
        <v>56</v>
      </c>
      <c r="E5" s="9" t="s">
        <v>13</v>
      </c>
      <c r="F5" s="10" t="s">
        <v>13</v>
      </c>
      <c r="G5" s="9" t="s">
        <v>53</v>
      </c>
      <c r="H5" s="90" t="s">
        <v>14</v>
      </c>
      <c r="I5" s="90" t="s">
        <v>54</v>
      </c>
      <c r="J5" s="9" t="s">
        <v>15</v>
      </c>
      <c r="K5" s="9" t="s">
        <v>16</v>
      </c>
      <c r="L5" s="9" t="s">
        <v>19</v>
      </c>
      <c r="M5" s="11" t="s">
        <v>20</v>
      </c>
      <c r="N5" s="74"/>
      <c r="O5" s="74"/>
      <c r="P5" s="74"/>
    </row>
    <row r="6" spans="1:20" ht="33" customHeight="1" x14ac:dyDescent="0.25">
      <c r="A6" s="436" t="s">
        <v>141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5"/>
      <c r="N6" s="76"/>
      <c r="O6" s="76"/>
      <c r="P6" s="76"/>
    </row>
    <row r="7" spans="1:20" s="93" customFormat="1" ht="18.75" x14ac:dyDescent="0.25">
      <c r="A7" s="377" t="s">
        <v>18</v>
      </c>
      <c r="B7" s="401" t="s">
        <v>192</v>
      </c>
      <c r="C7" s="401" t="s">
        <v>74</v>
      </c>
      <c r="D7" s="256" t="s">
        <v>5</v>
      </c>
      <c r="E7" s="106">
        <f>E8</f>
        <v>1000</v>
      </c>
      <c r="F7" s="120">
        <f>SUM(G7:K7)</f>
        <v>5000</v>
      </c>
      <c r="G7" s="106">
        <f t="shared" ref="G7:K8" si="0">G8</f>
        <v>1000</v>
      </c>
      <c r="H7" s="106">
        <f t="shared" si="0"/>
        <v>1000</v>
      </c>
      <c r="I7" s="106">
        <f t="shared" si="0"/>
        <v>1000</v>
      </c>
      <c r="J7" s="106">
        <f t="shared" si="0"/>
        <v>1000</v>
      </c>
      <c r="K7" s="106">
        <f t="shared" si="0"/>
        <v>1000</v>
      </c>
      <c r="L7" s="375"/>
      <c r="M7" s="376"/>
      <c r="N7" s="179"/>
      <c r="O7" s="179"/>
      <c r="P7" s="179"/>
    </row>
    <row r="8" spans="1:20" s="93" customFormat="1" ht="58.5" customHeight="1" x14ac:dyDescent="0.25">
      <c r="A8" s="377"/>
      <c r="B8" s="401"/>
      <c r="C8" s="401"/>
      <c r="D8" s="256" t="s">
        <v>78</v>
      </c>
      <c r="E8" s="162">
        <f>E9</f>
        <v>1000</v>
      </c>
      <c r="F8" s="120">
        <f>SUM(G8:K8)</f>
        <v>5000</v>
      </c>
      <c r="G8" s="162">
        <f t="shared" si="0"/>
        <v>1000</v>
      </c>
      <c r="H8" s="162">
        <f t="shared" si="0"/>
        <v>1000</v>
      </c>
      <c r="I8" s="162">
        <f t="shared" si="0"/>
        <v>1000</v>
      </c>
      <c r="J8" s="162">
        <f t="shared" si="0"/>
        <v>1000</v>
      </c>
      <c r="K8" s="162">
        <f t="shared" si="0"/>
        <v>1000</v>
      </c>
      <c r="L8" s="375"/>
      <c r="M8" s="376"/>
      <c r="N8" s="179"/>
      <c r="O8" s="179"/>
      <c r="P8" s="179"/>
    </row>
    <row r="9" spans="1:20" s="93" customFormat="1" ht="66.75" customHeight="1" x14ac:dyDescent="0.25">
      <c r="A9" s="250" t="s">
        <v>43</v>
      </c>
      <c r="B9" s="251" t="s">
        <v>263</v>
      </c>
      <c r="C9" s="252" t="s">
        <v>74</v>
      </c>
      <c r="D9" s="252" t="s">
        <v>79</v>
      </c>
      <c r="E9" s="160">
        <v>1000</v>
      </c>
      <c r="F9" s="120">
        <f t="shared" ref="F9:F41" si="1">SUM(G9:K9)</f>
        <v>5000</v>
      </c>
      <c r="G9" s="160">
        <v>1000</v>
      </c>
      <c r="H9" s="160">
        <v>1000</v>
      </c>
      <c r="I9" s="160">
        <v>1000</v>
      </c>
      <c r="J9" s="160">
        <v>1000</v>
      </c>
      <c r="K9" s="160">
        <v>1000</v>
      </c>
      <c r="L9" s="257" t="s">
        <v>6</v>
      </c>
      <c r="M9" s="258" t="s">
        <v>135</v>
      </c>
      <c r="N9" s="180">
        <v>0</v>
      </c>
      <c r="O9" s="181">
        <v>0</v>
      </c>
      <c r="P9" s="182">
        <f t="shared" ref="P9:P23" si="2">N9-O9</f>
        <v>0</v>
      </c>
    </row>
    <row r="10" spans="1:20" s="93" customFormat="1" ht="18.75" x14ac:dyDescent="0.3">
      <c r="A10" s="315" t="s">
        <v>180</v>
      </c>
      <c r="B10" s="312" t="s">
        <v>193</v>
      </c>
      <c r="C10" s="305" t="s">
        <v>74</v>
      </c>
      <c r="D10" s="153" t="s">
        <v>5</v>
      </c>
      <c r="E10" s="154">
        <f>E11+E12</f>
        <v>88624.948039999988</v>
      </c>
      <c r="F10" s="120">
        <f t="shared" ref="F10:F14" si="3">SUM(G10:K10)</f>
        <v>1003572.6960699999</v>
      </c>
      <c r="G10" s="154">
        <f>G11+G12</f>
        <v>538377.00601000001</v>
      </c>
      <c r="H10" s="154">
        <f>H11+H12</f>
        <v>110619.52649000002</v>
      </c>
      <c r="I10" s="154">
        <f>I11+I12</f>
        <v>118249.94356999999</v>
      </c>
      <c r="J10" s="154">
        <f>J11+J12</f>
        <v>118163.10999999999</v>
      </c>
      <c r="K10" s="154">
        <f>K11+K12</f>
        <v>118163.10999999999</v>
      </c>
      <c r="L10" s="328"/>
      <c r="M10" s="325"/>
      <c r="N10" s="183"/>
      <c r="O10" s="183"/>
      <c r="P10" s="183"/>
    </row>
    <row r="11" spans="1:20" s="93" customFormat="1" ht="56.25" x14ac:dyDescent="0.3">
      <c r="A11" s="315"/>
      <c r="B11" s="312"/>
      <c r="C11" s="305"/>
      <c r="D11" s="242" t="s">
        <v>77</v>
      </c>
      <c r="E11" s="156">
        <f>E13+E15+E16+E17+E18</f>
        <v>74745.548039999994</v>
      </c>
      <c r="F11" s="120">
        <f t="shared" si="3"/>
        <v>817514.25862999994</v>
      </c>
      <c r="G11" s="156">
        <f t="shared" ref="G11:K11" si="4">G13+G15+G16+G17+G18</f>
        <v>458851.30935999996</v>
      </c>
      <c r="H11" s="156">
        <f t="shared" si="4"/>
        <v>89961.425700000022</v>
      </c>
      <c r="I11" s="156">
        <f t="shared" si="4"/>
        <v>89625.063569999984</v>
      </c>
      <c r="J11" s="156">
        <f t="shared" si="4"/>
        <v>89538.229999999981</v>
      </c>
      <c r="K11" s="156">
        <f t="shared" si="4"/>
        <v>89538.229999999981</v>
      </c>
      <c r="L11" s="328"/>
      <c r="M11" s="325"/>
      <c r="N11" s="183"/>
      <c r="O11" s="183"/>
      <c r="P11" s="183"/>
      <c r="Q11" s="91"/>
    </row>
    <row r="12" spans="1:20" s="93" customFormat="1" ht="75" x14ac:dyDescent="0.3">
      <c r="A12" s="315"/>
      <c r="B12" s="312"/>
      <c r="C12" s="305"/>
      <c r="D12" s="243" t="s">
        <v>25</v>
      </c>
      <c r="E12" s="157">
        <f>E14</f>
        <v>13879.4</v>
      </c>
      <c r="F12" s="120">
        <f t="shared" si="3"/>
        <v>186058.43744000004</v>
      </c>
      <c r="G12" s="157">
        <f t="shared" ref="G12:K12" si="5">G14</f>
        <v>79525.696650000013</v>
      </c>
      <c r="H12" s="157">
        <f t="shared" si="5"/>
        <v>20658.100790000004</v>
      </c>
      <c r="I12" s="157">
        <f t="shared" si="5"/>
        <v>28624.880000000005</v>
      </c>
      <c r="J12" s="157">
        <f t="shared" si="5"/>
        <v>28624.880000000005</v>
      </c>
      <c r="K12" s="157">
        <f t="shared" si="5"/>
        <v>28624.880000000005</v>
      </c>
      <c r="L12" s="328"/>
      <c r="M12" s="325"/>
      <c r="N12" s="183"/>
      <c r="O12" s="183"/>
      <c r="P12" s="183"/>
      <c r="R12" s="91"/>
      <c r="S12" s="184"/>
      <c r="T12" s="184"/>
    </row>
    <row r="13" spans="1:20" s="93" customFormat="1" ht="56.25" x14ac:dyDescent="0.25">
      <c r="A13" s="283" t="s">
        <v>47</v>
      </c>
      <c r="B13" s="289" t="s">
        <v>264</v>
      </c>
      <c r="C13" s="334" t="s">
        <v>74</v>
      </c>
      <c r="D13" s="246" t="s">
        <v>77</v>
      </c>
      <c r="E13" s="148">
        <v>74745.548039999994</v>
      </c>
      <c r="F13" s="120">
        <f t="shared" si="3"/>
        <v>795185.86462999997</v>
      </c>
      <c r="G13" s="149">
        <f>94313.663+826+375808.1-4392+416.394-416.394-3674-5175.2291-0.62092+1284.7+1163.01-5864.4+100+144.5996-490.90722</f>
        <v>454042.91535999998</v>
      </c>
      <c r="H13" s="149">
        <f>85063.651+379358.914+815-379358.914+89.67471-0.00001-386.9</f>
        <v>85581.425700000022</v>
      </c>
      <c r="I13" s="149">
        <f>84343.23+379358.914+815-379358.914+86.83357</f>
        <v>85245.063569999984</v>
      </c>
      <c r="J13" s="149">
        <f>84343.23+379358.914+815-379358.914</f>
        <v>85158.229999999981</v>
      </c>
      <c r="K13" s="149">
        <f>84343.23+379358.914+815-379358.914</f>
        <v>85158.229999999981</v>
      </c>
      <c r="L13" s="277" t="s">
        <v>119</v>
      </c>
      <c r="M13" s="314" t="s">
        <v>136</v>
      </c>
      <c r="N13" s="180">
        <v>1441905</v>
      </c>
      <c r="O13" s="185">
        <v>1369809</v>
      </c>
      <c r="P13" s="185">
        <f t="shared" ref="P13" si="6">N13-O13</f>
        <v>72096</v>
      </c>
      <c r="R13" s="93" t="s">
        <v>302</v>
      </c>
    </row>
    <row r="14" spans="1:20" s="93" customFormat="1" ht="75" x14ac:dyDescent="0.25">
      <c r="A14" s="283"/>
      <c r="B14" s="289"/>
      <c r="C14" s="334"/>
      <c r="D14" s="246" t="s">
        <v>25</v>
      </c>
      <c r="E14" s="148">
        <v>13879.4</v>
      </c>
      <c r="F14" s="120">
        <f t="shared" si="3"/>
        <v>186058.43744000004</v>
      </c>
      <c r="G14" s="149">
        <f>23525.8+67644.22765+4275-3353.795-7429.2-5136.336</f>
        <v>79525.696650000013</v>
      </c>
      <c r="H14" s="149">
        <f>23525.8+68725.479+4275-68725.479+804.08-3133.17921-4813.6</f>
        <v>20658.100790000004</v>
      </c>
      <c r="I14" s="149">
        <f>23525.8+68725.479+4275-68725.479+824.08</f>
        <v>28624.880000000005</v>
      </c>
      <c r="J14" s="149">
        <f>23525.8+68725.479+4275-68725.479+824.08</f>
        <v>28624.880000000005</v>
      </c>
      <c r="K14" s="149">
        <v>28624.880000000005</v>
      </c>
      <c r="L14" s="277"/>
      <c r="M14" s="314"/>
      <c r="N14" s="185"/>
      <c r="O14" s="185"/>
      <c r="P14" s="185"/>
    </row>
    <row r="15" spans="1:20" s="93" customFormat="1" ht="174.75" customHeight="1" x14ac:dyDescent="0.25">
      <c r="A15" s="211" t="s">
        <v>48</v>
      </c>
      <c r="B15" s="150" t="s">
        <v>265</v>
      </c>
      <c r="C15" s="151" t="s">
        <v>74</v>
      </c>
      <c r="D15" s="247" t="s">
        <v>77</v>
      </c>
      <c r="E15" s="149">
        <v>0</v>
      </c>
      <c r="F15" s="130">
        <f t="shared" ref="F15:F17" si="7">SUM(G15:K15)</f>
        <v>416.39400000000001</v>
      </c>
      <c r="G15" s="149">
        <v>416.39400000000001</v>
      </c>
      <c r="H15" s="149">
        <v>0</v>
      </c>
      <c r="I15" s="149">
        <v>0</v>
      </c>
      <c r="J15" s="149">
        <v>0</v>
      </c>
      <c r="K15" s="149">
        <v>0</v>
      </c>
      <c r="L15" s="152" t="s">
        <v>6</v>
      </c>
      <c r="M15" s="245" t="s">
        <v>177</v>
      </c>
    </row>
    <row r="16" spans="1:20" s="93" customFormat="1" ht="78" customHeight="1" x14ac:dyDescent="0.25">
      <c r="A16" s="211" t="s">
        <v>49</v>
      </c>
      <c r="B16" s="150" t="s">
        <v>266</v>
      </c>
      <c r="C16" s="151" t="s">
        <v>74</v>
      </c>
      <c r="D16" s="247" t="s">
        <v>77</v>
      </c>
      <c r="E16" s="149">
        <v>0</v>
      </c>
      <c r="F16" s="130">
        <f t="shared" si="7"/>
        <v>21912</v>
      </c>
      <c r="G16" s="149">
        <v>4392</v>
      </c>
      <c r="H16" s="149">
        <v>4380</v>
      </c>
      <c r="I16" s="149">
        <v>4380</v>
      </c>
      <c r="J16" s="149">
        <v>4380</v>
      </c>
      <c r="K16" s="149">
        <v>4380</v>
      </c>
      <c r="L16" s="152" t="s">
        <v>6</v>
      </c>
      <c r="M16" s="245" t="s">
        <v>158</v>
      </c>
    </row>
    <row r="17" spans="1:18" s="93" customFormat="1" ht="58.5" customHeight="1" x14ac:dyDescent="0.25">
      <c r="A17" s="211" t="s">
        <v>50</v>
      </c>
      <c r="B17" s="150" t="s">
        <v>267</v>
      </c>
      <c r="C17" s="151" t="s">
        <v>74</v>
      </c>
      <c r="D17" s="247" t="s">
        <v>77</v>
      </c>
      <c r="E17" s="149">
        <v>0</v>
      </c>
      <c r="F17" s="130">
        <f t="shared" si="7"/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52" t="s">
        <v>6</v>
      </c>
      <c r="M17" s="245" t="s">
        <v>103</v>
      </c>
    </row>
    <row r="18" spans="1:18" s="93" customFormat="1" ht="117.75" customHeight="1" x14ac:dyDescent="0.25">
      <c r="A18" s="259" t="s">
        <v>148</v>
      </c>
      <c r="B18" s="260" t="s">
        <v>268</v>
      </c>
      <c r="C18" s="249" t="s">
        <v>74</v>
      </c>
      <c r="D18" s="239" t="s">
        <v>77</v>
      </c>
      <c r="E18" s="161">
        <v>0</v>
      </c>
      <c r="F18" s="120">
        <f t="shared" ref="F18" si="8">SUM(G18:K18)</f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253" t="s">
        <v>6</v>
      </c>
      <c r="M18" s="238" t="s">
        <v>108</v>
      </c>
      <c r="N18" s="186"/>
    </row>
    <row r="19" spans="1:18" s="93" customFormat="1" ht="18.75" x14ac:dyDescent="0.25">
      <c r="A19" s="315" t="s">
        <v>12</v>
      </c>
      <c r="B19" s="312" t="s">
        <v>269</v>
      </c>
      <c r="C19" s="305" t="s">
        <v>74</v>
      </c>
      <c r="D19" s="153" t="s">
        <v>5</v>
      </c>
      <c r="E19" s="154">
        <f>E20+E21</f>
        <v>0</v>
      </c>
      <c r="F19" s="120">
        <f t="shared" si="1"/>
        <v>0</v>
      </c>
      <c r="G19" s="154">
        <f>G20+G21</f>
        <v>0</v>
      </c>
      <c r="H19" s="154">
        <f t="shared" ref="H19:K19" si="9">H20+H21</f>
        <v>0</v>
      </c>
      <c r="I19" s="154">
        <f t="shared" si="9"/>
        <v>0</v>
      </c>
      <c r="J19" s="154">
        <f t="shared" si="9"/>
        <v>0</v>
      </c>
      <c r="K19" s="154">
        <f t="shared" si="9"/>
        <v>0</v>
      </c>
      <c r="L19" s="302"/>
      <c r="M19" s="285"/>
      <c r="N19" s="180"/>
      <c r="O19" s="185">
        <v>503399.7</v>
      </c>
      <c r="P19" s="185">
        <f t="shared" si="2"/>
        <v>-503399.7</v>
      </c>
    </row>
    <row r="20" spans="1:18" s="93" customFormat="1" ht="36.75" customHeight="1" x14ac:dyDescent="0.25">
      <c r="A20" s="315"/>
      <c r="B20" s="312"/>
      <c r="C20" s="305"/>
      <c r="D20" s="242" t="s">
        <v>2</v>
      </c>
      <c r="E20" s="156">
        <f>E22+E24</f>
        <v>0</v>
      </c>
      <c r="F20" s="120">
        <f t="shared" si="1"/>
        <v>0</v>
      </c>
      <c r="G20" s="156">
        <f>G22+G24</f>
        <v>0</v>
      </c>
      <c r="H20" s="156">
        <f>H22+H24</f>
        <v>0</v>
      </c>
      <c r="I20" s="156">
        <f>I22+I24</f>
        <v>0</v>
      </c>
      <c r="J20" s="156">
        <f>J22+J24</f>
        <v>0</v>
      </c>
      <c r="K20" s="156">
        <f>K22+K24</f>
        <v>0</v>
      </c>
      <c r="L20" s="302"/>
      <c r="M20" s="285"/>
      <c r="N20" s="180">
        <v>67697</v>
      </c>
      <c r="O20" s="185">
        <v>67697</v>
      </c>
      <c r="P20" s="185">
        <f t="shared" si="2"/>
        <v>0</v>
      </c>
    </row>
    <row r="21" spans="1:18" s="93" customFormat="1" ht="61.5" customHeight="1" x14ac:dyDescent="0.25">
      <c r="A21" s="315"/>
      <c r="B21" s="312"/>
      <c r="C21" s="305"/>
      <c r="D21" s="242" t="s">
        <v>77</v>
      </c>
      <c r="E21" s="157">
        <f>E23+E25</f>
        <v>0</v>
      </c>
      <c r="F21" s="120">
        <f t="shared" si="1"/>
        <v>0</v>
      </c>
      <c r="G21" s="157">
        <f t="shared" ref="G21:K21" si="10">G23+G25</f>
        <v>0</v>
      </c>
      <c r="H21" s="157">
        <f t="shared" si="10"/>
        <v>0</v>
      </c>
      <c r="I21" s="157">
        <f t="shared" si="10"/>
        <v>0</v>
      </c>
      <c r="J21" s="157">
        <f t="shared" si="10"/>
        <v>0</v>
      </c>
      <c r="K21" s="157">
        <f t="shared" si="10"/>
        <v>0</v>
      </c>
      <c r="L21" s="302"/>
      <c r="M21" s="285"/>
      <c r="N21" s="180">
        <v>1326</v>
      </c>
      <c r="O21" s="185">
        <v>1326</v>
      </c>
      <c r="P21" s="185">
        <f t="shared" si="2"/>
        <v>0</v>
      </c>
    </row>
    <row r="22" spans="1:18" s="93" customFormat="1" ht="84.75" customHeight="1" x14ac:dyDescent="0.25">
      <c r="A22" s="284" t="s">
        <v>51</v>
      </c>
      <c r="B22" s="287" t="s">
        <v>307</v>
      </c>
      <c r="C22" s="288" t="s">
        <v>74</v>
      </c>
      <c r="D22" s="239" t="s">
        <v>2</v>
      </c>
      <c r="E22" s="147">
        <v>0</v>
      </c>
      <c r="F22" s="120">
        <f t="shared" si="1"/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290" t="s">
        <v>6</v>
      </c>
      <c r="M22" s="286" t="s">
        <v>217</v>
      </c>
      <c r="N22" s="180"/>
      <c r="O22" s="185">
        <v>0</v>
      </c>
      <c r="P22" s="185">
        <f t="shared" si="2"/>
        <v>0</v>
      </c>
      <c r="Q22" s="91"/>
      <c r="R22" s="91"/>
    </row>
    <row r="23" spans="1:18" s="93" customFormat="1" ht="91.5" customHeight="1" x14ac:dyDescent="0.25">
      <c r="A23" s="284"/>
      <c r="B23" s="287"/>
      <c r="C23" s="288"/>
      <c r="D23" s="239" t="s">
        <v>77</v>
      </c>
      <c r="E23" s="147">
        <v>0</v>
      </c>
      <c r="F23" s="120">
        <f t="shared" si="1"/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290"/>
      <c r="M23" s="286"/>
      <c r="N23" s="180"/>
      <c r="O23" s="185">
        <v>0</v>
      </c>
      <c r="P23" s="185">
        <f t="shared" si="2"/>
        <v>0</v>
      </c>
      <c r="Q23" s="91"/>
      <c r="R23" s="91"/>
    </row>
    <row r="24" spans="1:18" s="93" customFormat="1" ht="123.75" hidden="1" customHeight="1" x14ac:dyDescent="0.25">
      <c r="A24" s="347" t="s">
        <v>52</v>
      </c>
      <c r="B24" s="349" t="s">
        <v>194</v>
      </c>
      <c r="C24" s="351" t="s">
        <v>74</v>
      </c>
      <c r="D24" s="239" t="s">
        <v>2</v>
      </c>
      <c r="E24" s="161">
        <v>0</v>
      </c>
      <c r="F24" s="120">
        <f t="shared" si="1"/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353" t="s">
        <v>6</v>
      </c>
      <c r="M24" s="280" t="s">
        <v>159</v>
      </c>
      <c r="N24" s="186"/>
    </row>
    <row r="25" spans="1:18" s="93" customFormat="1" ht="131.25" hidden="1" customHeight="1" x14ac:dyDescent="0.25">
      <c r="A25" s="348"/>
      <c r="B25" s="350"/>
      <c r="C25" s="352"/>
      <c r="D25" s="239" t="s">
        <v>77</v>
      </c>
      <c r="E25" s="161">
        <v>0</v>
      </c>
      <c r="F25" s="120">
        <f t="shared" si="1"/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354"/>
      <c r="M25" s="282"/>
      <c r="N25" s="186"/>
    </row>
    <row r="26" spans="1:18" s="93" customFormat="1" ht="31.5" hidden="1" customHeight="1" x14ac:dyDescent="0.3">
      <c r="A26" s="315" t="s">
        <v>56</v>
      </c>
      <c r="B26" s="312" t="s">
        <v>195</v>
      </c>
      <c r="C26" s="305" t="s">
        <v>74</v>
      </c>
      <c r="D26" s="153" t="s">
        <v>5</v>
      </c>
      <c r="E26" s="154">
        <f>E27</f>
        <v>0</v>
      </c>
      <c r="F26" s="120">
        <f t="shared" ref="F26:F28" si="11">SUM(G26:K26)</f>
        <v>0</v>
      </c>
      <c r="G26" s="154">
        <f>G27</f>
        <v>0</v>
      </c>
      <c r="H26" s="154">
        <f t="shared" ref="H26:K27" si="12">H27</f>
        <v>0</v>
      </c>
      <c r="I26" s="154">
        <f t="shared" si="12"/>
        <v>0</v>
      </c>
      <c r="J26" s="154">
        <f t="shared" si="12"/>
        <v>0</v>
      </c>
      <c r="K26" s="154">
        <f t="shared" si="12"/>
        <v>0</v>
      </c>
      <c r="L26" s="328"/>
      <c r="M26" s="325"/>
      <c r="N26" s="183"/>
      <c r="O26" s="183"/>
      <c r="P26" s="183"/>
    </row>
    <row r="27" spans="1:18" s="93" customFormat="1" ht="56.25" hidden="1" x14ac:dyDescent="0.3">
      <c r="A27" s="315"/>
      <c r="B27" s="312"/>
      <c r="C27" s="305"/>
      <c r="D27" s="242" t="s">
        <v>77</v>
      </c>
      <c r="E27" s="156">
        <f>E28+E29</f>
        <v>0</v>
      </c>
      <c r="F27" s="120">
        <f t="shared" si="11"/>
        <v>0</v>
      </c>
      <c r="G27" s="156">
        <f>G28</f>
        <v>0</v>
      </c>
      <c r="H27" s="156">
        <f t="shared" si="12"/>
        <v>0</v>
      </c>
      <c r="I27" s="156">
        <f t="shared" si="12"/>
        <v>0</v>
      </c>
      <c r="J27" s="156">
        <f t="shared" si="12"/>
        <v>0</v>
      </c>
      <c r="K27" s="156">
        <f t="shared" si="12"/>
        <v>0</v>
      </c>
      <c r="L27" s="328"/>
      <c r="M27" s="325"/>
      <c r="N27" s="183"/>
      <c r="O27" s="183"/>
      <c r="P27" s="183"/>
      <c r="Q27" s="91"/>
    </row>
    <row r="28" spans="1:18" s="93" customFormat="1" ht="56.25" hidden="1" x14ac:dyDescent="0.25">
      <c r="A28" s="237" t="s">
        <v>82</v>
      </c>
      <c r="B28" s="240" t="s">
        <v>196</v>
      </c>
      <c r="C28" s="247" t="s">
        <v>74</v>
      </c>
      <c r="D28" s="246" t="s">
        <v>77</v>
      </c>
      <c r="E28" s="148">
        <v>0</v>
      </c>
      <c r="F28" s="120">
        <f t="shared" si="11"/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236" t="s">
        <v>92</v>
      </c>
      <c r="M28" s="245" t="s">
        <v>181</v>
      </c>
      <c r="N28" s="180">
        <v>1441905</v>
      </c>
      <c r="O28" s="185">
        <v>1369809</v>
      </c>
      <c r="P28" s="185">
        <f t="shared" ref="P28" si="13">N28-O28</f>
        <v>72096</v>
      </c>
    </row>
    <row r="29" spans="1:18" s="93" customFormat="1" ht="18.75" x14ac:dyDescent="0.3">
      <c r="A29" s="315" t="s">
        <v>56</v>
      </c>
      <c r="B29" s="312" t="s">
        <v>197</v>
      </c>
      <c r="C29" s="305" t="s">
        <v>74</v>
      </c>
      <c r="D29" s="153" t="s">
        <v>5</v>
      </c>
      <c r="E29" s="154">
        <f>E30</f>
        <v>0</v>
      </c>
      <c r="F29" s="120">
        <f t="shared" ref="F29:F31" si="14">SUM(G29:K29)</f>
        <v>32968.607999999993</v>
      </c>
      <c r="G29" s="154">
        <f>G30</f>
        <v>5864.4</v>
      </c>
      <c r="H29" s="154">
        <f t="shared" ref="H29:K29" si="15">H30</f>
        <v>13996.8</v>
      </c>
      <c r="I29" s="154">
        <f t="shared" si="15"/>
        <v>4369.1359999999986</v>
      </c>
      <c r="J29" s="154">
        <f t="shared" si="15"/>
        <v>4369.1359999999986</v>
      </c>
      <c r="K29" s="154">
        <f t="shared" si="15"/>
        <v>4369.1359999999986</v>
      </c>
      <c r="L29" s="328"/>
      <c r="M29" s="325"/>
      <c r="N29" s="183"/>
      <c r="O29" s="183"/>
      <c r="P29" s="183"/>
    </row>
    <row r="30" spans="1:18" s="93" customFormat="1" ht="56.25" x14ac:dyDescent="0.3">
      <c r="A30" s="315"/>
      <c r="B30" s="312"/>
      <c r="C30" s="305"/>
      <c r="D30" s="242" t="s">
        <v>77</v>
      </c>
      <c r="E30" s="156">
        <f>E31+E32</f>
        <v>0</v>
      </c>
      <c r="F30" s="120">
        <f t="shared" si="14"/>
        <v>32968.607999999993</v>
      </c>
      <c r="G30" s="156">
        <f>G31+G32</f>
        <v>5864.4</v>
      </c>
      <c r="H30" s="156">
        <f t="shared" ref="H30:K30" si="16">H31+H32</f>
        <v>13996.8</v>
      </c>
      <c r="I30" s="156">
        <f t="shared" si="16"/>
        <v>4369.1359999999986</v>
      </c>
      <c r="J30" s="156">
        <f t="shared" si="16"/>
        <v>4369.1359999999986</v>
      </c>
      <c r="K30" s="156">
        <f t="shared" si="16"/>
        <v>4369.1359999999986</v>
      </c>
      <c r="L30" s="328"/>
      <c r="M30" s="325"/>
      <c r="N30" s="183"/>
      <c r="O30" s="183"/>
      <c r="P30" s="183"/>
      <c r="Q30" s="91"/>
    </row>
    <row r="31" spans="1:18" s="93" customFormat="1" ht="99" customHeight="1" x14ac:dyDescent="0.25">
      <c r="A31" s="237" t="s">
        <v>82</v>
      </c>
      <c r="B31" s="240" t="s">
        <v>270</v>
      </c>
      <c r="C31" s="247" t="s">
        <v>74</v>
      </c>
      <c r="D31" s="246" t="s">
        <v>77</v>
      </c>
      <c r="E31" s="148">
        <v>0</v>
      </c>
      <c r="F31" s="120">
        <f t="shared" si="14"/>
        <v>32968.607999999993</v>
      </c>
      <c r="G31" s="149">
        <v>5864.4</v>
      </c>
      <c r="H31" s="149">
        <f>4369.136+9724.864-97.2</f>
        <v>13996.8</v>
      </c>
      <c r="I31" s="149">
        <v>4369.1359999999986</v>
      </c>
      <c r="J31" s="149">
        <v>4369.1359999999986</v>
      </c>
      <c r="K31" s="149">
        <v>4369.1359999999986</v>
      </c>
      <c r="L31" s="236" t="s">
        <v>133</v>
      </c>
      <c r="M31" s="245" t="s">
        <v>163</v>
      </c>
      <c r="N31" s="180">
        <v>1441905</v>
      </c>
      <c r="O31" s="185">
        <v>1369809</v>
      </c>
      <c r="P31" s="185">
        <f t="shared" ref="P31" si="17">N31-O31</f>
        <v>72096</v>
      </c>
    </row>
    <row r="32" spans="1:18" s="93" customFormat="1" ht="99.75" customHeight="1" x14ac:dyDescent="0.25">
      <c r="A32" s="237" t="s">
        <v>215</v>
      </c>
      <c r="B32" s="240" t="s">
        <v>271</v>
      </c>
      <c r="C32" s="247" t="s">
        <v>74</v>
      </c>
      <c r="D32" s="246" t="s">
        <v>77</v>
      </c>
      <c r="E32" s="148">
        <v>0</v>
      </c>
      <c r="F32" s="120">
        <f t="shared" ref="F32:F36" si="18">SUM(G32:K32)</f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236" t="s">
        <v>133</v>
      </c>
      <c r="M32" s="245" t="s">
        <v>107</v>
      </c>
      <c r="N32" s="180">
        <v>1441905</v>
      </c>
      <c r="O32" s="185">
        <v>1369809</v>
      </c>
      <c r="P32" s="185">
        <f t="shared" ref="P32" si="19">N32-O32</f>
        <v>72096</v>
      </c>
    </row>
    <row r="33" spans="1:18" s="93" customFormat="1" ht="37.5" hidden="1" customHeight="1" x14ac:dyDescent="0.25">
      <c r="A33" s="377" t="s">
        <v>53</v>
      </c>
      <c r="B33" s="401" t="s">
        <v>114</v>
      </c>
      <c r="C33" s="401" t="s">
        <v>74</v>
      </c>
      <c r="D33" s="256" t="s">
        <v>5</v>
      </c>
      <c r="E33" s="106">
        <f>E35+E36+E34</f>
        <v>0</v>
      </c>
      <c r="F33" s="120">
        <f t="shared" si="18"/>
        <v>0</v>
      </c>
      <c r="G33" s="106">
        <f t="shared" ref="G33:K33" si="20">G35+G36+G34</f>
        <v>0</v>
      </c>
      <c r="H33" s="106">
        <f t="shared" si="20"/>
        <v>0</v>
      </c>
      <c r="I33" s="106">
        <f t="shared" si="20"/>
        <v>0</v>
      </c>
      <c r="J33" s="106">
        <f t="shared" si="20"/>
        <v>0</v>
      </c>
      <c r="K33" s="106">
        <f t="shared" si="20"/>
        <v>0</v>
      </c>
      <c r="L33" s="375"/>
      <c r="M33" s="376"/>
      <c r="N33" s="179"/>
      <c r="O33" s="179"/>
      <c r="P33" s="179"/>
    </row>
    <row r="34" spans="1:18" s="93" customFormat="1" ht="37.5" hidden="1" customHeight="1" x14ac:dyDescent="0.25">
      <c r="A34" s="377"/>
      <c r="B34" s="401"/>
      <c r="C34" s="401"/>
      <c r="D34" s="256" t="s">
        <v>66</v>
      </c>
      <c r="E34" s="162">
        <f>E37</f>
        <v>0</v>
      </c>
      <c r="F34" s="120">
        <f t="shared" si="18"/>
        <v>0</v>
      </c>
      <c r="G34" s="162">
        <f t="shared" ref="G34:K34" si="21">G37</f>
        <v>0</v>
      </c>
      <c r="H34" s="162">
        <f t="shared" si="21"/>
        <v>0</v>
      </c>
      <c r="I34" s="162">
        <f t="shared" si="21"/>
        <v>0</v>
      </c>
      <c r="J34" s="162">
        <f t="shared" si="21"/>
        <v>0</v>
      </c>
      <c r="K34" s="162">
        <f t="shared" si="21"/>
        <v>0</v>
      </c>
      <c r="L34" s="375"/>
      <c r="M34" s="376"/>
      <c r="N34" s="179"/>
      <c r="O34" s="179"/>
      <c r="P34" s="179"/>
    </row>
    <row r="35" spans="1:18" s="93" customFormat="1" ht="39.75" hidden="1" customHeight="1" x14ac:dyDescent="0.25">
      <c r="A35" s="377"/>
      <c r="B35" s="401"/>
      <c r="C35" s="401"/>
      <c r="D35" s="256" t="s">
        <v>2</v>
      </c>
      <c r="E35" s="162">
        <f>E38+E40+E42</f>
        <v>0</v>
      </c>
      <c r="F35" s="120">
        <f t="shared" si="18"/>
        <v>0</v>
      </c>
      <c r="G35" s="162">
        <f t="shared" ref="G35:K35" si="22">G38+G40+G42</f>
        <v>0</v>
      </c>
      <c r="H35" s="162">
        <f t="shared" si="22"/>
        <v>0</v>
      </c>
      <c r="I35" s="162">
        <f t="shared" si="22"/>
        <v>0</v>
      </c>
      <c r="J35" s="162">
        <f t="shared" si="22"/>
        <v>0</v>
      </c>
      <c r="K35" s="162">
        <f t="shared" si="22"/>
        <v>0</v>
      </c>
      <c r="L35" s="375"/>
      <c r="M35" s="376"/>
      <c r="N35" s="179"/>
      <c r="O35" s="179"/>
      <c r="P35" s="179"/>
    </row>
    <row r="36" spans="1:18" s="93" customFormat="1" ht="58.5" hidden="1" customHeight="1" x14ac:dyDescent="0.25">
      <c r="A36" s="377"/>
      <c r="B36" s="401"/>
      <c r="C36" s="401"/>
      <c r="D36" s="256" t="s">
        <v>78</v>
      </c>
      <c r="E36" s="162">
        <f>E39+E41+E43</f>
        <v>0</v>
      </c>
      <c r="F36" s="120">
        <f t="shared" si="18"/>
        <v>0</v>
      </c>
      <c r="G36" s="162">
        <f t="shared" ref="G36:K36" si="23">G39+G41+G43</f>
        <v>0</v>
      </c>
      <c r="H36" s="162">
        <f>H39+H41+H43</f>
        <v>0</v>
      </c>
      <c r="I36" s="162">
        <f t="shared" si="23"/>
        <v>0</v>
      </c>
      <c r="J36" s="162">
        <f t="shared" si="23"/>
        <v>0</v>
      </c>
      <c r="K36" s="162">
        <f t="shared" si="23"/>
        <v>0</v>
      </c>
      <c r="L36" s="375"/>
      <c r="M36" s="376"/>
      <c r="N36" s="179"/>
      <c r="O36" s="179"/>
      <c r="P36" s="179"/>
    </row>
    <row r="37" spans="1:18" s="93" customFormat="1" ht="74.25" hidden="1" customHeight="1" x14ac:dyDescent="0.25">
      <c r="A37" s="358" t="s">
        <v>106</v>
      </c>
      <c r="B37" s="361" t="s">
        <v>198</v>
      </c>
      <c r="C37" s="364" t="s">
        <v>74</v>
      </c>
      <c r="D37" s="252" t="s">
        <v>66</v>
      </c>
      <c r="E37" s="131">
        <v>0</v>
      </c>
      <c r="F37" s="120">
        <f t="shared" si="1"/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426" t="s">
        <v>92</v>
      </c>
      <c r="M37" s="429" t="s">
        <v>161</v>
      </c>
      <c r="N37" s="179"/>
      <c r="O37" s="179"/>
      <c r="P37" s="179"/>
    </row>
    <row r="38" spans="1:18" s="93" customFormat="1" ht="74.25" hidden="1" customHeight="1" x14ac:dyDescent="0.25">
      <c r="A38" s="359"/>
      <c r="B38" s="362"/>
      <c r="C38" s="365"/>
      <c r="D38" s="252" t="s">
        <v>2</v>
      </c>
      <c r="E38" s="131">
        <v>0</v>
      </c>
      <c r="F38" s="120">
        <f t="shared" ref="F38:F39" si="24">SUM(G38:K38)</f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427"/>
      <c r="M38" s="430"/>
      <c r="N38" s="180">
        <f>'[1]Лист 1'!$F$401/1000</f>
        <v>1000</v>
      </c>
      <c r="O38" s="187">
        <v>1000</v>
      </c>
      <c r="P38" s="182">
        <f t="shared" ref="P38" si="25">N38-O38</f>
        <v>0</v>
      </c>
    </row>
    <row r="39" spans="1:18" s="93" customFormat="1" ht="74.25" hidden="1" customHeight="1" x14ac:dyDescent="0.25">
      <c r="A39" s="360"/>
      <c r="B39" s="363"/>
      <c r="C39" s="366"/>
      <c r="D39" s="252" t="s">
        <v>77</v>
      </c>
      <c r="E39" s="131">
        <v>0</v>
      </c>
      <c r="F39" s="120">
        <f t="shared" si="24"/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428"/>
      <c r="M39" s="431"/>
      <c r="N39" s="180"/>
      <c r="O39" s="187"/>
      <c r="P39" s="182"/>
    </row>
    <row r="40" spans="1:18" s="93" customFormat="1" ht="75" hidden="1" customHeight="1" x14ac:dyDescent="0.25">
      <c r="A40" s="371" t="s">
        <v>110</v>
      </c>
      <c r="B40" s="372" t="s">
        <v>199</v>
      </c>
      <c r="C40" s="373" t="s">
        <v>74</v>
      </c>
      <c r="D40" s="252" t="s">
        <v>2</v>
      </c>
      <c r="E40" s="131">
        <v>0</v>
      </c>
      <c r="F40" s="120">
        <f t="shared" si="1"/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378" t="s">
        <v>92</v>
      </c>
      <c r="M40" s="314" t="s">
        <v>91</v>
      </c>
      <c r="N40" s="180">
        <f>'[1]Лист 1'!$F$401/1000</f>
        <v>1000</v>
      </c>
      <c r="O40" s="187">
        <v>1000</v>
      </c>
      <c r="P40" s="182">
        <f t="shared" ref="P40" si="26">N40-O40</f>
        <v>0</v>
      </c>
    </row>
    <row r="41" spans="1:18" s="93" customFormat="1" ht="82.5" hidden="1" customHeight="1" x14ac:dyDescent="0.25">
      <c r="A41" s="371"/>
      <c r="B41" s="372"/>
      <c r="C41" s="373"/>
      <c r="D41" s="252" t="s">
        <v>77</v>
      </c>
      <c r="E41" s="131">
        <v>0</v>
      </c>
      <c r="F41" s="120">
        <f t="shared" si="1"/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378"/>
      <c r="M41" s="314"/>
      <c r="N41" s="180"/>
      <c r="O41" s="187"/>
      <c r="P41" s="182"/>
    </row>
    <row r="42" spans="1:18" s="93" customFormat="1" ht="99" hidden="1" customHeight="1" x14ac:dyDescent="0.25">
      <c r="A42" s="284" t="s">
        <v>179</v>
      </c>
      <c r="B42" s="287" t="s">
        <v>200</v>
      </c>
      <c r="C42" s="288" t="s">
        <v>74</v>
      </c>
      <c r="D42" s="239" t="s">
        <v>2</v>
      </c>
      <c r="E42" s="147">
        <v>0</v>
      </c>
      <c r="F42" s="120">
        <f t="shared" ref="F42:F49" si="27">SUM(G42:K42)</f>
        <v>0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290" t="s">
        <v>92</v>
      </c>
      <c r="M42" s="286" t="s">
        <v>93</v>
      </c>
      <c r="N42" s="180"/>
      <c r="O42" s="185">
        <v>0</v>
      </c>
      <c r="P42" s="185">
        <f t="shared" ref="P42:P43" si="28">N42-O42</f>
        <v>0</v>
      </c>
      <c r="Q42" s="91"/>
      <c r="R42" s="91"/>
    </row>
    <row r="43" spans="1:18" s="93" customFormat="1" ht="99" hidden="1" customHeight="1" x14ac:dyDescent="0.25">
      <c r="A43" s="284"/>
      <c r="B43" s="287"/>
      <c r="C43" s="288"/>
      <c r="D43" s="239" t="s">
        <v>77</v>
      </c>
      <c r="E43" s="147">
        <v>0</v>
      </c>
      <c r="F43" s="120">
        <f t="shared" si="27"/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290"/>
      <c r="M43" s="286"/>
      <c r="N43" s="180"/>
      <c r="O43" s="185">
        <v>0</v>
      </c>
      <c r="P43" s="185">
        <f t="shared" si="28"/>
        <v>0</v>
      </c>
      <c r="Q43" s="91"/>
      <c r="R43" s="91"/>
    </row>
    <row r="44" spans="1:18" s="93" customFormat="1" ht="30.75" hidden="1" customHeight="1" x14ac:dyDescent="0.25">
      <c r="A44" s="377" t="s">
        <v>14</v>
      </c>
      <c r="B44" s="401" t="s">
        <v>115</v>
      </c>
      <c r="C44" s="401" t="s">
        <v>74</v>
      </c>
      <c r="D44" s="256" t="s">
        <v>5</v>
      </c>
      <c r="E44" s="106">
        <f>E45+E46</f>
        <v>0</v>
      </c>
      <c r="F44" s="120">
        <f t="shared" si="27"/>
        <v>0</v>
      </c>
      <c r="G44" s="106">
        <f>G45+G46</f>
        <v>0</v>
      </c>
      <c r="H44" s="106">
        <f>H45+H46</f>
        <v>0</v>
      </c>
      <c r="I44" s="106">
        <f>I45+I46</f>
        <v>0</v>
      </c>
      <c r="J44" s="106">
        <f>J45+J46</f>
        <v>0</v>
      </c>
      <c r="K44" s="106">
        <f>K45+K46</f>
        <v>0</v>
      </c>
      <c r="L44" s="375"/>
      <c r="M44" s="376"/>
      <c r="N44" s="179"/>
      <c r="O44" s="179"/>
      <c r="P44" s="179"/>
    </row>
    <row r="45" spans="1:18" s="93" customFormat="1" ht="39.75" hidden="1" customHeight="1" x14ac:dyDescent="0.25">
      <c r="A45" s="377"/>
      <c r="B45" s="401"/>
      <c r="C45" s="401"/>
      <c r="D45" s="256" t="s">
        <v>2</v>
      </c>
      <c r="E45" s="162">
        <f>E47</f>
        <v>0</v>
      </c>
      <c r="F45" s="120">
        <f t="shared" si="27"/>
        <v>0</v>
      </c>
      <c r="G45" s="162">
        <f>G47</f>
        <v>0</v>
      </c>
      <c r="H45" s="162">
        <f>H47</f>
        <v>0</v>
      </c>
      <c r="I45" s="162">
        <f>I47</f>
        <v>0</v>
      </c>
      <c r="J45" s="162">
        <f>J47</f>
        <v>0</v>
      </c>
      <c r="K45" s="162">
        <f>K47</f>
        <v>0</v>
      </c>
      <c r="L45" s="375"/>
      <c r="M45" s="376"/>
      <c r="N45" s="179"/>
      <c r="O45" s="179"/>
      <c r="P45" s="179"/>
    </row>
    <row r="46" spans="1:18" s="93" customFormat="1" ht="58.5" hidden="1" customHeight="1" x14ac:dyDescent="0.25">
      <c r="A46" s="377"/>
      <c r="B46" s="401"/>
      <c r="C46" s="401"/>
      <c r="D46" s="256" t="s">
        <v>78</v>
      </c>
      <c r="E46" s="162">
        <f>E48+E49</f>
        <v>0</v>
      </c>
      <c r="F46" s="120">
        <f t="shared" si="27"/>
        <v>0</v>
      </c>
      <c r="G46" s="162">
        <f>G48+G49</f>
        <v>0</v>
      </c>
      <c r="H46" s="162">
        <f>H48+H49</f>
        <v>0</v>
      </c>
      <c r="I46" s="162">
        <f>I48+I49</f>
        <v>0</v>
      </c>
      <c r="J46" s="162">
        <f>J48+J49</f>
        <v>0</v>
      </c>
      <c r="K46" s="162">
        <f>K48+K49</f>
        <v>0</v>
      </c>
      <c r="L46" s="375"/>
      <c r="M46" s="376"/>
      <c r="N46" s="179"/>
      <c r="O46" s="179"/>
      <c r="P46" s="179"/>
    </row>
    <row r="47" spans="1:18" s="93" customFormat="1" ht="69.75" hidden="1" customHeight="1" x14ac:dyDescent="0.25">
      <c r="A47" s="371" t="s">
        <v>111</v>
      </c>
      <c r="B47" s="372" t="s">
        <v>201</v>
      </c>
      <c r="C47" s="373" t="s">
        <v>74</v>
      </c>
      <c r="D47" s="252" t="s">
        <v>2</v>
      </c>
      <c r="E47" s="131">
        <v>0</v>
      </c>
      <c r="F47" s="120">
        <f t="shared" si="27"/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378" t="s">
        <v>92</v>
      </c>
      <c r="M47" s="314" t="s">
        <v>94</v>
      </c>
      <c r="N47" s="180">
        <f>'[1]Лист 1'!$F$401/1000</f>
        <v>1000</v>
      </c>
      <c r="O47" s="187">
        <v>1000</v>
      </c>
      <c r="P47" s="182">
        <f t="shared" ref="P47" si="29">N47-O47</f>
        <v>0</v>
      </c>
    </row>
    <row r="48" spans="1:18" s="93" customFormat="1" ht="69.75" hidden="1" customHeight="1" x14ac:dyDescent="0.25">
      <c r="A48" s="371"/>
      <c r="B48" s="372"/>
      <c r="C48" s="373"/>
      <c r="D48" s="252" t="s">
        <v>77</v>
      </c>
      <c r="E48" s="131">
        <v>0</v>
      </c>
      <c r="F48" s="120">
        <f t="shared" si="27"/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378"/>
      <c r="M48" s="314"/>
      <c r="N48" s="180"/>
      <c r="O48" s="187"/>
      <c r="P48" s="182"/>
    </row>
    <row r="49" spans="1:16" s="93" customFormat="1" ht="132.75" hidden="1" customHeight="1" x14ac:dyDescent="0.25">
      <c r="A49" s="250" t="s">
        <v>112</v>
      </c>
      <c r="B49" s="251" t="s">
        <v>202</v>
      </c>
      <c r="C49" s="252" t="s">
        <v>74</v>
      </c>
      <c r="D49" s="252" t="s">
        <v>79</v>
      </c>
      <c r="E49" s="131">
        <v>0</v>
      </c>
      <c r="F49" s="120">
        <f t="shared" si="27"/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253" t="s">
        <v>92</v>
      </c>
      <c r="M49" s="245" t="s">
        <v>96</v>
      </c>
      <c r="N49" s="180">
        <f>'[1]Лист 1'!$F$401/1000</f>
        <v>1000</v>
      </c>
      <c r="O49" s="187">
        <v>1000</v>
      </c>
      <c r="P49" s="182">
        <f t="shared" ref="P49" si="30">N49-O49</f>
        <v>0</v>
      </c>
    </row>
    <row r="50" spans="1:16" s="93" customFormat="1" ht="18.75" x14ac:dyDescent="0.25">
      <c r="A50" s="377" t="s">
        <v>13</v>
      </c>
      <c r="B50" s="401" t="s">
        <v>311</v>
      </c>
      <c r="C50" s="401" t="s">
        <v>74</v>
      </c>
      <c r="D50" s="256" t="s">
        <v>5</v>
      </c>
      <c r="E50" s="106">
        <f>E52+E53+E51</f>
        <v>0</v>
      </c>
      <c r="F50" s="120">
        <f t="shared" ref="F50:F56" si="31">SUM(G50:K50)</f>
        <v>0</v>
      </c>
      <c r="G50" s="106">
        <f>G52+G53+G51</f>
        <v>0</v>
      </c>
      <c r="H50" s="106">
        <f t="shared" ref="H50:K50" si="32">H52+H53+H51</f>
        <v>0</v>
      </c>
      <c r="I50" s="106">
        <f t="shared" si="32"/>
        <v>0</v>
      </c>
      <c r="J50" s="106">
        <f t="shared" si="32"/>
        <v>0</v>
      </c>
      <c r="K50" s="106">
        <f t="shared" si="32"/>
        <v>0</v>
      </c>
      <c r="L50" s="375"/>
      <c r="M50" s="376"/>
      <c r="N50" s="179"/>
      <c r="O50" s="179"/>
      <c r="P50" s="179"/>
    </row>
    <row r="51" spans="1:16" s="93" customFormat="1" ht="37.5" customHeight="1" x14ac:dyDescent="0.25">
      <c r="A51" s="377"/>
      <c r="B51" s="401"/>
      <c r="C51" s="401"/>
      <c r="D51" s="256" t="s">
        <v>66</v>
      </c>
      <c r="E51" s="162">
        <f>E54</f>
        <v>0</v>
      </c>
      <c r="F51" s="120">
        <f t="shared" si="31"/>
        <v>0</v>
      </c>
      <c r="G51" s="162">
        <f>G54</f>
        <v>0</v>
      </c>
      <c r="H51" s="162">
        <f t="shared" ref="H51:K51" si="33">H54</f>
        <v>0</v>
      </c>
      <c r="I51" s="162">
        <f t="shared" si="33"/>
        <v>0</v>
      </c>
      <c r="J51" s="162">
        <f t="shared" si="33"/>
        <v>0</v>
      </c>
      <c r="K51" s="162">
        <f t="shared" si="33"/>
        <v>0</v>
      </c>
      <c r="L51" s="375"/>
      <c r="M51" s="376"/>
      <c r="N51" s="179"/>
      <c r="O51" s="179"/>
      <c r="P51" s="179"/>
    </row>
    <row r="52" spans="1:16" s="93" customFormat="1" ht="39.75" customHeight="1" x14ac:dyDescent="0.25">
      <c r="A52" s="377"/>
      <c r="B52" s="401"/>
      <c r="C52" s="401"/>
      <c r="D52" s="256" t="s">
        <v>2</v>
      </c>
      <c r="E52" s="162">
        <f>E55+E57</f>
        <v>0</v>
      </c>
      <c r="F52" s="120">
        <f t="shared" si="31"/>
        <v>0</v>
      </c>
      <c r="G52" s="162">
        <f>G55+G57</f>
        <v>0</v>
      </c>
      <c r="H52" s="162">
        <f t="shared" ref="H52:K52" si="34">H55+H57</f>
        <v>0</v>
      </c>
      <c r="I52" s="162">
        <f t="shared" si="34"/>
        <v>0</v>
      </c>
      <c r="J52" s="162">
        <f t="shared" si="34"/>
        <v>0</v>
      </c>
      <c r="K52" s="162">
        <f t="shared" si="34"/>
        <v>0</v>
      </c>
      <c r="L52" s="375"/>
      <c r="M52" s="376"/>
      <c r="N52" s="179"/>
      <c r="O52" s="179"/>
      <c r="P52" s="179"/>
    </row>
    <row r="53" spans="1:16" s="93" customFormat="1" ht="58.5" customHeight="1" x14ac:dyDescent="0.25">
      <c r="A53" s="377"/>
      <c r="B53" s="401"/>
      <c r="C53" s="401"/>
      <c r="D53" s="256" t="s">
        <v>78</v>
      </c>
      <c r="E53" s="162">
        <f>E56+E58</f>
        <v>0</v>
      </c>
      <c r="F53" s="120">
        <f t="shared" si="31"/>
        <v>0</v>
      </c>
      <c r="G53" s="162">
        <f>G56+G58</f>
        <v>0</v>
      </c>
      <c r="H53" s="162">
        <f t="shared" ref="H53:K53" si="35">H56+H58</f>
        <v>0</v>
      </c>
      <c r="I53" s="162">
        <f t="shared" si="35"/>
        <v>0</v>
      </c>
      <c r="J53" s="162">
        <f t="shared" si="35"/>
        <v>0</v>
      </c>
      <c r="K53" s="162">
        <f t="shared" si="35"/>
        <v>0</v>
      </c>
      <c r="L53" s="375"/>
      <c r="M53" s="376"/>
      <c r="N53" s="179"/>
      <c r="O53" s="179"/>
      <c r="P53" s="179"/>
    </row>
    <row r="54" spans="1:16" s="93" customFormat="1" ht="37.5" hidden="1" x14ac:dyDescent="0.25">
      <c r="A54" s="371" t="s">
        <v>95</v>
      </c>
      <c r="B54" s="372" t="s">
        <v>203</v>
      </c>
      <c r="C54" s="373" t="s">
        <v>74</v>
      </c>
      <c r="D54" s="252" t="s">
        <v>66</v>
      </c>
      <c r="E54" s="131">
        <v>0</v>
      </c>
      <c r="F54" s="120">
        <f t="shared" si="31"/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378" t="s">
        <v>6</v>
      </c>
      <c r="M54" s="314" t="s">
        <v>113</v>
      </c>
      <c r="N54" s="180">
        <f>'[1]Лист 1'!$F$401/1000</f>
        <v>1000</v>
      </c>
      <c r="O54" s="187">
        <v>1000</v>
      </c>
      <c r="P54" s="182">
        <f t="shared" ref="P54" si="36">N54-O54</f>
        <v>0</v>
      </c>
    </row>
    <row r="55" spans="1:16" s="93" customFormat="1" ht="37.5" hidden="1" x14ac:dyDescent="0.25">
      <c r="A55" s="371"/>
      <c r="B55" s="372"/>
      <c r="C55" s="373"/>
      <c r="D55" s="252" t="s">
        <v>2</v>
      </c>
      <c r="E55" s="131">
        <v>0</v>
      </c>
      <c r="F55" s="120">
        <f t="shared" si="31"/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378"/>
      <c r="M55" s="314"/>
      <c r="N55" s="180"/>
      <c r="O55" s="187"/>
      <c r="P55" s="182"/>
    </row>
    <row r="56" spans="1:16" s="93" customFormat="1" ht="56.25" hidden="1" x14ac:dyDescent="0.25">
      <c r="A56" s="371"/>
      <c r="B56" s="372"/>
      <c r="C56" s="373"/>
      <c r="D56" s="252" t="s">
        <v>79</v>
      </c>
      <c r="E56" s="131">
        <v>0</v>
      </c>
      <c r="F56" s="120">
        <f t="shared" si="31"/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378"/>
      <c r="M56" s="314"/>
      <c r="N56" s="180">
        <f>'[1]Лист 1'!$F$401/1000</f>
        <v>1000</v>
      </c>
      <c r="O56" s="187">
        <v>1000</v>
      </c>
      <c r="P56" s="182">
        <f t="shared" ref="P56:P57" si="37">N56-O56</f>
        <v>0</v>
      </c>
    </row>
    <row r="57" spans="1:16" s="93" customFormat="1" ht="37.5" x14ac:dyDescent="0.25">
      <c r="A57" s="371" t="s">
        <v>86</v>
      </c>
      <c r="B57" s="372" t="s">
        <v>272</v>
      </c>
      <c r="C57" s="373" t="s">
        <v>74</v>
      </c>
      <c r="D57" s="252" t="s">
        <v>2</v>
      </c>
      <c r="E57" s="131">
        <v>0</v>
      </c>
      <c r="F57" s="120">
        <f t="shared" ref="F57:F62" si="38">SUM(G57:K57)</f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378" t="s">
        <v>6</v>
      </c>
      <c r="M57" s="314" t="s">
        <v>160</v>
      </c>
      <c r="N57" s="180">
        <f>'[1]Лист 1'!$F$401/1000</f>
        <v>1000</v>
      </c>
      <c r="O57" s="187">
        <v>1000</v>
      </c>
      <c r="P57" s="182">
        <f t="shared" si="37"/>
        <v>0</v>
      </c>
    </row>
    <row r="58" spans="1:16" s="93" customFormat="1" ht="60.75" customHeight="1" x14ac:dyDescent="0.25">
      <c r="A58" s="371"/>
      <c r="B58" s="372"/>
      <c r="C58" s="373"/>
      <c r="D58" s="252" t="s">
        <v>77</v>
      </c>
      <c r="E58" s="131">
        <v>0</v>
      </c>
      <c r="F58" s="120">
        <f t="shared" si="38"/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378"/>
      <c r="M58" s="314"/>
      <c r="N58" s="180"/>
      <c r="O58" s="187"/>
      <c r="P58" s="182"/>
    </row>
    <row r="59" spans="1:16" s="93" customFormat="1" ht="18.75" x14ac:dyDescent="0.25">
      <c r="A59" s="377" t="s">
        <v>53</v>
      </c>
      <c r="B59" s="401" t="s">
        <v>313</v>
      </c>
      <c r="C59" s="401" t="s">
        <v>74</v>
      </c>
      <c r="D59" s="256" t="s">
        <v>5</v>
      </c>
      <c r="E59" s="106">
        <f>E61+E62+E60</f>
        <v>0</v>
      </c>
      <c r="F59" s="120">
        <f t="shared" si="38"/>
        <v>0</v>
      </c>
      <c r="G59" s="106">
        <f>G61+G62+G60</f>
        <v>0</v>
      </c>
      <c r="H59" s="106">
        <f>H61+H62+H60</f>
        <v>0</v>
      </c>
      <c r="I59" s="106">
        <f>I61+I62+I60</f>
        <v>0</v>
      </c>
      <c r="J59" s="106">
        <f>J61+J62+J60</f>
        <v>0</v>
      </c>
      <c r="K59" s="106">
        <f>K61+K62+K60</f>
        <v>0</v>
      </c>
      <c r="L59" s="375"/>
      <c r="M59" s="376"/>
      <c r="N59" s="179"/>
      <c r="O59" s="179"/>
      <c r="P59" s="179"/>
    </row>
    <row r="60" spans="1:16" s="93" customFormat="1" ht="37.5" customHeight="1" x14ac:dyDescent="0.25">
      <c r="A60" s="377"/>
      <c r="B60" s="401"/>
      <c r="C60" s="401"/>
      <c r="D60" s="256" t="s">
        <v>66</v>
      </c>
      <c r="E60" s="162">
        <f>E63</f>
        <v>0</v>
      </c>
      <c r="F60" s="120">
        <f t="shared" si="38"/>
        <v>0</v>
      </c>
      <c r="G60" s="162">
        <f t="shared" ref="G60:K60" si="39">G63</f>
        <v>0</v>
      </c>
      <c r="H60" s="162">
        <f t="shared" si="39"/>
        <v>0</v>
      </c>
      <c r="I60" s="162">
        <f t="shared" si="39"/>
        <v>0</v>
      </c>
      <c r="J60" s="162">
        <f t="shared" si="39"/>
        <v>0</v>
      </c>
      <c r="K60" s="162">
        <f t="shared" si="39"/>
        <v>0</v>
      </c>
      <c r="L60" s="375"/>
      <c r="M60" s="376"/>
      <c r="N60" s="179"/>
      <c r="O60" s="179"/>
      <c r="P60" s="179"/>
    </row>
    <row r="61" spans="1:16" s="93" customFormat="1" ht="39.75" customHeight="1" x14ac:dyDescent="0.25">
      <c r="A61" s="377"/>
      <c r="B61" s="401"/>
      <c r="C61" s="401"/>
      <c r="D61" s="256" t="s">
        <v>2</v>
      </c>
      <c r="E61" s="162">
        <f>E64</f>
        <v>0</v>
      </c>
      <c r="F61" s="120">
        <f t="shared" si="38"/>
        <v>0</v>
      </c>
      <c r="G61" s="162">
        <f t="shared" ref="G61:K61" si="40">G64</f>
        <v>0</v>
      </c>
      <c r="H61" s="162">
        <f t="shared" si="40"/>
        <v>0</v>
      </c>
      <c r="I61" s="162">
        <f t="shared" si="40"/>
        <v>0</v>
      </c>
      <c r="J61" s="162">
        <f t="shared" si="40"/>
        <v>0</v>
      </c>
      <c r="K61" s="162">
        <f t="shared" si="40"/>
        <v>0</v>
      </c>
      <c r="L61" s="375"/>
      <c r="M61" s="376"/>
      <c r="N61" s="179"/>
      <c r="O61" s="179"/>
      <c r="P61" s="179"/>
    </row>
    <row r="62" spans="1:16" s="93" customFormat="1" ht="58.5" customHeight="1" x14ac:dyDescent="0.25">
      <c r="A62" s="377"/>
      <c r="B62" s="401"/>
      <c r="C62" s="401"/>
      <c r="D62" s="256" t="s">
        <v>78</v>
      </c>
      <c r="E62" s="162">
        <f>E65</f>
        <v>0</v>
      </c>
      <c r="F62" s="120">
        <f t="shared" si="38"/>
        <v>0</v>
      </c>
      <c r="G62" s="162">
        <f t="shared" ref="G62:K62" si="41">G65</f>
        <v>0</v>
      </c>
      <c r="H62" s="162">
        <f t="shared" si="41"/>
        <v>0</v>
      </c>
      <c r="I62" s="162">
        <f t="shared" si="41"/>
        <v>0</v>
      </c>
      <c r="J62" s="162">
        <f t="shared" si="41"/>
        <v>0</v>
      </c>
      <c r="K62" s="162">
        <f t="shared" si="41"/>
        <v>0</v>
      </c>
      <c r="L62" s="375"/>
      <c r="M62" s="376"/>
      <c r="N62" s="179"/>
      <c r="O62" s="179"/>
      <c r="P62" s="179"/>
    </row>
    <row r="63" spans="1:16" s="93" customFormat="1" ht="37.5" x14ac:dyDescent="0.25">
      <c r="A63" s="371" t="s">
        <v>106</v>
      </c>
      <c r="B63" s="372" t="s">
        <v>273</v>
      </c>
      <c r="C63" s="373" t="s">
        <v>74</v>
      </c>
      <c r="D63" s="252" t="s">
        <v>66</v>
      </c>
      <c r="E63" s="131">
        <v>0</v>
      </c>
      <c r="F63" s="120">
        <f t="shared" ref="F63:F65" si="42">SUM(G63:K63)</f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378" t="s">
        <v>6</v>
      </c>
      <c r="M63" s="314" t="s">
        <v>97</v>
      </c>
      <c r="N63" s="180">
        <f>'[1]Лист 1'!$F$401/1000</f>
        <v>1000</v>
      </c>
      <c r="O63" s="187">
        <v>1000</v>
      </c>
      <c r="P63" s="182">
        <f t="shared" ref="P63" si="43">N63-O63</f>
        <v>0</v>
      </c>
    </row>
    <row r="64" spans="1:16" s="93" customFormat="1" ht="37.5" x14ac:dyDescent="0.25">
      <c r="A64" s="371"/>
      <c r="B64" s="372"/>
      <c r="C64" s="373"/>
      <c r="D64" s="252" t="s">
        <v>2</v>
      </c>
      <c r="E64" s="131">
        <v>0</v>
      </c>
      <c r="F64" s="120">
        <f t="shared" si="42"/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378"/>
      <c r="M64" s="314"/>
      <c r="N64" s="180"/>
      <c r="O64" s="187"/>
      <c r="P64" s="182"/>
    </row>
    <row r="65" spans="1:28" s="93" customFormat="1" ht="56.25" x14ac:dyDescent="0.25">
      <c r="A65" s="371"/>
      <c r="B65" s="372"/>
      <c r="C65" s="373"/>
      <c r="D65" s="252" t="s">
        <v>79</v>
      </c>
      <c r="E65" s="131">
        <v>0</v>
      </c>
      <c r="F65" s="120">
        <f t="shared" si="42"/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378"/>
      <c r="M65" s="314"/>
      <c r="N65" s="180">
        <f>'[1]Лист 1'!$F$401/1000</f>
        <v>1000</v>
      </c>
      <c r="O65" s="187">
        <v>1000</v>
      </c>
      <c r="P65" s="182">
        <f t="shared" ref="P65" si="44">N65-O65</f>
        <v>0</v>
      </c>
    </row>
    <row r="66" spans="1:28" ht="18.75" x14ac:dyDescent="0.25">
      <c r="A66" s="444" t="s">
        <v>29</v>
      </c>
      <c r="B66" s="445"/>
      <c r="C66" s="445"/>
      <c r="D66" s="445"/>
      <c r="E66" s="117">
        <f>E67+E68+E69+E70</f>
        <v>89624.948039999988</v>
      </c>
      <c r="F66" s="168">
        <f>SUM(G66:K66)</f>
        <v>1041541.3040700001</v>
      </c>
      <c r="G66" s="117">
        <f>G67+G68+G69+G70</f>
        <v>545241.40601000004</v>
      </c>
      <c r="H66" s="117">
        <f t="shared" ref="H66:K66" si="45">H67+H68+H69+H70</f>
        <v>125616.32649000004</v>
      </c>
      <c r="I66" s="117">
        <f t="shared" si="45"/>
        <v>123619.07956999999</v>
      </c>
      <c r="J66" s="117">
        <f t="shared" si="45"/>
        <v>123532.24599999998</v>
      </c>
      <c r="K66" s="117">
        <f t="shared" si="45"/>
        <v>123532.24599999998</v>
      </c>
      <c r="L66" s="38"/>
      <c r="M66" s="39"/>
      <c r="N66" s="77"/>
      <c r="O66" s="77"/>
      <c r="P66" s="77"/>
    </row>
    <row r="67" spans="1:28" ht="18.75" x14ac:dyDescent="0.25">
      <c r="A67" s="399" t="s">
        <v>66</v>
      </c>
      <c r="B67" s="400"/>
      <c r="C67" s="400"/>
      <c r="D67" s="400"/>
      <c r="E67" s="115">
        <f>E34+E51+E60</f>
        <v>0</v>
      </c>
      <c r="F67" s="168">
        <f t="shared" ref="F67:F70" si="46">SUM(G67:K67)</f>
        <v>0</v>
      </c>
      <c r="G67" s="115">
        <f t="shared" ref="G67:K67" si="47">G34+G51+G60</f>
        <v>0</v>
      </c>
      <c r="H67" s="115">
        <f t="shared" si="47"/>
        <v>0</v>
      </c>
      <c r="I67" s="115">
        <f t="shared" si="47"/>
        <v>0</v>
      </c>
      <c r="J67" s="115">
        <f t="shared" si="47"/>
        <v>0</v>
      </c>
      <c r="K67" s="115">
        <f t="shared" si="47"/>
        <v>0</v>
      </c>
      <c r="L67" s="40"/>
      <c r="M67" s="41"/>
      <c r="N67" s="86" t="e">
        <f>#REF!+#REF!+#REF!+#REF!</f>
        <v>#REF!</v>
      </c>
      <c r="O67" s="86" t="e">
        <f>#REF!+#REF!+#REF!+#REF!</f>
        <v>#REF!</v>
      </c>
      <c r="P67" s="86" t="e">
        <f>#REF!+#REF!+#REF!+#REF!</f>
        <v>#REF!</v>
      </c>
      <c r="Q67" s="86" t="e">
        <f>#REF!+#REF!+#REF!+#REF!</f>
        <v>#REF!</v>
      </c>
      <c r="R67" s="86"/>
    </row>
    <row r="68" spans="1:28" ht="18.75" x14ac:dyDescent="0.25">
      <c r="A68" s="399" t="s">
        <v>2</v>
      </c>
      <c r="B68" s="400"/>
      <c r="C68" s="400"/>
      <c r="D68" s="400"/>
      <c r="E68" s="115">
        <f>E20+E35+E45+E52+E61</f>
        <v>0</v>
      </c>
      <c r="F68" s="168">
        <f t="shared" si="46"/>
        <v>0</v>
      </c>
      <c r="G68" s="115">
        <f>G20+G35+G45+G52+G61</f>
        <v>0</v>
      </c>
      <c r="H68" s="115">
        <f>H20+H35+H45+H52+H61</f>
        <v>0</v>
      </c>
      <c r="I68" s="115">
        <f>I20+I35+I45+I52+I61</f>
        <v>0</v>
      </c>
      <c r="J68" s="115">
        <f>J20+J35+J45+J52+J61</f>
        <v>0</v>
      </c>
      <c r="K68" s="115">
        <f>K20+K35+K45+K52+K61</f>
        <v>0</v>
      </c>
      <c r="L68" s="40"/>
      <c r="M68" s="41"/>
      <c r="N68" s="86" t="e">
        <f>#REF!+#REF!+#REF!+#REF!</f>
        <v>#REF!</v>
      </c>
      <c r="O68" s="86" t="e">
        <f>#REF!+#REF!+#REF!+#REF!</f>
        <v>#REF!</v>
      </c>
      <c r="P68" s="86" t="e">
        <f>#REF!+#REF!+#REF!+#REF!</f>
        <v>#REF!</v>
      </c>
      <c r="Q68" s="86" t="e">
        <f>#REF!+#REF!+#REF!+#REF!</f>
        <v>#REF!</v>
      </c>
      <c r="R68" s="86"/>
    </row>
    <row r="69" spans="1:28" ht="18.75" x14ac:dyDescent="0.25">
      <c r="A69" s="399" t="s">
        <v>78</v>
      </c>
      <c r="B69" s="400"/>
      <c r="C69" s="400"/>
      <c r="D69" s="400"/>
      <c r="E69" s="115">
        <f>E8+E11+E21+E30+E36+E46+E53+E62+E27</f>
        <v>75745.548039999994</v>
      </c>
      <c r="F69" s="168">
        <f t="shared" si="46"/>
        <v>855482.86662999983</v>
      </c>
      <c r="G69" s="115">
        <f>G8+G11+G21+G30+G36+G46+G53+G62+G27</f>
        <v>465715.70935999998</v>
      </c>
      <c r="H69" s="115">
        <f>H8+H11+H21+H30+H36+H46+H53+H62+H27</f>
        <v>104958.22570000002</v>
      </c>
      <c r="I69" s="115">
        <f t="shared" ref="I69:K69" si="48">I8+I11+I21+I30+I36+I46+I53+I62+I27</f>
        <v>94994.199569999982</v>
      </c>
      <c r="J69" s="115">
        <f t="shared" si="48"/>
        <v>94907.36599999998</v>
      </c>
      <c r="K69" s="115">
        <f t="shared" si="48"/>
        <v>94907.36599999998</v>
      </c>
      <c r="L69" s="40"/>
      <c r="M69" s="41"/>
      <c r="N69" s="86" t="e">
        <f>#REF!+#REF!+#REF!+#REF!+#REF!+#REF!+#REF!+#REF!+#REF!+#REF!+#REF!</f>
        <v>#REF!</v>
      </c>
      <c r="O69" s="86" t="e">
        <f>#REF!+#REF!+#REF!+#REF!+#REF!+#REF!+#REF!+#REF!+#REF!+#REF!+#REF!</f>
        <v>#REF!</v>
      </c>
      <c r="P69" s="86" t="e">
        <f>#REF!+#REF!+#REF!+#REF!+#REF!+#REF!+#REF!+#REF!+#REF!+#REF!+#REF!</f>
        <v>#REF!</v>
      </c>
      <c r="Q69" s="86" t="e">
        <f>#REF!+#REF!+#REF!+#REF!+#REF!+#REF!+#REF!+#REF!+#REF!+#REF!+#REF!</f>
        <v>#REF!</v>
      </c>
      <c r="R69" s="86"/>
    </row>
    <row r="70" spans="1:28" ht="19.5" thickBot="1" x14ac:dyDescent="0.35">
      <c r="A70" s="335" t="s">
        <v>25</v>
      </c>
      <c r="B70" s="336"/>
      <c r="C70" s="336"/>
      <c r="D70" s="336"/>
      <c r="E70" s="118">
        <f>E12</f>
        <v>13879.4</v>
      </c>
      <c r="F70" s="169">
        <f t="shared" si="46"/>
        <v>186058.43744000004</v>
      </c>
      <c r="G70" s="118">
        <f>G12</f>
        <v>79525.696650000013</v>
      </c>
      <c r="H70" s="118">
        <f>H12</f>
        <v>20658.100790000004</v>
      </c>
      <c r="I70" s="118">
        <f>I12</f>
        <v>28624.880000000005</v>
      </c>
      <c r="J70" s="118">
        <f>J12</f>
        <v>28624.880000000005</v>
      </c>
      <c r="K70" s="118">
        <f>K12</f>
        <v>28624.880000000005</v>
      </c>
      <c r="L70" s="42"/>
      <c r="M70" s="43"/>
      <c r="N70" s="85" t="e">
        <f>#REF!+#REF!</f>
        <v>#REF!</v>
      </c>
      <c r="O70" s="85" t="e">
        <f>#REF!+#REF!</f>
        <v>#REF!</v>
      </c>
      <c r="P70" s="85" t="e">
        <f>#REF!+#REF!</f>
        <v>#REF!</v>
      </c>
      <c r="Q70" s="85" t="e">
        <f>#REF!+#REF!</f>
        <v>#REF!</v>
      </c>
      <c r="R70" s="178"/>
    </row>
    <row r="71" spans="1:28" x14ac:dyDescent="0.25">
      <c r="F71" s="19"/>
      <c r="I71" s="125"/>
      <c r="J71" s="111"/>
      <c r="K71" s="111"/>
    </row>
    <row r="72" spans="1:28" x14ac:dyDescent="0.25">
      <c r="H72" s="91"/>
      <c r="I72" s="125"/>
      <c r="J72" s="111"/>
      <c r="K72" s="111"/>
    </row>
    <row r="73" spans="1:28" ht="18.75" x14ac:dyDescent="0.3">
      <c r="B73" s="308" t="s">
        <v>36</v>
      </c>
      <c r="C73" s="309"/>
      <c r="D73" s="309"/>
      <c r="E73" s="189">
        <v>0</v>
      </c>
      <c r="F73" s="190">
        <f>SUM(G73:K73)</f>
        <v>0</v>
      </c>
      <c r="G73" s="189">
        <v>0</v>
      </c>
      <c r="H73" s="189">
        <v>0</v>
      </c>
      <c r="I73" s="189">
        <v>0</v>
      </c>
      <c r="J73" s="189">
        <v>0</v>
      </c>
      <c r="K73" s="189">
        <v>0</v>
      </c>
      <c r="L73" s="111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8.75" x14ac:dyDescent="0.3">
      <c r="B74" s="308" t="s">
        <v>38</v>
      </c>
      <c r="C74" s="309"/>
      <c r="D74" s="309"/>
      <c r="E74" s="189">
        <v>0</v>
      </c>
      <c r="F74" s="190">
        <f t="shared" ref="F74:F85" si="49">SUM(G74:K74)</f>
        <v>3286.8674799999999</v>
      </c>
      <c r="G74" s="189">
        <f>826-11-490.90722</f>
        <v>324.09278</v>
      </c>
      <c r="H74" s="189">
        <f>815+89.67471-0.00001-386.9</f>
        <v>517.77470000000005</v>
      </c>
      <c r="I74" s="189">
        <v>815</v>
      </c>
      <c r="J74" s="189">
        <v>815</v>
      </c>
      <c r="K74" s="189">
        <v>815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8.75" x14ac:dyDescent="0.3">
      <c r="B75" s="300" t="s">
        <v>37</v>
      </c>
      <c r="C75" s="301"/>
      <c r="D75" s="301"/>
      <c r="E75" s="191">
        <f>SUM(E73:E74)</f>
        <v>0</v>
      </c>
      <c r="F75" s="190">
        <f t="shared" si="49"/>
        <v>3286.8674799999999</v>
      </c>
      <c r="G75" s="191">
        <f t="shared" ref="G75" si="50">SUM(G73:G74)</f>
        <v>324.09278</v>
      </c>
      <c r="H75" s="191">
        <f t="shared" ref="H75" si="51">SUM(H73:H74)</f>
        <v>517.77470000000005</v>
      </c>
      <c r="I75" s="191">
        <f t="shared" ref="I75" si="52">SUM(I73:I74)</f>
        <v>815</v>
      </c>
      <c r="J75" s="191">
        <f t="shared" ref="J75" si="53">SUM(J73:J74)</f>
        <v>815</v>
      </c>
      <c r="K75" s="191">
        <f t="shared" ref="K75" si="54">SUM(K73:K74)</f>
        <v>815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.75" x14ac:dyDescent="0.3">
      <c r="B76" s="308" t="s">
        <v>162</v>
      </c>
      <c r="C76" s="309"/>
      <c r="D76" s="309"/>
      <c r="E76" s="189">
        <f t="shared" ref="E76" si="55">E34</f>
        <v>0</v>
      </c>
      <c r="F76" s="190">
        <f t="shared" si="49"/>
        <v>0</v>
      </c>
      <c r="G76" s="189">
        <f>G34</f>
        <v>0</v>
      </c>
      <c r="H76" s="189">
        <f t="shared" ref="H76:K76" si="56">H34</f>
        <v>0</v>
      </c>
      <c r="I76" s="189">
        <f t="shared" si="56"/>
        <v>0</v>
      </c>
      <c r="J76" s="189">
        <f t="shared" si="56"/>
        <v>0</v>
      </c>
      <c r="K76" s="189">
        <f t="shared" si="56"/>
        <v>0</v>
      </c>
    </row>
    <row r="77" spans="1:28" ht="18.75" x14ac:dyDescent="0.3">
      <c r="B77" s="308" t="s">
        <v>125</v>
      </c>
      <c r="C77" s="309"/>
      <c r="D77" s="309" t="s">
        <v>36</v>
      </c>
      <c r="E77" s="189">
        <f t="shared" ref="E77:G77" si="57">E35</f>
        <v>0</v>
      </c>
      <c r="F77" s="190">
        <f t="shared" si="49"/>
        <v>0</v>
      </c>
      <c r="G77" s="189">
        <f t="shared" si="57"/>
        <v>0</v>
      </c>
      <c r="H77" s="189">
        <f>H35</f>
        <v>0</v>
      </c>
      <c r="I77" s="189">
        <f t="shared" ref="I77:K77" si="58">I35</f>
        <v>0</v>
      </c>
      <c r="J77" s="189">
        <f t="shared" si="58"/>
        <v>0</v>
      </c>
      <c r="K77" s="189">
        <f t="shared" si="58"/>
        <v>0</v>
      </c>
    </row>
    <row r="78" spans="1:28" ht="18.75" x14ac:dyDescent="0.3">
      <c r="B78" s="308" t="s">
        <v>126</v>
      </c>
      <c r="C78" s="309"/>
      <c r="D78" s="309"/>
      <c r="E78" s="192">
        <v>0</v>
      </c>
      <c r="F78" s="190">
        <f t="shared" si="49"/>
        <v>370732.87089999998</v>
      </c>
      <c r="G78" s="189">
        <f>375808.1+G41-5175.2291+100</f>
        <v>370732.87089999998</v>
      </c>
      <c r="H78" s="189">
        <f>379358.914+H36-379358.914</f>
        <v>0</v>
      </c>
      <c r="I78" s="189">
        <f>379358.914+I36-379358.914</f>
        <v>0</v>
      </c>
      <c r="J78" s="189">
        <f>379358.914+J36-379358.914</f>
        <v>0</v>
      </c>
      <c r="K78" s="189">
        <f>379358.914+K36-379358.914</f>
        <v>0</v>
      </c>
    </row>
    <row r="79" spans="1:28" ht="18.75" x14ac:dyDescent="0.3">
      <c r="B79" s="308" t="s">
        <v>25</v>
      </c>
      <c r="C79" s="309"/>
      <c r="D79" s="309"/>
      <c r="E79" s="189">
        <v>0</v>
      </c>
      <c r="F79" s="190">
        <f t="shared" si="49"/>
        <v>67644.227650000001</v>
      </c>
      <c r="G79" s="189">
        <f>67644.22765</f>
        <v>67644.227650000001</v>
      </c>
      <c r="H79" s="189">
        <f>68725.479-68725.479</f>
        <v>0</v>
      </c>
      <c r="I79" s="189">
        <f>68725.479-68725.479</f>
        <v>0</v>
      </c>
      <c r="J79" s="189">
        <f>68725.479-68725.479</f>
        <v>0</v>
      </c>
      <c r="K79" s="189">
        <f>68725.479-68725.479</f>
        <v>0</v>
      </c>
    </row>
    <row r="80" spans="1:28" ht="18.75" x14ac:dyDescent="0.3">
      <c r="B80" s="300" t="s">
        <v>127</v>
      </c>
      <c r="C80" s="301"/>
      <c r="D80" s="301"/>
      <c r="E80" s="191">
        <f>SUM(E76:E79)</f>
        <v>0</v>
      </c>
      <c r="F80" s="190">
        <f>SUM(G80:K80)</f>
        <v>438377.09855</v>
      </c>
      <c r="G80" s="191">
        <f>SUM(G76:G79)</f>
        <v>438377.09855</v>
      </c>
      <c r="H80" s="191">
        <f t="shared" ref="H80:K80" si="59">SUM(H76:H79)</f>
        <v>0</v>
      </c>
      <c r="I80" s="191">
        <f t="shared" si="59"/>
        <v>0</v>
      </c>
      <c r="J80" s="191">
        <f t="shared" si="59"/>
        <v>0</v>
      </c>
      <c r="K80" s="191">
        <f t="shared" si="59"/>
        <v>0</v>
      </c>
    </row>
    <row r="81" spans="2:12" ht="18.75" x14ac:dyDescent="0.3">
      <c r="B81" s="308" t="s">
        <v>66</v>
      </c>
      <c r="C81" s="309"/>
      <c r="D81" s="309"/>
      <c r="E81" s="189">
        <f t="shared" ref="E81:G81" si="60">E67-E76</f>
        <v>0</v>
      </c>
      <c r="F81" s="190">
        <f t="shared" si="49"/>
        <v>0</v>
      </c>
      <c r="G81" s="189">
        <f t="shared" si="60"/>
        <v>0</v>
      </c>
      <c r="H81" s="189">
        <f>H67-H76</f>
        <v>0</v>
      </c>
      <c r="I81" s="189">
        <f t="shared" ref="I81:K81" si="61">I67-I76</f>
        <v>0</v>
      </c>
      <c r="J81" s="189">
        <f t="shared" si="61"/>
        <v>0</v>
      </c>
      <c r="K81" s="189">
        <f t="shared" si="61"/>
        <v>0</v>
      </c>
    </row>
    <row r="82" spans="2:12" ht="18.75" x14ac:dyDescent="0.3">
      <c r="B82" s="308" t="s">
        <v>2</v>
      </c>
      <c r="C82" s="309"/>
      <c r="D82" s="309"/>
      <c r="E82" s="189">
        <f t="shared" ref="E82" si="62">E68-E77</f>
        <v>0</v>
      </c>
      <c r="F82" s="190">
        <f t="shared" si="49"/>
        <v>0</v>
      </c>
      <c r="G82" s="189">
        <f>G68-G77</f>
        <v>0</v>
      </c>
      <c r="H82" s="189">
        <f>H68-H77</f>
        <v>0</v>
      </c>
      <c r="I82" s="189">
        <f t="shared" ref="I82:K82" si="63">I68-I77</f>
        <v>0</v>
      </c>
      <c r="J82" s="189">
        <f t="shared" si="63"/>
        <v>0</v>
      </c>
      <c r="K82" s="189">
        <f t="shared" si="63"/>
        <v>0</v>
      </c>
    </row>
    <row r="83" spans="2:12" ht="18.75" x14ac:dyDescent="0.3">
      <c r="B83" s="308" t="s">
        <v>78</v>
      </c>
      <c r="C83" s="309"/>
      <c r="D83" s="309"/>
      <c r="E83" s="189">
        <f t="shared" ref="E83" si="64">E69-E78</f>
        <v>75745.548039999994</v>
      </c>
      <c r="F83" s="190">
        <f t="shared" si="49"/>
        <v>481463.12824999995</v>
      </c>
      <c r="G83" s="189">
        <f>G69-G78-G74</f>
        <v>94658.745679999993</v>
      </c>
      <c r="H83" s="189">
        <f>H69-H78-H74</f>
        <v>104440.45100000003</v>
      </c>
      <c r="I83" s="189">
        <f t="shared" ref="I83:K83" si="65">I69-I78-I74</f>
        <v>94179.199569999982</v>
      </c>
      <c r="J83" s="189">
        <f t="shared" si="65"/>
        <v>94092.36599999998</v>
      </c>
      <c r="K83" s="189">
        <f t="shared" si="65"/>
        <v>94092.36599999998</v>
      </c>
    </row>
    <row r="84" spans="2:12" ht="18.75" x14ac:dyDescent="0.3">
      <c r="B84" s="308" t="s">
        <v>25</v>
      </c>
      <c r="C84" s="309"/>
      <c r="D84" s="309"/>
      <c r="E84" s="189">
        <f t="shared" ref="E84" si="66">E70-E79</f>
        <v>13879.4</v>
      </c>
      <c r="F84" s="190">
        <f t="shared" si="49"/>
        <v>118414.20979000002</v>
      </c>
      <c r="G84" s="189">
        <f>G70-G79</f>
        <v>11881.469000000012</v>
      </c>
      <c r="H84" s="189">
        <f t="shared" ref="H84:K84" si="67">H70-H79</f>
        <v>20658.100790000004</v>
      </c>
      <c r="I84" s="189">
        <f t="shared" si="67"/>
        <v>28624.880000000005</v>
      </c>
      <c r="J84" s="189">
        <f t="shared" si="67"/>
        <v>28624.880000000005</v>
      </c>
      <c r="K84" s="189">
        <f t="shared" si="67"/>
        <v>28624.880000000005</v>
      </c>
    </row>
    <row r="85" spans="2:12" ht="18.75" x14ac:dyDescent="0.3">
      <c r="B85" s="300" t="s">
        <v>42</v>
      </c>
      <c r="C85" s="301"/>
      <c r="D85" s="301"/>
      <c r="E85" s="191">
        <f t="shared" ref="E85" si="68">SUM(E81:E84)</f>
        <v>89624.948039999988</v>
      </c>
      <c r="F85" s="190">
        <f t="shared" si="49"/>
        <v>599877.33804000006</v>
      </c>
      <c r="G85" s="191">
        <f>SUM(G81:G84)</f>
        <v>106540.21468</v>
      </c>
      <c r="H85" s="191">
        <f t="shared" ref="H85:K85" si="69">SUM(H81:H84)</f>
        <v>125098.55179000003</v>
      </c>
      <c r="I85" s="191">
        <f t="shared" si="69"/>
        <v>122804.07956999999</v>
      </c>
      <c r="J85" s="191">
        <f t="shared" si="69"/>
        <v>122717.24599999998</v>
      </c>
      <c r="K85" s="191">
        <f t="shared" si="69"/>
        <v>122717.24599999998</v>
      </c>
    </row>
    <row r="86" spans="2:12" x14ac:dyDescent="0.25">
      <c r="E86" s="111"/>
      <c r="F86" s="188"/>
      <c r="G86" s="111"/>
      <c r="H86" s="125"/>
      <c r="I86" s="125"/>
      <c r="J86" s="111"/>
      <c r="K86" s="111"/>
    </row>
    <row r="87" spans="2:12" x14ac:dyDescent="0.25">
      <c r="E87" s="111"/>
      <c r="F87" s="111">
        <f>F80+F85+F75</f>
        <v>1041541.3040700001</v>
      </c>
      <c r="G87" s="111">
        <f>G80+G85+G75</f>
        <v>545241.40600999992</v>
      </c>
      <c r="H87" s="111">
        <f t="shared" ref="H87:K87" si="70">H80+H85+H75</f>
        <v>125616.32649000002</v>
      </c>
      <c r="I87" s="111">
        <f t="shared" si="70"/>
        <v>123619.07956999999</v>
      </c>
      <c r="J87" s="111">
        <f t="shared" si="70"/>
        <v>123532.24599999998</v>
      </c>
      <c r="K87" s="111">
        <f t="shared" si="70"/>
        <v>123532.24599999998</v>
      </c>
      <c r="L87" s="111"/>
    </row>
    <row r="88" spans="2:12" x14ac:dyDescent="0.25">
      <c r="E88" s="111"/>
      <c r="F88" s="188"/>
      <c r="G88" s="111"/>
      <c r="H88" s="125"/>
      <c r="I88" s="125"/>
      <c r="J88" s="111"/>
      <c r="K88" s="111"/>
    </row>
    <row r="90" spans="2:12" x14ac:dyDescent="0.25">
      <c r="H90" s="93">
        <v>104085.35100000002</v>
      </c>
      <c r="I90" s="93">
        <v>103817.23000000001</v>
      </c>
      <c r="J90" s="2">
        <v>103817.23000000001</v>
      </c>
    </row>
    <row r="91" spans="2:12" x14ac:dyDescent="0.25">
      <c r="H91" s="125">
        <f>H83-H90</f>
        <v>355.10000000000582</v>
      </c>
      <c r="I91" s="125">
        <f t="shared" ref="I91:J91" si="71">I83-I90</f>
        <v>-9638.030430000028</v>
      </c>
      <c r="J91" s="125">
        <f t="shared" si="71"/>
        <v>-9724.8640000000305</v>
      </c>
    </row>
  </sheetData>
  <mergeCells count="123">
    <mergeCell ref="A26:A27"/>
    <mergeCell ref="B26:B27"/>
    <mergeCell ref="C26:C27"/>
    <mergeCell ref="L26:L27"/>
    <mergeCell ref="M26:M27"/>
    <mergeCell ref="B84:D84"/>
    <mergeCell ref="B85:D85"/>
    <mergeCell ref="B78:D78"/>
    <mergeCell ref="B80:D80"/>
    <mergeCell ref="B82:D82"/>
    <mergeCell ref="B83:D83"/>
    <mergeCell ref="A69:D69"/>
    <mergeCell ref="A68:D68"/>
    <mergeCell ref="A66:D66"/>
    <mergeCell ref="A67:D67"/>
    <mergeCell ref="B77:D77"/>
    <mergeCell ref="A70:D70"/>
    <mergeCell ref="B79:D79"/>
    <mergeCell ref="B81:D81"/>
    <mergeCell ref="B73:D73"/>
    <mergeCell ref="B74:D74"/>
    <mergeCell ref="B75:D75"/>
    <mergeCell ref="A37:A39"/>
    <mergeCell ref="B37:B39"/>
    <mergeCell ref="M7:M8"/>
    <mergeCell ref="A19:A21"/>
    <mergeCell ref="B19:B21"/>
    <mergeCell ref="C19:C21"/>
    <mergeCell ref="A10:A12"/>
    <mergeCell ref="B10:B12"/>
    <mergeCell ref="C10:C12"/>
    <mergeCell ref="E2:E4"/>
    <mergeCell ref="M2:M4"/>
    <mergeCell ref="A6:M6"/>
    <mergeCell ref="L2:L4"/>
    <mergeCell ref="G2:K3"/>
    <mergeCell ref="A2:A4"/>
    <mergeCell ref="A7:A8"/>
    <mergeCell ref="B7:B8"/>
    <mergeCell ref="C7:C8"/>
    <mergeCell ref="B2:B4"/>
    <mergeCell ref="C2:C4"/>
    <mergeCell ref="D2:D4"/>
    <mergeCell ref="F2:F4"/>
    <mergeCell ref="L7:L8"/>
    <mergeCell ref="L10:L12"/>
    <mergeCell ref="M10:M12"/>
    <mergeCell ref="C37:C39"/>
    <mergeCell ref="L54:L56"/>
    <mergeCell ref="M54:M56"/>
    <mergeCell ref="A54:A56"/>
    <mergeCell ref="B54:B56"/>
    <mergeCell ref="C54:C56"/>
    <mergeCell ref="A22:A23"/>
    <mergeCell ref="B22:B23"/>
    <mergeCell ref="C22:C23"/>
    <mergeCell ref="L22:L23"/>
    <mergeCell ref="M22:M23"/>
    <mergeCell ref="A33:A36"/>
    <mergeCell ref="B33:B36"/>
    <mergeCell ref="C33:C36"/>
    <mergeCell ref="L33:L36"/>
    <mergeCell ref="M33:M36"/>
    <mergeCell ref="A42:A43"/>
    <mergeCell ref="B42:B43"/>
    <mergeCell ref="C42:C43"/>
    <mergeCell ref="L42:L43"/>
    <mergeCell ref="M42:M43"/>
    <mergeCell ref="A40:A41"/>
    <mergeCell ref="A50:A53"/>
    <mergeCell ref="B50:B53"/>
    <mergeCell ref="C50:C53"/>
    <mergeCell ref="L50:L53"/>
    <mergeCell ref="M50:M53"/>
    <mergeCell ref="M40:M41"/>
    <mergeCell ref="A47:A48"/>
    <mergeCell ref="B47:B48"/>
    <mergeCell ref="C47:C48"/>
    <mergeCell ref="M47:M48"/>
    <mergeCell ref="A44:A46"/>
    <mergeCell ref="B44:B46"/>
    <mergeCell ref="C44:C46"/>
    <mergeCell ref="L44:L46"/>
    <mergeCell ref="M44:M46"/>
    <mergeCell ref="L47:L48"/>
    <mergeCell ref="B40:B41"/>
    <mergeCell ref="C40:C41"/>
    <mergeCell ref="L40:L41"/>
    <mergeCell ref="C63:C65"/>
    <mergeCell ref="A57:A58"/>
    <mergeCell ref="B57:B58"/>
    <mergeCell ref="C57:C58"/>
    <mergeCell ref="L57:L58"/>
    <mergeCell ref="M57:M58"/>
    <mergeCell ref="A59:A62"/>
    <mergeCell ref="B59:B62"/>
    <mergeCell ref="C59:C62"/>
    <mergeCell ref="L59:L62"/>
    <mergeCell ref="M59:M62"/>
    <mergeCell ref="L37:L39"/>
    <mergeCell ref="M37:M39"/>
    <mergeCell ref="B76:D76"/>
    <mergeCell ref="A13:A14"/>
    <mergeCell ref="B13:B14"/>
    <mergeCell ref="C13:C14"/>
    <mergeCell ref="L13:L14"/>
    <mergeCell ref="M13:M14"/>
    <mergeCell ref="A29:A30"/>
    <mergeCell ref="B29:B30"/>
    <mergeCell ref="C29:C30"/>
    <mergeCell ref="L29:L30"/>
    <mergeCell ref="M29:M30"/>
    <mergeCell ref="L19:L21"/>
    <mergeCell ref="M19:M21"/>
    <mergeCell ref="A24:A25"/>
    <mergeCell ref="B24:B25"/>
    <mergeCell ref="C24:C25"/>
    <mergeCell ref="M24:M25"/>
    <mergeCell ref="L24:L25"/>
    <mergeCell ref="L63:L65"/>
    <mergeCell ref="M63:M65"/>
    <mergeCell ref="A63:A65"/>
    <mergeCell ref="B63:B65"/>
  </mergeCells>
  <pageMargins left="0.19685039370078741" right="0.19685039370078741" top="0.59055118110236227" bottom="0.19685039370078741" header="0.39370078740157483" footer="0"/>
  <pageSetup paperSize="9" scale="47" firstPageNumber="10" fitToHeight="0" orientation="landscape" useFirstPageNumber="1" r:id="rId1"/>
  <headerFooter alignWithMargins="0">
    <oddHeader>&amp;C&amp;"Times New Roman,обычный"&amp;12&amp;K000000&amp;P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31"/>
  <sheetViews>
    <sheetView view="pageBreakPreview" zoomScale="70" zoomScaleNormal="70" zoomScaleSheetLayoutView="70" workbookViewId="0">
      <selection activeCell="B18" sqref="B18"/>
    </sheetView>
  </sheetViews>
  <sheetFormatPr defaultColWidth="9.140625" defaultRowHeight="15" x14ac:dyDescent="0.25"/>
  <cols>
    <col min="1" max="1" width="6.7109375" style="2" customWidth="1"/>
    <col min="2" max="2" width="70.710937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1.140625" style="22" customWidth="1"/>
    <col min="7" max="7" width="15.85546875" style="2" customWidth="1"/>
    <col min="8" max="8" width="15.85546875" style="93" customWidth="1"/>
    <col min="9" max="9" width="18.28515625" style="93" customWidth="1"/>
    <col min="10" max="10" width="17.28515625" style="2" customWidth="1"/>
    <col min="11" max="11" width="17.42578125" style="2" customWidth="1"/>
    <col min="12" max="12" width="26.5703125" style="2" customWidth="1"/>
    <col min="13" max="13" width="50.570312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6" ht="9" customHeight="1" x14ac:dyDescent="0.25">
      <c r="A1" s="1"/>
      <c r="B1" s="3"/>
      <c r="C1" s="4"/>
      <c r="D1" s="5"/>
      <c r="E1" s="5"/>
      <c r="F1" s="24"/>
      <c r="G1" s="6"/>
      <c r="H1" s="89"/>
      <c r="I1" s="89"/>
      <c r="J1" s="6"/>
      <c r="K1" s="6"/>
      <c r="L1" s="464"/>
      <c r="M1" s="464"/>
      <c r="N1" s="103"/>
      <c r="O1" s="103"/>
      <c r="P1" s="103"/>
    </row>
    <row r="2" spans="1:16" ht="6" customHeight="1" thickBot="1" x14ac:dyDescent="0.3">
      <c r="A2" s="1"/>
      <c r="B2" s="3"/>
      <c r="C2" s="4"/>
      <c r="D2" s="5"/>
      <c r="E2" s="5"/>
      <c r="F2" s="24"/>
      <c r="G2" s="6"/>
      <c r="H2" s="89"/>
      <c r="I2" s="89"/>
      <c r="J2" s="6"/>
      <c r="K2" s="6"/>
      <c r="L2" s="103"/>
      <c r="M2" s="103"/>
      <c r="N2" s="103"/>
      <c r="O2" s="103"/>
      <c r="P2" s="103"/>
    </row>
    <row r="3" spans="1:16" ht="29.25" customHeight="1" x14ac:dyDescent="0.25">
      <c r="A3" s="448" t="s">
        <v>0</v>
      </c>
      <c r="B3" s="456" t="s">
        <v>8</v>
      </c>
      <c r="C3" s="456" t="s">
        <v>75</v>
      </c>
      <c r="D3" s="456" t="s">
        <v>9</v>
      </c>
      <c r="E3" s="456" t="s">
        <v>98</v>
      </c>
      <c r="F3" s="465" t="s">
        <v>10</v>
      </c>
      <c r="G3" s="456" t="s">
        <v>24</v>
      </c>
      <c r="H3" s="456"/>
      <c r="I3" s="456"/>
      <c r="J3" s="456"/>
      <c r="K3" s="456"/>
      <c r="L3" s="456" t="s">
        <v>11</v>
      </c>
      <c r="M3" s="458" t="s">
        <v>4</v>
      </c>
      <c r="N3" s="78"/>
      <c r="O3" s="78"/>
      <c r="P3" s="78"/>
    </row>
    <row r="4" spans="1:16" ht="57" customHeight="1" x14ac:dyDescent="0.25">
      <c r="A4" s="449"/>
      <c r="B4" s="457"/>
      <c r="C4" s="457"/>
      <c r="D4" s="457"/>
      <c r="E4" s="457"/>
      <c r="F4" s="466"/>
      <c r="G4" s="45" t="s">
        <v>99</v>
      </c>
      <c r="H4" s="97" t="s">
        <v>58</v>
      </c>
      <c r="I4" s="97" t="s">
        <v>71</v>
      </c>
      <c r="J4" s="45" t="s">
        <v>72</v>
      </c>
      <c r="K4" s="45" t="s">
        <v>73</v>
      </c>
      <c r="L4" s="457"/>
      <c r="M4" s="459"/>
      <c r="N4" s="78" t="s">
        <v>67</v>
      </c>
      <c r="O4" s="78" t="s">
        <v>68</v>
      </c>
      <c r="P4" s="78"/>
    </row>
    <row r="5" spans="1:16" ht="18.75" x14ac:dyDescent="0.25">
      <c r="A5" s="8" t="s">
        <v>18</v>
      </c>
      <c r="B5" s="9">
        <v>2</v>
      </c>
      <c r="C5" s="9" t="s">
        <v>12</v>
      </c>
      <c r="D5" s="9" t="s">
        <v>56</v>
      </c>
      <c r="E5" s="9" t="s">
        <v>13</v>
      </c>
      <c r="F5" s="10" t="s">
        <v>13</v>
      </c>
      <c r="G5" s="9" t="s">
        <v>53</v>
      </c>
      <c r="H5" s="90" t="s">
        <v>14</v>
      </c>
      <c r="I5" s="90" t="s">
        <v>54</v>
      </c>
      <c r="J5" s="9" t="s">
        <v>15</v>
      </c>
      <c r="K5" s="9" t="s">
        <v>16</v>
      </c>
      <c r="L5" s="9" t="s">
        <v>19</v>
      </c>
      <c r="M5" s="11" t="s">
        <v>20</v>
      </c>
      <c r="N5" s="74"/>
      <c r="O5" s="74"/>
      <c r="P5" s="74"/>
    </row>
    <row r="6" spans="1:16" ht="34.5" customHeight="1" x14ac:dyDescent="0.25">
      <c r="A6" s="46"/>
      <c r="B6" s="453" t="s">
        <v>142</v>
      </c>
      <c r="C6" s="453"/>
      <c r="D6" s="454"/>
      <c r="E6" s="454"/>
      <c r="F6" s="454"/>
      <c r="G6" s="454"/>
      <c r="H6" s="454"/>
      <c r="I6" s="454"/>
      <c r="J6" s="454"/>
      <c r="K6" s="454"/>
      <c r="L6" s="454"/>
      <c r="M6" s="455"/>
      <c r="N6" s="79"/>
      <c r="O6" s="79"/>
      <c r="P6" s="79"/>
    </row>
    <row r="7" spans="1:16" s="155" customFormat="1" ht="43.5" customHeight="1" x14ac:dyDescent="0.25">
      <c r="A7" s="450" t="s">
        <v>18</v>
      </c>
      <c r="B7" s="451" t="s">
        <v>204</v>
      </c>
      <c r="C7" s="452" t="s">
        <v>74</v>
      </c>
      <c r="D7" s="27" t="s">
        <v>5</v>
      </c>
      <c r="E7" s="163">
        <f>E8</f>
        <v>0</v>
      </c>
      <c r="F7" s="132">
        <f>SUM(G7:K7)</f>
        <v>0</v>
      </c>
      <c r="G7" s="163">
        <f>G8</f>
        <v>0</v>
      </c>
      <c r="H7" s="163">
        <f t="shared" ref="H7:K8" si="0">H8</f>
        <v>0</v>
      </c>
      <c r="I7" s="163">
        <f t="shared" si="0"/>
        <v>0</v>
      </c>
      <c r="J7" s="163">
        <f t="shared" si="0"/>
        <v>0</v>
      </c>
      <c r="K7" s="163">
        <f t="shared" si="0"/>
        <v>0</v>
      </c>
      <c r="L7" s="460"/>
      <c r="M7" s="462"/>
      <c r="N7" s="175"/>
      <c r="O7" s="175"/>
      <c r="P7" s="175"/>
    </row>
    <row r="8" spans="1:16" s="155" customFormat="1" ht="72" customHeight="1" x14ac:dyDescent="0.25">
      <c r="A8" s="450"/>
      <c r="B8" s="451"/>
      <c r="C8" s="452"/>
      <c r="D8" s="27" t="s">
        <v>2</v>
      </c>
      <c r="E8" s="164">
        <f>E9</f>
        <v>0</v>
      </c>
      <c r="F8" s="132">
        <f>SUM(G8:K8)</f>
        <v>0</v>
      </c>
      <c r="G8" s="164">
        <f>G9</f>
        <v>0</v>
      </c>
      <c r="H8" s="164">
        <f t="shared" si="0"/>
        <v>0</v>
      </c>
      <c r="I8" s="164">
        <f t="shared" si="0"/>
        <v>0</v>
      </c>
      <c r="J8" s="164">
        <f t="shared" si="0"/>
        <v>0</v>
      </c>
      <c r="K8" s="164">
        <f t="shared" si="0"/>
        <v>0</v>
      </c>
      <c r="L8" s="461"/>
      <c r="M8" s="463"/>
      <c r="N8" s="176"/>
      <c r="O8" s="176"/>
      <c r="P8" s="176"/>
    </row>
    <row r="9" spans="1:16" ht="200.25" customHeight="1" x14ac:dyDescent="0.25">
      <c r="A9" s="170" t="s">
        <v>43</v>
      </c>
      <c r="B9" s="171" t="s">
        <v>274</v>
      </c>
      <c r="C9" s="172" t="s">
        <v>74</v>
      </c>
      <c r="D9" s="158" t="s">
        <v>2</v>
      </c>
      <c r="E9" s="159">
        <v>0</v>
      </c>
      <c r="F9" s="133">
        <f t="shared" ref="F9" si="1">SUM(G9:K9)</f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73" t="s">
        <v>6</v>
      </c>
      <c r="M9" s="174" t="s">
        <v>100</v>
      </c>
      <c r="N9" s="134">
        <f>('[1]Лист 1'!$F$476+'[1]Лист 1'!$F$477)/1000</f>
        <v>16611.023000000001</v>
      </c>
      <c r="O9" s="28">
        <v>16611.023000000001</v>
      </c>
      <c r="P9" s="84">
        <f>N9-O9</f>
        <v>0</v>
      </c>
    </row>
    <row r="10" spans="1:16" s="155" customFormat="1" ht="34.5" hidden="1" customHeight="1" x14ac:dyDescent="0.25">
      <c r="A10" s="450" t="s">
        <v>180</v>
      </c>
      <c r="B10" s="451" t="s">
        <v>116</v>
      </c>
      <c r="C10" s="452" t="s">
        <v>74</v>
      </c>
      <c r="D10" s="27" t="s">
        <v>5</v>
      </c>
      <c r="E10" s="163">
        <f>E11</f>
        <v>0</v>
      </c>
      <c r="F10" s="132">
        <f>SUM(G10:K10)</f>
        <v>0</v>
      </c>
      <c r="G10" s="163">
        <f>G11</f>
        <v>0</v>
      </c>
      <c r="H10" s="163">
        <f t="shared" ref="H10:K11" si="2">H11</f>
        <v>0</v>
      </c>
      <c r="I10" s="163">
        <f t="shared" si="2"/>
        <v>0</v>
      </c>
      <c r="J10" s="163">
        <f t="shared" si="2"/>
        <v>0</v>
      </c>
      <c r="K10" s="163">
        <f t="shared" si="2"/>
        <v>0</v>
      </c>
      <c r="L10" s="460"/>
      <c r="M10" s="462"/>
      <c r="N10" s="175"/>
      <c r="O10" s="175"/>
      <c r="P10" s="175"/>
    </row>
    <row r="11" spans="1:16" s="155" customFormat="1" ht="56.25" hidden="1" x14ac:dyDescent="0.25">
      <c r="A11" s="450"/>
      <c r="B11" s="451"/>
      <c r="C11" s="452"/>
      <c r="D11" s="27" t="s">
        <v>80</v>
      </c>
      <c r="E11" s="164">
        <f>E12</f>
        <v>0</v>
      </c>
      <c r="F11" s="132">
        <f>SUM(G11:K11)</f>
        <v>0</v>
      </c>
      <c r="G11" s="164">
        <f>G12</f>
        <v>0</v>
      </c>
      <c r="H11" s="164">
        <f t="shared" si="2"/>
        <v>0</v>
      </c>
      <c r="I11" s="164">
        <f t="shared" si="2"/>
        <v>0</v>
      </c>
      <c r="J11" s="164">
        <f t="shared" si="2"/>
        <v>0</v>
      </c>
      <c r="K11" s="164">
        <f t="shared" si="2"/>
        <v>0</v>
      </c>
      <c r="L11" s="461"/>
      <c r="M11" s="463"/>
      <c r="N11" s="176"/>
      <c r="O11" s="176"/>
      <c r="P11" s="176"/>
    </row>
    <row r="12" spans="1:16" ht="56.25" hidden="1" x14ac:dyDescent="0.25">
      <c r="A12" s="170" t="s">
        <v>47</v>
      </c>
      <c r="B12" s="171" t="s">
        <v>205</v>
      </c>
      <c r="C12" s="172" t="s">
        <v>74</v>
      </c>
      <c r="D12" s="158" t="s">
        <v>80</v>
      </c>
      <c r="E12" s="159">
        <v>0</v>
      </c>
      <c r="F12" s="133">
        <f t="shared" ref="F12" si="3">SUM(G12:K12)</f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73" t="s">
        <v>6</v>
      </c>
      <c r="M12" s="174" t="s">
        <v>117</v>
      </c>
      <c r="N12" s="134">
        <f>('[1]Лист 1'!$F$476+'[1]Лист 1'!$F$477)/1000</f>
        <v>16611.023000000001</v>
      </c>
      <c r="O12" s="28">
        <v>16611.023000000001</v>
      </c>
      <c r="P12" s="84">
        <f>N12-O12</f>
        <v>0</v>
      </c>
    </row>
    <row r="13" spans="1:16" ht="18.75" x14ac:dyDescent="0.25">
      <c r="A13" s="402" t="s">
        <v>30</v>
      </c>
      <c r="B13" s="403"/>
      <c r="C13" s="403"/>
      <c r="D13" s="403"/>
      <c r="E13" s="114">
        <f>E14+E15</f>
        <v>0</v>
      </c>
      <c r="F13" s="165">
        <f>SUM(G13:K13)</f>
        <v>0</v>
      </c>
      <c r="G13" s="114">
        <f>G14+G15</f>
        <v>0</v>
      </c>
      <c r="H13" s="114">
        <f t="shared" ref="H13:K13" si="4">H14+H15</f>
        <v>0</v>
      </c>
      <c r="I13" s="114">
        <f t="shared" si="4"/>
        <v>0</v>
      </c>
      <c r="J13" s="114">
        <f t="shared" si="4"/>
        <v>0</v>
      </c>
      <c r="K13" s="114">
        <f t="shared" si="4"/>
        <v>0</v>
      </c>
      <c r="L13" s="30"/>
      <c r="M13" s="47"/>
      <c r="N13" s="81"/>
      <c r="O13" s="81"/>
      <c r="P13" s="81"/>
    </row>
    <row r="14" spans="1:16" ht="18.75" x14ac:dyDescent="0.25">
      <c r="A14" s="399" t="s">
        <v>2</v>
      </c>
      <c r="B14" s="400"/>
      <c r="C14" s="400"/>
      <c r="D14" s="400"/>
      <c r="E14" s="115">
        <f>E8</f>
        <v>0</v>
      </c>
      <c r="F14" s="165">
        <f t="shared" ref="F14:F15" si="5">SUM(G14:K14)</f>
        <v>0</v>
      </c>
      <c r="G14" s="115">
        <f>G8</f>
        <v>0</v>
      </c>
      <c r="H14" s="115">
        <f t="shared" ref="H14:K14" si="6">H8</f>
        <v>0</v>
      </c>
      <c r="I14" s="115">
        <f t="shared" si="6"/>
        <v>0</v>
      </c>
      <c r="J14" s="115">
        <f t="shared" si="6"/>
        <v>0</v>
      </c>
      <c r="K14" s="115">
        <f t="shared" si="6"/>
        <v>0</v>
      </c>
      <c r="L14" s="31"/>
      <c r="M14" s="48"/>
      <c r="N14" s="82"/>
      <c r="O14" s="82"/>
      <c r="P14" s="82"/>
    </row>
    <row r="15" spans="1:16" ht="19.5" thickBot="1" x14ac:dyDescent="0.3">
      <c r="A15" s="446" t="s">
        <v>78</v>
      </c>
      <c r="B15" s="447"/>
      <c r="C15" s="447"/>
      <c r="D15" s="447"/>
      <c r="E15" s="135">
        <f>E11</f>
        <v>0</v>
      </c>
      <c r="F15" s="166">
        <f t="shared" si="5"/>
        <v>0</v>
      </c>
      <c r="G15" s="135">
        <f>G11</f>
        <v>0</v>
      </c>
      <c r="H15" s="135">
        <f t="shared" ref="H15:K15" si="7">H11</f>
        <v>0</v>
      </c>
      <c r="I15" s="135">
        <f t="shared" si="7"/>
        <v>0</v>
      </c>
      <c r="J15" s="135">
        <f t="shared" si="7"/>
        <v>0</v>
      </c>
      <c r="K15" s="135">
        <f t="shared" si="7"/>
        <v>0</v>
      </c>
      <c r="L15" s="136"/>
      <c r="M15" s="137"/>
      <c r="N15" s="82"/>
      <c r="O15" s="82"/>
      <c r="P15" s="82"/>
    </row>
    <row r="16" spans="1:16" ht="15.75" x14ac:dyDescent="0.25">
      <c r="A16" s="49"/>
      <c r="B16" s="49"/>
      <c r="C16" s="50"/>
      <c r="D16" s="50"/>
      <c r="E16" s="50"/>
      <c r="F16" s="51"/>
      <c r="G16" s="52"/>
      <c r="H16" s="98"/>
      <c r="I16" s="127"/>
      <c r="J16" s="53"/>
      <c r="K16" s="53"/>
      <c r="L16" s="49"/>
      <c r="M16" s="49"/>
      <c r="N16" s="49"/>
      <c r="O16" s="49"/>
      <c r="P16" s="49"/>
    </row>
    <row r="17" spans="3:11" ht="15.75" x14ac:dyDescent="0.25">
      <c r="E17" s="12"/>
      <c r="F17" s="19"/>
      <c r="G17" s="12"/>
      <c r="H17" s="99"/>
    </row>
    <row r="18" spans="3:11" ht="15.75" x14ac:dyDescent="0.25">
      <c r="C18" s="18"/>
      <c r="D18" s="18"/>
      <c r="E18" s="18"/>
      <c r="F18" s="54"/>
      <c r="G18" s="18"/>
      <c r="H18" s="100"/>
      <c r="I18" s="100"/>
      <c r="J18" s="18"/>
      <c r="K18" s="18"/>
    </row>
    <row r="19" spans="3:11" x14ac:dyDescent="0.25">
      <c r="E19" s="12"/>
    </row>
    <row r="20" spans="3:11" x14ac:dyDescent="0.25">
      <c r="E20" s="12"/>
      <c r="F20" s="55"/>
      <c r="G20" s="26"/>
      <c r="H20" s="95"/>
      <c r="I20" s="95"/>
      <c r="J20" s="26"/>
      <c r="K20" s="26"/>
    </row>
    <row r="21" spans="3:11" x14ac:dyDescent="0.25">
      <c r="E21" s="12"/>
      <c r="F21" s="55"/>
      <c r="G21" s="26"/>
      <c r="H21" s="95"/>
      <c r="I21" s="91"/>
      <c r="J21" s="12"/>
      <c r="K21" s="12"/>
    </row>
    <row r="22" spans="3:11" x14ac:dyDescent="0.25">
      <c r="E22" s="12"/>
      <c r="F22" s="55"/>
      <c r="G22" s="26"/>
      <c r="H22" s="95"/>
      <c r="I22" s="95"/>
      <c r="J22" s="26"/>
      <c r="K22" s="26"/>
    </row>
    <row r="23" spans="3:11" x14ac:dyDescent="0.25">
      <c r="E23" s="26"/>
      <c r="F23" s="55"/>
      <c r="G23" s="26"/>
      <c r="H23" s="95"/>
      <c r="I23" s="95"/>
      <c r="J23" s="26"/>
      <c r="K23" s="26"/>
    </row>
    <row r="24" spans="3:11" x14ac:dyDescent="0.25">
      <c r="F24" s="55"/>
      <c r="G24" s="26"/>
    </row>
    <row r="25" spans="3:11" x14ac:dyDescent="0.25">
      <c r="E25" s="26"/>
      <c r="F25" s="55"/>
      <c r="G25" s="26"/>
      <c r="H25" s="95"/>
      <c r="I25" s="95"/>
      <c r="J25" s="26"/>
      <c r="K25" s="26"/>
    </row>
    <row r="26" spans="3:11" x14ac:dyDescent="0.25">
      <c r="E26" s="26"/>
      <c r="F26" s="55"/>
      <c r="G26" s="26"/>
      <c r="H26" s="95"/>
      <c r="I26" s="95"/>
      <c r="J26" s="26"/>
      <c r="K26" s="26"/>
    </row>
    <row r="27" spans="3:11" x14ac:dyDescent="0.25">
      <c r="F27" s="55"/>
      <c r="G27" s="26"/>
      <c r="H27" s="95"/>
    </row>
    <row r="29" spans="3:11" x14ac:dyDescent="0.25">
      <c r="F29" s="55"/>
      <c r="G29" s="26"/>
      <c r="H29" s="95"/>
      <c r="I29" s="95"/>
      <c r="J29" s="26"/>
      <c r="K29" s="26"/>
    </row>
    <row r="30" spans="3:11" x14ac:dyDescent="0.25">
      <c r="F30" s="55"/>
      <c r="G30" s="26"/>
      <c r="H30" s="95"/>
      <c r="I30" s="95"/>
      <c r="J30" s="26"/>
      <c r="K30" s="26"/>
    </row>
    <row r="31" spans="3:11" x14ac:dyDescent="0.25">
      <c r="F31" s="19"/>
      <c r="G31" s="12"/>
      <c r="H31" s="91"/>
      <c r="I31" s="91"/>
      <c r="J31" s="12"/>
      <c r="K31" s="12"/>
    </row>
  </sheetData>
  <mergeCells count="24">
    <mergeCell ref="L1:M1"/>
    <mergeCell ref="F3:F4"/>
    <mergeCell ref="L3:L4"/>
    <mergeCell ref="G3:K3"/>
    <mergeCell ref="A14:D14"/>
    <mergeCell ref="A13:D13"/>
    <mergeCell ref="L10:L11"/>
    <mergeCell ref="M10:M11"/>
    <mergeCell ref="A15:D15"/>
    <mergeCell ref="A3:A4"/>
    <mergeCell ref="A7:A8"/>
    <mergeCell ref="B7:B8"/>
    <mergeCell ref="C7:C8"/>
    <mergeCell ref="B6:M6"/>
    <mergeCell ref="D3:D4"/>
    <mergeCell ref="E3:E4"/>
    <mergeCell ref="B3:B4"/>
    <mergeCell ref="C3:C4"/>
    <mergeCell ref="M3:M4"/>
    <mergeCell ref="A10:A11"/>
    <mergeCell ref="B10:B11"/>
    <mergeCell ref="C10:C11"/>
    <mergeCell ref="L7:L8"/>
    <mergeCell ref="M7:M8"/>
  </mergeCells>
  <pageMargins left="0.19685039370078741" right="0.19685039370078741" top="0.59055118110236227" bottom="0.39370078740157483" header="0.39370078740157483" footer="0"/>
  <pageSetup paperSize="9" scale="46" firstPageNumber="12" fitToHeight="0" orientation="landscape" useFirstPageNumber="1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AB64"/>
  <sheetViews>
    <sheetView view="pageBreakPreview" zoomScale="70" zoomScaleNormal="70" zoomScaleSheetLayoutView="70" workbookViewId="0">
      <selection activeCell="M13" sqref="A1:M13"/>
    </sheetView>
  </sheetViews>
  <sheetFormatPr defaultColWidth="9.140625" defaultRowHeight="15" x14ac:dyDescent="0.25"/>
  <cols>
    <col min="1" max="1" width="6.7109375" style="2" customWidth="1"/>
    <col min="2" max="2" width="69.570312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2.7109375" style="22" customWidth="1"/>
    <col min="7" max="7" width="21.5703125" style="2" customWidth="1"/>
    <col min="8" max="8" width="22.85546875" style="93" customWidth="1"/>
    <col min="9" max="9" width="21.5703125" style="93" customWidth="1"/>
    <col min="10" max="10" width="22" style="2" customWidth="1"/>
    <col min="11" max="11" width="21.42578125" style="2" customWidth="1"/>
    <col min="12" max="12" width="26.5703125" style="2" customWidth="1"/>
    <col min="13" max="13" width="47.710937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8" ht="9" customHeight="1" x14ac:dyDescent="0.25">
      <c r="A1" s="1"/>
      <c r="B1" s="3"/>
      <c r="C1" s="4"/>
      <c r="D1" s="5"/>
      <c r="E1" s="5"/>
      <c r="F1" s="24"/>
      <c r="G1" s="6"/>
      <c r="H1" s="89"/>
      <c r="I1" s="89"/>
      <c r="J1" s="6"/>
      <c r="K1" s="6"/>
      <c r="L1" s="464"/>
      <c r="M1" s="464"/>
      <c r="N1" s="126"/>
      <c r="O1" s="126"/>
      <c r="P1" s="126"/>
    </row>
    <row r="2" spans="1:18" ht="6" customHeight="1" thickBot="1" x14ac:dyDescent="0.3">
      <c r="A2" s="1"/>
      <c r="B2" s="3"/>
      <c r="C2" s="4"/>
      <c r="D2" s="5"/>
      <c r="E2" s="5"/>
      <c r="F2" s="24"/>
      <c r="G2" s="6"/>
      <c r="H2" s="89"/>
      <c r="I2" s="89"/>
      <c r="J2" s="6"/>
      <c r="K2" s="6"/>
      <c r="L2" s="126"/>
      <c r="M2" s="126"/>
      <c r="N2" s="126"/>
      <c r="O2" s="126"/>
      <c r="P2" s="126"/>
    </row>
    <row r="3" spans="1:18" ht="29.25" customHeight="1" x14ac:dyDescent="0.25">
      <c r="A3" s="448" t="s">
        <v>0</v>
      </c>
      <c r="B3" s="456" t="s">
        <v>8</v>
      </c>
      <c r="C3" s="456" t="s">
        <v>81</v>
      </c>
      <c r="D3" s="456" t="s">
        <v>9</v>
      </c>
      <c r="E3" s="456" t="s">
        <v>98</v>
      </c>
      <c r="F3" s="465" t="s">
        <v>10</v>
      </c>
      <c r="G3" s="456" t="s">
        <v>24</v>
      </c>
      <c r="H3" s="456"/>
      <c r="I3" s="456"/>
      <c r="J3" s="456"/>
      <c r="K3" s="456"/>
      <c r="L3" s="456" t="s">
        <v>11</v>
      </c>
      <c r="M3" s="458" t="s">
        <v>4</v>
      </c>
      <c r="N3" s="78"/>
      <c r="O3" s="78"/>
      <c r="P3" s="78"/>
    </row>
    <row r="4" spans="1:18" ht="57" customHeight="1" x14ac:dyDescent="0.25">
      <c r="A4" s="449"/>
      <c r="B4" s="457"/>
      <c r="C4" s="457"/>
      <c r="D4" s="457"/>
      <c r="E4" s="457"/>
      <c r="F4" s="466"/>
      <c r="G4" s="45" t="s">
        <v>104</v>
      </c>
      <c r="H4" s="97" t="s">
        <v>58</v>
      </c>
      <c r="I4" s="97" t="s">
        <v>71</v>
      </c>
      <c r="J4" s="45" t="s">
        <v>72</v>
      </c>
      <c r="K4" s="45" t="s">
        <v>73</v>
      </c>
      <c r="L4" s="457"/>
      <c r="M4" s="459"/>
      <c r="N4" s="78" t="s">
        <v>67</v>
      </c>
      <c r="O4" s="78" t="s">
        <v>68</v>
      </c>
      <c r="P4" s="78"/>
    </row>
    <row r="5" spans="1:18" ht="18.75" x14ac:dyDescent="0.25">
      <c r="A5" s="8" t="s">
        <v>18</v>
      </c>
      <c r="B5" s="9">
        <v>2</v>
      </c>
      <c r="C5" s="9" t="s">
        <v>12</v>
      </c>
      <c r="D5" s="9" t="s">
        <v>56</v>
      </c>
      <c r="E5" s="9" t="s">
        <v>13</v>
      </c>
      <c r="F5" s="10" t="s">
        <v>13</v>
      </c>
      <c r="G5" s="9" t="s">
        <v>53</v>
      </c>
      <c r="H5" s="90" t="s">
        <v>14</v>
      </c>
      <c r="I5" s="90" t="s">
        <v>54</v>
      </c>
      <c r="J5" s="9" t="s">
        <v>15</v>
      </c>
      <c r="K5" s="9" t="s">
        <v>16</v>
      </c>
      <c r="L5" s="9" t="s">
        <v>19</v>
      </c>
      <c r="M5" s="11" t="s">
        <v>20</v>
      </c>
      <c r="N5" s="74"/>
      <c r="O5" s="74"/>
      <c r="P5" s="74"/>
    </row>
    <row r="6" spans="1:18" ht="34.5" customHeight="1" x14ac:dyDescent="0.25">
      <c r="A6" s="46"/>
      <c r="B6" s="453" t="s">
        <v>143</v>
      </c>
      <c r="C6" s="453"/>
      <c r="D6" s="454"/>
      <c r="E6" s="454"/>
      <c r="F6" s="454"/>
      <c r="G6" s="454"/>
      <c r="H6" s="454"/>
      <c r="I6" s="454"/>
      <c r="J6" s="454"/>
      <c r="K6" s="454"/>
      <c r="L6" s="454"/>
      <c r="M6" s="455"/>
      <c r="N6" s="79"/>
      <c r="O6" s="79"/>
      <c r="P6" s="79"/>
    </row>
    <row r="7" spans="1:18" ht="34.5" customHeight="1" x14ac:dyDescent="0.25">
      <c r="A7" s="450" t="s">
        <v>18</v>
      </c>
      <c r="B7" s="451" t="s">
        <v>206</v>
      </c>
      <c r="C7" s="451" t="s">
        <v>74</v>
      </c>
      <c r="D7" s="212" t="s">
        <v>5</v>
      </c>
      <c r="E7" s="213">
        <f>E9</f>
        <v>181275.1586</v>
      </c>
      <c r="F7" s="133">
        <f>SUM(G7:K7)</f>
        <v>778832.21935999999</v>
      </c>
      <c r="G7" s="213">
        <f>G9+G8</f>
        <v>142103.34435999999</v>
      </c>
      <c r="H7" s="213">
        <f t="shared" ref="H7:K7" si="0">H9+H8</f>
        <v>157768.158</v>
      </c>
      <c r="I7" s="213">
        <f t="shared" si="0"/>
        <v>159660.239</v>
      </c>
      <c r="J7" s="213">
        <f t="shared" si="0"/>
        <v>159650.239</v>
      </c>
      <c r="K7" s="213">
        <f t="shared" si="0"/>
        <v>159650.239</v>
      </c>
      <c r="L7" s="460"/>
      <c r="M7" s="462"/>
      <c r="N7" s="79"/>
      <c r="O7" s="79"/>
      <c r="P7" s="79"/>
    </row>
    <row r="8" spans="1:18" ht="34.5" customHeight="1" x14ac:dyDescent="0.25">
      <c r="A8" s="450"/>
      <c r="B8" s="451"/>
      <c r="C8" s="451"/>
      <c r="D8" s="212" t="s">
        <v>2</v>
      </c>
      <c r="E8" s="213"/>
      <c r="F8" s="133">
        <f>SUM(G8:K8)</f>
        <v>476</v>
      </c>
      <c r="G8" s="234">
        <f>G10</f>
        <v>0</v>
      </c>
      <c r="H8" s="234">
        <f t="shared" ref="H8:K8" si="1">H10</f>
        <v>476</v>
      </c>
      <c r="I8" s="234">
        <f t="shared" si="1"/>
        <v>0</v>
      </c>
      <c r="J8" s="234">
        <f t="shared" si="1"/>
        <v>0</v>
      </c>
      <c r="K8" s="234">
        <f t="shared" si="1"/>
        <v>0</v>
      </c>
      <c r="L8" s="473"/>
      <c r="M8" s="474"/>
      <c r="N8" s="79"/>
      <c r="O8" s="79"/>
      <c r="P8" s="79"/>
    </row>
    <row r="9" spans="1:18" ht="56.25" x14ac:dyDescent="0.25">
      <c r="A9" s="450"/>
      <c r="B9" s="451"/>
      <c r="C9" s="451"/>
      <c r="D9" s="212" t="s">
        <v>80</v>
      </c>
      <c r="E9" s="214">
        <f>E11+E12+E13</f>
        <v>181275.1586</v>
      </c>
      <c r="F9" s="133">
        <f>SUM(G9:K9)</f>
        <v>778356.21935999999</v>
      </c>
      <c r="G9" s="214">
        <f>G11+G12+G13</f>
        <v>142103.34435999999</v>
      </c>
      <c r="H9" s="214">
        <f>H11+H12+H13</f>
        <v>157292.158</v>
      </c>
      <c r="I9" s="214">
        <f>I11+I12+I13</f>
        <v>159660.239</v>
      </c>
      <c r="J9" s="214">
        <f>J11+J12+J13</f>
        <v>159650.239</v>
      </c>
      <c r="K9" s="214">
        <f>K11+K12+K13</f>
        <v>159650.239</v>
      </c>
      <c r="L9" s="461"/>
      <c r="M9" s="463"/>
      <c r="N9" s="80"/>
      <c r="O9" s="80"/>
      <c r="P9" s="80"/>
    </row>
    <row r="10" spans="1:18" ht="37.5" x14ac:dyDescent="0.25">
      <c r="A10" s="475" t="s">
        <v>43</v>
      </c>
      <c r="B10" s="349" t="s">
        <v>275</v>
      </c>
      <c r="C10" s="477" t="s">
        <v>74</v>
      </c>
      <c r="D10" s="270" t="s">
        <v>2</v>
      </c>
      <c r="E10" s="271"/>
      <c r="F10" s="272">
        <f t="shared" ref="F10:F13" si="2">SUM(G10:K10)</f>
        <v>476</v>
      </c>
      <c r="G10" s="273">
        <v>0</v>
      </c>
      <c r="H10" s="273">
        <v>476</v>
      </c>
      <c r="I10" s="273">
        <v>0</v>
      </c>
      <c r="J10" s="273">
        <v>0</v>
      </c>
      <c r="K10" s="273">
        <v>0</v>
      </c>
      <c r="L10" s="479" t="s">
        <v>6</v>
      </c>
      <c r="M10" s="481" t="s">
        <v>21</v>
      </c>
      <c r="N10" s="80"/>
      <c r="O10" s="80"/>
      <c r="P10" s="80"/>
      <c r="R10" s="2" t="s">
        <v>299</v>
      </c>
    </row>
    <row r="11" spans="1:18" ht="60.75" customHeight="1" x14ac:dyDescent="0.25">
      <c r="A11" s="476"/>
      <c r="B11" s="350"/>
      <c r="C11" s="478"/>
      <c r="D11" s="194" t="s">
        <v>80</v>
      </c>
      <c r="E11" s="159">
        <v>97858.007519999999</v>
      </c>
      <c r="F11" s="133">
        <f t="shared" si="2"/>
        <v>430777.94044999999</v>
      </c>
      <c r="G11" s="159">
        <f>84416.029-1539.055+5072.272+586-1516+1239.9233-33.72485-2594-150-152</f>
        <v>85329.444449999995</v>
      </c>
      <c r="H11" s="159">
        <f>86310.124+198</f>
        <v>86508.123999999996</v>
      </c>
      <c r="I11" s="159">
        <v>86320.123999999996</v>
      </c>
      <c r="J11" s="159">
        <v>86310.123999999996</v>
      </c>
      <c r="K11" s="159">
        <v>86310.123999999996</v>
      </c>
      <c r="L11" s="480"/>
      <c r="M11" s="482"/>
      <c r="N11" s="134">
        <f>('[1]Лист 1'!$F$476+'[1]Лист 1'!$F$477)/1000</f>
        <v>16611.023000000001</v>
      </c>
      <c r="O11" s="28">
        <v>16611.023000000001</v>
      </c>
      <c r="P11" s="84">
        <f>N11-O11</f>
        <v>0</v>
      </c>
    </row>
    <row r="12" spans="1:18" ht="99" customHeight="1" x14ac:dyDescent="0.25">
      <c r="A12" s="170" t="s">
        <v>44</v>
      </c>
      <c r="B12" s="260" t="s">
        <v>276</v>
      </c>
      <c r="C12" s="193" t="s">
        <v>74</v>
      </c>
      <c r="D12" s="194" t="s">
        <v>80</v>
      </c>
      <c r="E12" s="159">
        <v>39046.151080000003</v>
      </c>
      <c r="F12" s="133">
        <f t="shared" si="2"/>
        <v>203752.89890999999</v>
      </c>
      <c r="G12" s="159">
        <f>41443.314-3918-15.27385-14.60751-254.60973-684.497-4.398-0.493</f>
        <v>36551.434909999996</v>
      </c>
      <c r="H12" s="159">
        <f>41692.915+429.804</f>
        <v>42122.718999999997</v>
      </c>
      <c r="I12" s="159">
        <v>41692.914999999994</v>
      </c>
      <c r="J12" s="159">
        <v>41692.914999999994</v>
      </c>
      <c r="K12" s="159">
        <v>41692.914999999994</v>
      </c>
      <c r="L12" s="195" t="s">
        <v>132</v>
      </c>
      <c r="M12" s="196" t="s">
        <v>145</v>
      </c>
      <c r="N12" s="134">
        <f>'[1]Лист 1'!$F$478/1000</f>
        <v>0.27</v>
      </c>
      <c r="O12" s="29">
        <v>0.27</v>
      </c>
      <c r="P12" s="84">
        <f t="shared" ref="P12:P13" si="3">N12-O12</f>
        <v>0</v>
      </c>
      <c r="R12" s="2" t="s">
        <v>281</v>
      </c>
    </row>
    <row r="13" spans="1:18" ht="262.5" x14ac:dyDescent="0.25">
      <c r="A13" s="264" t="s">
        <v>45</v>
      </c>
      <c r="B13" s="261" t="s">
        <v>277</v>
      </c>
      <c r="C13" s="265" t="s">
        <v>74</v>
      </c>
      <c r="D13" s="200" t="s">
        <v>80</v>
      </c>
      <c r="E13" s="201">
        <v>44371</v>
      </c>
      <c r="F13" s="202">
        <f t="shared" si="2"/>
        <v>143825.38</v>
      </c>
      <c r="G13" s="201">
        <f>36378.4+1539.055+586-586-13155.935-1539.055-3000</f>
        <v>20222.465000000004</v>
      </c>
      <c r="H13" s="201">
        <f>33147.2-2985.885-1500</f>
        <v>28661.314999999995</v>
      </c>
      <c r="I13" s="201">
        <v>31647.200000000001</v>
      </c>
      <c r="J13" s="201">
        <v>31647.200000000001</v>
      </c>
      <c r="K13" s="201">
        <v>31647.200000000001</v>
      </c>
      <c r="L13" s="266" t="s">
        <v>64</v>
      </c>
      <c r="M13" s="267" t="s">
        <v>134</v>
      </c>
      <c r="N13" s="134">
        <v>0</v>
      </c>
      <c r="O13" s="29">
        <v>0</v>
      </c>
      <c r="P13" s="84">
        <f t="shared" si="3"/>
        <v>0</v>
      </c>
      <c r="Q13" s="13"/>
      <c r="R13" s="13" t="s">
        <v>290</v>
      </c>
    </row>
    <row r="14" spans="1:18" ht="18.75" x14ac:dyDescent="0.25">
      <c r="A14" s="402" t="s">
        <v>101</v>
      </c>
      <c r="B14" s="403"/>
      <c r="C14" s="403"/>
      <c r="D14" s="403"/>
      <c r="E14" s="114">
        <f>E16</f>
        <v>181275.1586</v>
      </c>
      <c r="F14" s="165">
        <f>SUM(G14:K14)</f>
        <v>778832.21935999999</v>
      </c>
      <c r="G14" s="114">
        <f>G15+G16</f>
        <v>142103.34435999999</v>
      </c>
      <c r="H14" s="114">
        <f t="shared" ref="H14:K14" si="4">H15+H16</f>
        <v>157768.158</v>
      </c>
      <c r="I14" s="114">
        <f t="shared" si="4"/>
        <v>159660.239</v>
      </c>
      <c r="J14" s="114">
        <f t="shared" si="4"/>
        <v>159650.239</v>
      </c>
      <c r="K14" s="114">
        <f t="shared" si="4"/>
        <v>159650.239</v>
      </c>
      <c r="L14" s="30"/>
      <c r="M14" s="47"/>
      <c r="N14" s="81"/>
      <c r="O14" s="81"/>
      <c r="P14" s="81"/>
    </row>
    <row r="15" spans="1:18" ht="18.75" x14ac:dyDescent="0.25">
      <c r="A15" s="471" t="s">
        <v>2</v>
      </c>
      <c r="B15" s="472"/>
      <c r="C15" s="472"/>
      <c r="D15" s="472"/>
      <c r="E15" s="139">
        <f>E8</f>
        <v>0</v>
      </c>
      <c r="F15" s="203">
        <f>SUM(G15:K15)</f>
        <v>476</v>
      </c>
      <c r="G15" s="139">
        <f>G8</f>
        <v>0</v>
      </c>
      <c r="H15" s="139">
        <f t="shared" ref="H15:K15" si="5">H8</f>
        <v>476</v>
      </c>
      <c r="I15" s="139">
        <f t="shared" si="5"/>
        <v>0</v>
      </c>
      <c r="J15" s="139">
        <f t="shared" si="5"/>
        <v>0</v>
      </c>
      <c r="K15" s="139">
        <f t="shared" si="5"/>
        <v>0</v>
      </c>
      <c r="L15" s="140"/>
      <c r="M15" s="141"/>
      <c r="N15" s="82"/>
      <c r="O15" s="82"/>
      <c r="P15" s="82"/>
    </row>
    <row r="16" spans="1:18" ht="19.5" thickBot="1" x14ac:dyDescent="0.3">
      <c r="A16" s="471" t="s">
        <v>78</v>
      </c>
      <c r="B16" s="472"/>
      <c r="C16" s="472"/>
      <c r="D16" s="472"/>
      <c r="E16" s="139">
        <f>E9</f>
        <v>181275.1586</v>
      </c>
      <c r="F16" s="203">
        <f>SUM(G16:K16)</f>
        <v>778356.21935999999</v>
      </c>
      <c r="G16" s="139">
        <f>G9</f>
        <v>142103.34435999999</v>
      </c>
      <c r="H16" s="142">
        <f>H9</f>
        <v>157292.158</v>
      </c>
      <c r="I16" s="142">
        <f>I9</f>
        <v>159660.239</v>
      </c>
      <c r="J16" s="142">
        <f>J9</f>
        <v>159650.239</v>
      </c>
      <c r="K16" s="142">
        <f>K9</f>
        <v>159650.239</v>
      </c>
      <c r="L16" s="140"/>
      <c r="M16" s="141"/>
      <c r="N16" s="82"/>
      <c r="O16" s="82"/>
      <c r="P16" s="82"/>
    </row>
    <row r="17" spans="1:18" ht="18.75" x14ac:dyDescent="0.25">
      <c r="A17" s="467" t="s">
        <v>31</v>
      </c>
      <c r="B17" s="468"/>
      <c r="C17" s="468"/>
      <c r="D17" s="468"/>
      <c r="E17" s="59">
        <f>E18+E19+E20+E22+E23</f>
        <v>8049667.02085</v>
      </c>
      <c r="F17" s="204">
        <f>SUM(G17:K17)</f>
        <v>48304223.610040002</v>
      </c>
      <c r="G17" s="143">
        <f>G18+G19+G20+G22+G23</f>
        <v>9813394.4420499988</v>
      </c>
      <c r="H17" s="143">
        <f t="shared" ref="H17:K17" si="6">H18+H19+H20+H22+H23</f>
        <v>10047123.22555</v>
      </c>
      <c r="I17" s="143">
        <f t="shared" si="6"/>
        <v>9460469.4733000007</v>
      </c>
      <c r="J17" s="143">
        <f t="shared" si="6"/>
        <v>9537555.1380700003</v>
      </c>
      <c r="K17" s="143">
        <f t="shared" si="6"/>
        <v>9445681.3310700003</v>
      </c>
      <c r="L17" s="60"/>
      <c r="M17" s="61"/>
      <c r="N17" s="83"/>
      <c r="Q17" s="12"/>
      <c r="R17" s="12"/>
    </row>
    <row r="18" spans="1:18" ht="18.75" x14ac:dyDescent="0.25">
      <c r="A18" s="469" t="s">
        <v>66</v>
      </c>
      <c r="B18" s="470"/>
      <c r="C18" s="470"/>
      <c r="D18" s="470"/>
      <c r="E18" s="62">
        <f>'Подпрограмма 2'!E86+'Подпрограмма 3'!E67</f>
        <v>5515.06754</v>
      </c>
      <c r="F18" s="205">
        <f>SUM(G18:K18)</f>
        <v>1289011.40906</v>
      </c>
      <c r="G18" s="144">
        <f>'Подпрограмма 2'!G86+'Подпрограмма 3'!G67+'Подпрограмма 1'!G59</f>
        <v>113145.27607000001</v>
      </c>
      <c r="H18" s="144">
        <f>'Подпрограмма 2'!H86+'Подпрограмма 3'!H67+'Подпрограмма 1'!H59</f>
        <v>290346.50704999996</v>
      </c>
      <c r="I18" s="144">
        <f>'Подпрограмма 2'!I86+'Подпрограмма 3'!I67+'Подпрограмма 1'!I59</f>
        <v>298187.95668</v>
      </c>
      <c r="J18" s="144">
        <f>'Подпрограмма 2'!J86+'Подпрограмма 3'!J67+'Подпрограмма 1'!J59</f>
        <v>298371.34806999995</v>
      </c>
      <c r="K18" s="144">
        <f>'Подпрограмма 2'!K86+'Подпрограмма 3'!K67+'Подпрограмма 1'!K59</f>
        <v>288960.32118999999</v>
      </c>
      <c r="L18" s="56"/>
      <c r="M18" s="57"/>
      <c r="N18" s="63" t="e">
        <f>'Подпрограмма 1'!#REF!</f>
        <v>#REF!</v>
      </c>
      <c r="Q18" s="12"/>
      <c r="R18" s="12"/>
    </row>
    <row r="19" spans="1:18" ht="18.75" x14ac:dyDescent="0.25">
      <c r="A19" s="469" t="s">
        <v>2</v>
      </c>
      <c r="B19" s="470"/>
      <c r="C19" s="470"/>
      <c r="D19" s="470"/>
      <c r="E19" s="62">
        <f>'Подпрограмма 1'!E60+'Подпрограмма 2'!E87+'Подпрограмма 3'!E68+'Подпрограмма 4'!E14</f>
        <v>5271227.3558499999</v>
      </c>
      <c r="F19" s="205">
        <f t="shared" ref="F19:F23" si="7">SUM(G19:K19)</f>
        <v>29698640.090939999</v>
      </c>
      <c r="G19" s="144">
        <f>'Подпрограмма 1'!G60+'Подпрограмма 2'!G87+'Подпрограмма 3'!G68+'Подпрограмма 4'!G14+G15</f>
        <v>6048105.7239299994</v>
      </c>
      <c r="H19" s="144">
        <f>'Подпрограмма 1'!H60+'Подпрограмма 2'!H87+'Подпрограмма 3'!H68+'Подпрограмма 4'!H14+H15</f>
        <v>6142179.1929499991</v>
      </c>
      <c r="I19" s="144">
        <f>'Подпрограмма 1'!I60+'Подпрограмма 2'!I87+'Подпрограмма 3'!I68+'Подпрограмма 4'!I14+I15</f>
        <v>5867471.5433200002</v>
      </c>
      <c r="J19" s="144">
        <f>'Подпрограмма 1'!J60+'Подпрограмма 2'!J87+'Подпрограмма 3'!J68+'Подпрограмма 4'!J14+J15</f>
        <v>5846013.9519299995</v>
      </c>
      <c r="K19" s="144">
        <f>'Подпрограмма 1'!K60+'Подпрограмма 2'!K87+'Подпрограмма 3'!K68+'Подпрограмма 4'!K14+K15</f>
        <v>5794869.6788100004</v>
      </c>
      <c r="L19" s="56"/>
      <c r="M19" s="57"/>
      <c r="N19" s="65" t="e">
        <f>'Подпрограмма 1'!F52+'Подпрограмма 2'!F83+'Подпрограмма 3'!F64+#REF!</f>
        <v>#REF!</v>
      </c>
      <c r="Q19" s="12"/>
      <c r="R19" s="12"/>
    </row>
    <row r="20" spans="1:18" ht="18.75" x14ac:dyDescent="0.25">
      <c r="A20" s="469" t="s">
        <v>78</v>
      </c>
      <c r="B20" s="470"/>
      <c r="C20" s="470"/>
      <c r="D20" s="470"/>
      <c r="E20" s="62">
        <f>'Подпрограмма 1'!E61+'Подпрограмма 2'!E88+'Подпрограмма 3'!E69+'Подпрограмма 4'!E15+'Подпрограмма 5'!E16</f>
        <v>2212050.5703799999</v>
      </c>
      <c r="F20" s="205">
        <f t="shared" si="7"/>
        <v>15295111.90879</v>
      </c>
      <c r="G20" s="144">
        <f>'Подпрограмма 1'!G61+'Подпрограмма 2'!G88+'Подпрограмма 3'!G69+'Подпрограмма 4'!G15+'Подпрограмма 5'!G16</f>
        <v>3305403.6110999999</v>
      </c>
      <c r="H20" s="144">
        <f>'Подпрограмма 1'!H61+'Подпрограмма 2'!H88+'Подпрограмма 3'!H69+'Подпрограмма 4'!H15+'Подпрограмма 5'!H16</f>
        <v>3232684.9264599993</v>
      </c>
      <c r="I20" s="144">
        <f>'Подпрограмма 1'!I61+'Подпрограмма 2'!I88+'Подпрограмма 3'!I69+'Подпрограмма 4'!I15+'Подпрограмма 5'!I16</f>
        <v>2853781.5162300002</v>
      </c>
      <c r="J20" s="144">
        <f>'Подпрограмма 1'!J61+'Подпрограмма 2'!J88+'Подпрограмма 3'!J69+'Подпрограмма 4'!J15+'Подпрограмма 5'!J16</f>
        <v>2967280.1810000003</v>
      </c>
      <c r="K20" s="144">
        <f>'Подпрограмма 1'!K61+'Подпрограмма 2'!K88+'Подпрограмма 3'!K69+'Подпрограмма 4'!K15+'Подпрограмма 5'!K16</f>
        <v>2935961.6740000001</v>
      </c>
      <c r="L20" s="56"/>
      <c r="M20" s="57"/>
      <c r="N20" s="65" t="e">
        <f>'Подпрограмма 1'!F53+'Подпрограмма 2'!F84+'Подпрограмма 3'!F65+'Подпрограмма 4'!F10+#REF!</f>
        <v>#REF!</v>
      </c>
      <c r="Q20" s="12"/>
      <c r="R20" s="12"/>
    </row>
    <row r="21" spans="1:18" ht="18.75" x14ac:dyDescent="0.3">
      <c r="A21" s="278" t="s">
        <v>118</v>
      </c>
      <c r="B21" s="279"/>
      <c r="C21" s="279"/>
      <c r="D21" s="279"/>
      <c r="E21" s="105">
        <f>'Подпрограмма 1'!E62</f>
        <v>184994.723</v>
      </c>
      <c r="F21" s="205">
        <f t="shared" si="7"/>
        <v>2053076.7929999998</v>
      </c>
      <c r="G21" s="105">
        <f>'Подпрограмма 1'!G62+'Подпрограмма 2'!G19</f>
        <v>265379.18099999998</v>
      </c>
      <c r="H21" s="105">
        <f>'Подпрограмма 1'!H62+'Подпрограмма 2'!H19</f>
        <v>446924.40299999999</v>
      </c>
      <c r="I21" s="105">
        <f>'Подпрограмма 1'!I62+'Подпрограмма 2'!I19</f>
        <v>446924.40299999999</v>
      </c>
      <c r="J21" s="105">
        <f>'Подпрограмма 1'!J62+'Подпрограмма 2'!J19</f>
        <v>446924.40299999999</v>
      </c>
      <c r="K21" s="105">
        <f>'Подпрограмма 1'!K62+'Подпрограмма 2'!K19</f>
        <v>446924.40299999999</v>
      </c>
      <c r="L21" s="17"/>
      <c r="M21" s="58"/>
    </row>
    <row r="22" spans="1:18" ht="15.75" customHeight="1" x14ac:dyDescent="0.3">
      <c r="A22" s="278" t="s">
        <v>25</v>
      </c>
      <c r="B22" s="279"/>
      <c r="C22" s="279"/>
      <c r="D22" s="279"/>
      <c r="E22" s="88">
        <f>'Подпрограмма 1'!E63+'Подпрограмма 2'!E90+'Подпрограмма 3'!E70</f>
        <v>332307.03708000004</v>
      </c>
      <c r="F22" s="205">
        <f t="shared" si="7"/>
        <v>1911172.4752500001</v>
      </c>
      <c r="G22" s="105">
        <f>'Подпрограмма 1'!G63+'Подпрограмма 2'!G90+'Подпрограмма 3'!G70</f>
        <v>324873.74495000002</v>
      </c>
      <c r="H22" s="105">
        <f>'Подпрограмма 1'!H63+'Подпрограмма 2'!H90+'Подпрограмма 3'!H70</f>
        <v>359807.18909</v>
      </c>
      <c r="I22" s="105">
        <f>'Подпрограмма 1'!I63+'Подпрограмма 2'!I90+'Подпрограмма 3'!I70</f>
        <v>418923.04707000003</v>
      </c>
      <c r="J22" s="105">
        <f>'Подпрограмма 1'!J63+'Подпрограмма 2'!J90+'Подпрограмма 3'!J70</f>
        <v>403784.24707000004</v>
      </c>
      <c r="K22" s="105">
        <f>'Подпрограмма 1'!K63+'Подпрограмма 2'!K90+'Подпрограмма 3'!K70</f>
        <v>403784.24707000004</v>
      </c>
      <c r="L22" s="17"/>
      <c r="M22" s="58"/>
      <c r="N22" s="75">
        <f>'Подпрограмма 1'!F54+'Подпрограмма 2'!F85+'Подпрограмма 3'!F66</f>
        <v>29120415.191849999</v>
      </c>
      <c r="Q22" s="12"/>
      <c r="R22" s="12"/>
    </row>
    <row r="23" spans="1:18" ht="19.5" thickBot="1" x14ac:dyDescent="0.35">
      <c r="A23" s="335" t="s">
        <v>33</v>
      </c>
      <c r="B23" s="336"/>
      <c r="C23" s="336"/>
      <c r="D23" s="336"/>
      <c r="E23" s="138">
        <f>'Подпрограмма 1'!E64+'Подпрограмма 2'!E91</f>
        <v>228566.99000000002</v>
      </c>
      <c r="F23" s="206">
        <f t="shared" si="7"/>
        <v>110287.72600000001</v>
      </c>
      <c r="G23" s="145">
        <f>'Подпрограмма 1'!G64+'Подпрограмма 2'!G91</f>
        <v>21866.086000000003</v>
      </c>
      <c r="H23" s="145">
        <f>'Подпрограмма 1'!H64+'Подпрограмма 2'!H91</f>
        <v>22105.409999999996</v>
      </c>
      <c r="I23" s="145">
        <f>'Подпрограмма 1'!I64+'Подпрограмма 2'!I91</f>
        <v>22105.41</v>
      </c>
      <c r="J23" s="145">
        <f>'Подпрограмма 1'!J64+'Подпрограмма 2'!J91</f>
        <v>22105.41</v>
      </c>
      <c r="K23" s="145">
        <f>'Подпрограмма 1'!K64+'Подпрограмма 2'!K91</f>
        <v>22105.41</v>
      </c>
      <c r="L23" s="42"/>
      <c r="M23" s="43"/>
      <c r="N23" s="75">
        <f>'Подпрограмма 1'!F58+'Подпрограмма 2'!F86</f>
        <v>19796528.424490001</v>
      </c>
      <c r="Q23" s="12"/>
      <c r="R23" s="12"/>
    </row>
    <row r="24" spans="1:18" ht="18.75" x14ac:dyDescent="0.3">
      <c r="A24" s="219"/>
      <c r="B24" s="219"/>
      <c r="C24" s="219"/>
      <c r="D24" s="219"/>
      <c r="E24" s="220"/>
      <c r="F24" s="221"/>
      <c r="G24" s="222"/>
      <c r="H24" s="222"/>
      <c r="I24" s="222"/>
      <c r="J24" s="222"/>
      <c r="K24" s="222"/>
      <c r="L24" s="223"/>
      <c r="M24" s="75"/>
      <c r="N24" s="75"/>
      <c r="Q24" s="12"/>
      <c r="R24" s="12"/>
    </row>
    <row r="25" spans="1:18" ht="18" x14ac:dyDescent="0.25">
      <c r="A25" s="63"/>
      <c r="B25" s="64"/>
      <c r="C25" s="64"/>
      <c r="D25" s="64"/>
      <c r="E25" s="64"/>
      <c r="F25" s="207"/>
      <c r="G25" s="65"/>
      <c r="H25" s="101"/>
      <c r="I25" s="101"/>
      <c r="J25" s="65"/>
      <c r="K25" s="65"/>
      <c r="L25" s="63"/>
      <c r="M25" s="66" t="s">
        <v>218</v>
      </c>
      <c r="N25" s="66"/>
    </row>
    <row r="26" spans="1:18" ht="18.75" x14ac:dyDescent="0.25">
      <c r="A26" s="67"/>
      <c r="B26" s="68" t="s">
        <v>305</v>
      </c>
      <c r="C26" s="73"/>
      <c r="D26" s="73"/>
      <c r="E26" s="73"/>
      <c r="F26" s="208"/>
      <c r="G26" s="69"/>
      <c r="H26" s="73" t="s">
        <v>208</v>
      </c>
      <c r="I26" s="129"/>
      <c r="J26" s="70"/>
      <c r="K26" s="70"/>
      <c r="L26" s="70"/>
      <c r="M26" s="67"/>
      <c r="N26" s="67"/>
    </row>
    <row r="27" spans="1:18" ht="18.75" x14ac:dyDescent="0.25">
      <c r="A27" s="67"/>
      <c r="B27" s="129"/>
      <c r="C27" s="129"/>
      <c r="D27" s="72"/>
      <c r="E27" s="129"/>
      <c r="F27" s="209"/>
      <c r="G27" s="71"/>
      <c r="H27" s="102"/>
      <c r="I27" s="129"/>
      <c r="J27" s="71"/>
      <c r="K27" s="71"/>
      <c r="L27" s="71"/>
      <c r="M27" s="71"/>
      <c r="N27" s="71"/>
    </row>
    <row r="28" spans="1:18" ht="18.75" x14ac:dyDescent="0.25">
      <c r="A28" s="63"/>
      <c r="B28" s="64"/>
      <c r="C28" s="72"/>
      <c r="D28" s="72"/>
      <c r="E28" s="72"/>
      <c r="F28" s="210"/>
      <c r="G28" s="67"/>
      <c r="H28" s="68"/>
      <c r="I28" s="68"/>
      <c r="J28" s="104"/>
      <c r="K28" s="104"/>
      <c r="L28" s="63"/>
      <c r="M28" s="63"/>
      <c r="N28" s="63"/>
    </row>
    <row r="29" spans="1:18" ht="18.75" x14ac:dyDescent="0.25">
      <c r="A29" s="63"/>
      <c r="B29" s="73" t="s">
        <v>35</v>
      </c>
      <c r="C29" s="73"/>
      <c r="D29" s="73"/>
      <c r="E29" s="73"/>
      <c r="F29" s="208"/>
      <c r="G29" s="69"/>
      <c r="H29" s="68" t="s">
        <v>65</v>
      </c>
      <c r="I29" s="68"/>
      <c r="J29" s="104"/>
      <c r="K29" s="104"/>
      <c r="L29" s="63"/>
      <c r="M29" s="63"/>
      <c r="N29" s="63"/>
    </row>
    <row r="30" spans="1:18" ht="18.75" x14ac:dyDescent="0.25">
      <c r="A30" s="63"/>
      <c r="B30" s="73"/>
      <c r="C30" s="73"/>
      <c r="D30" s="73"/>
      <c r="E30" s="73"/>
      <c r="F30" s="208"/>
      <c r="G30" s="69"/>
      <c r="H30" s="68"/>
      <c r="I30" s="68"/>
      <c r="J30" s="104"/>
      <c r="K30" s="104"/>
      <c r="L30" s="63"/>
      <c r="M30" s="63"/>
      <c r="N30" s="63"/>
    </row>
    <row r="31" spans="1:18" ht="18.75" x14ac:dyDescent="0.25">
      <c r="A31" s="63"/>
      <c r="B31" s="73"/>
      <c r="C31" s="73"/>
      <c r="D31" s="73"/>
      <c r="E31" s="73"/>
      <c r="F31" s="208"/>
      <c r="G31" s="69"/>
      <c r="H31" s="68"/>
      <c r="I31" s="68"/>
      <c r="J31" s="104"/>
      <c r="K31" s="104"/>
      <c r="L31" s="63"/>
      <c r="M31" s="63"/>
      <c r="N31" s="63"/>
    </row>
    <row r="32" spans="1:18" ht="18.75" x14ac:dyDescent="0.3">
      <c r="B32" s="308" t="s">
        <v>120</v>
      </c>
      <c r="C32" s="309"/>
      <c r="D32" s="309"/>
      <c r="E32" s="189">
        <f>'Подпрограмма 1'!E66+'Подпрограмма 2'!E94+'Подпрограмма 3'!E74</f>
        <v>0</v>
      </c>
      <c r="F32" s="190">
        <f>SUM(G32:K32)</f>
        <v>163530.85161000001</v>
      </c>
      <c r="G32" s="189">
        <f>'Подпрограмма 1'!G66+'Подпрограмма 2'!G94+'Подпрограмма 3'!G74</f>
        <v>42841.684440000005</v>
      </c>
      <c r="H32" s="189">
        <f>'Подпрограмма 1'!H66+'Подпрограмма 2'!H94+'Подпрограмма 3'!H74</f>
        <v>30304.003170000004</v>
      </c>
      <c r="I32" s="189">
        <f>'Подпрограмма 1'!I66+'Подпрограмма 2'!I94+'Подпрограмма 3'!I74</f>
        <v>30128.387999999999</v>
      </c>
      <c r="J32" s="189">
        <f>'Подпрограмма 1'!J66+'Подпрограмма 2'!J94+'Подпрограмма 3'!J74</f>
        <v>30128.387999999999</v>
      </c>
      <c r="K32" s="189">
        <f>'Подпрограмма 1'!K66+'Подпрограмма 2'!K94+'Подпрограмма 3'!K74</f>
        <v>30128.387999999999</v>
      </c>
      <c r="L32" s="18"/>
    </row>
    <row r="33" spans="2:28" ht="18.75" x14ac:dyDescent="0.3">
      <c r="B33" s="308" t="s">
        <v>36</v>
      </c>
      <c r="C33" s="309"/>
      <c r="D33" s="309"/>
      <c r="E33" s="189">
        <f>'Подпрограмма 1'!E67+'Подпрограмма 2'!E93</f>
        <v>13649</v>
      </c>
      <c r="F33" s="190">
        <f t="shared" ref="F33:F48" si="8">SUM(G33:K33)</f>
        <v>111668</v>
      </c>
      <c r="G33" s="189">
        <f>'Подпрограмма 1'!G67+'Подпрограмма 2'!G93</f>
        <v>55040</v>
      </c>
      <c r="H33" s="189">
        <f>'Подпрограмма 1'!H67+'Подпрограмма 2'!H93</f>
        <v>14157</v>
      </c>
      <c r="I33" s="189">
        <f>'Подпрограмма 1'!I67+'Подпрограмма 2'!I93</f>
        <v>14157</v>
      </c>
      <c r="J33" s="189">
        <f>'Подпрограмма 1'!J67+'Подпрограмма 2'!J93</f>
        <v>14157</v>
      </c>
      <c r="K33" s="189">
        <f>'Подпрограмма 1'!K67+'Подпрограмма 2'!K93</f>
        <v>14157</v>
      </c>
      <c r="L33" s="18"/>
    </row>
    <row r="34" spans="2:28" ht="18.75" x14ac:dyDescent="0.3">
      <c r="B34" s="300" t="s">
        <v>37</v>
      </c>
      <c r="C34" s="301"/>
      <c r="D34" s="301"/>
      <c r="E34" s="191">
        <f t="shared" ref="E34" si="9">SUM(E32:E33)</f>
        <v>13649</v>
      </c>
      <c r="F34" s="190">
        <f t="shared" si="8"/>
        <v>275198.85161000001</v>
      </c>
      <c r="G34" s="191">
        <f>SUM(G32:G33)</f>
        <v>97881.684440000012</v>
      </c>
      <c r="H34" s="191">
        <f t="shared" ref="H34:K34" si="10">SUM(H32:H33)</f>
        <v>44461.003170000004</v>
      </c>
      <c r="I34" s="191">
        <f t="shared" si="10"/>
        <v>44285.387999999999</v>
      </c>
      <c r="J34" s="191">
        <f t="shared" si="10"/>
        <v>44285.387999999999</v>
      </c>
      <c r="K34" s="191">
        <f t="shared" si="10"/>
        <v>44285.387999999999</v>
      </c>
      <c r="L34" s="18"/>
    </row>
    <row r="35" spans="2:28" ht="18.75" x14ac:dyDescent="0.3">
      <c r="B35" s="308" t="s">
        <v>121</v>
      </c>
      <c r="C35" s="309"/>
      <c r="D35" s="309"/>
      <c r="E35" s="189">
        <f>'Подпрограмма 1'!E69+'Подпрограмма 2'!E96</f>
        <v>0</v>
      </c>
      <c r="F35" s="190">
        <f t="shared" si="8"/>
        <v>0</v>
      </c>
      <c r="G35" s="189">
        <f>'Подпрограмма 1'!G69+'Подпрограмма 2'!G96</f>
        <v>0</v>
      </c>
      <c r="H35" s="189">
        <f>'Подпрограмма 1'!H69+'Подпрограмма 2'!H96</f>
        <v>0</v>
      </c>
      <c r="I35" s="189">
        <f>'Подпрограмма 1'!I69+'Подпрограмма 2'!I96</f>
        <v>0</v>
      </c>
      <c r="J35" s="189">
        <f>'Подпрограмма 1'!J69+'Подпрограмма 2'!J96</f>
        <v>0</v>
      </c>
      <c r="K35" s="189">
        <f>'Подпрограмма 1'!K69+'Подпрограмма 2'!K96</f>
        <v>0</v>
      </c>
      <c r="L35" s="18"/>
    </row>
    <row r="36" spans="2:28" ht="18.75" x14ac:dyDescent="0.3">
      <c r="B36" s="308" t="s">
        <v>122</v>
      </c>
      <c r="C36" s="309"/>
      <c r="D36" s="309"/>
      <c r="E36" s="189">
        <f>'Подпрограмма 1'!E70+'Подпрограмма 2'!E97</f>
        <v>4755</v>
      </c>
      <c r="F36" s="190">
        <f t="shared" si="8"/>
        <v>29206</v>
      </c>
      <c r="G36" s="189">
        <f>'Подпрограмма 1'!G70+'Подпрограмма 2'!G97</f>
        <v>5666</v>
      </c>
      <c r="H36" s="189">
        <f>'Подпрограмма 1'!H70+'Подпрограмма 2'!H97</f>
        <v>5885</v>
      </c>
      <c r="I36" s="189">
        <f>'Подпрограмма 1'!I70+'Подпрограмма 2'!I97</f>
        <v>5885</v>
      </c>
      <c r="J36" s="189">
        <f>'Подпрограмма 1'!J70+'Подпрограмма 2'!J97</f>
        <v>5885</v>
      </c>
      <c r="K36" s="189">
        <f>'Подпрограмма 1'!K70+'Подпрограмма 2'!K97</f>
        <v>5885</v>
      </c>
      <c r="L36" s="18"/>
    </row>
    <row r="37" spans="2:28" ht="18.75" x14ac:dyDescent="0.3">
      <c r="B37" s="300" t="s">
        <v>123</v>
      </c>
      <c r="C37" s="301"/>
      <c r="D37" s="301"/>
      <c r="E37" s="191">
        <f t="shared" ref="E37" si="11">SUM(E35:E36)</f>
        <v>4755</v>
      </c>
      <c r="F37" s="190">
        <f t="shared" si="8"/>
        <v>29206</v>
      </c>
      <c r="G37" s="191">
        <f>SUM(G35:G36)</f>
        <v>5666</v>
      </c>
      <c r="H37" s="191">
        <f t="shared" ref="H37:K37" si="12">SUM(H35:H36)</f>
        <v>5885</v>
      </c>
      <c r="I37" s="191">
        <f t="shared" si="12"/>
        <v>5885</v>
      </c>
      <c r="J37" s="191">
        <f t="shared" si="12"/>
        <v>5885</v>
      </c>
      <c r="K37" s="191">
        <f t="shared" si="12"/>
        <v>5885</v>
      </c>
      <c r="L37" s="18"/>
    </row>
    <row r="38" spans="2:28" ht="18.75" x14ac:dyDescent="0.3">
      <c r="B38" s="308" t="s">
        <v>162</v>
      </c>
      <c r="C38" s="309"/>
      <c r="D38" s="309"/>
      <c r="E38" s="189">
        <f>'Подпрограмма 3'!E76</f>
        <v>0</v>
      </c>
      <c r="F38" s="190">
        <f t="shared" si="8"/>
        <v>0</v>
      </c>
      <c r="G38" s="189">
        <f>'Подпрограмма 3'!G76</f>
        <v>0</v>
      </c>
      <c r="H38" s="189">
        <f>'Подпрограмма 3'!H76</f>
        <v>0</v>
      </c>
      <c r="I38" s="189">
        <f>'Подпрограмма 3'!I76</f>
        <v>0</v>
      </c>
      <c r="J38" s="189">
        <f>'Подпрограмма 3'!J76</f>
        <v>0</v>
      </c>
      <c r="K38" s="189">
        <f>'Подпрограмма 3'!K76</f>
        <v>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2:28" ht="18.75" x14ac:dyDescent="0.3">
      <c r="B39" s="308" t="s">
        <v>125</v>
      </c>
      <c r="C39" s="309"/>
      <c r="D39" s="309" t="s">
        <v>36</v>
      </c>
      <c r="E39" s="192">
        <f>'Подпрограмма 3'!E77</f>
        <v>0</v>
      </c>
      <c r="F39" s="190">
        <f t="shared" si="8"/>
        <v>0</v>
      </c>
      <c r="G39" s="189">
        <f>'Подпрограмма 3'!G77</f>
        <v>0</v>
      </c>
      <c r="H39" s="189">
        <f>'Подпрограмма 3'!H77</f>
        <v>0</v>
      </c>
      <c r="I39" s="189">
        <f>'Подпрограмма 3'!I77</f>
        <v>0</v>
      </c>
      <c r="J39" s="189">
        <f>'Подпрограмма 3'!J77</f>
        <v>0</v>
      </c>
      <c r="K39" s="189">
        <f>'Подпрограмма 3'!K77</f>
        <v>0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2:28" ht="18.75" x14ac:dyDescent="0.3">
      <c r="B40" s="308" t="s">
        <v>126</v>
      </c>
      <c r="C40" s="309"/>
      <c r="D40" s="309"/>
      <c r="E40" s="192">
        <f>'Подпрограмма 3'!E78</f>
        <v>0</v>
      </c>
      <c r="F40" s="190">
        <f t="shared" si="8"/>
        <v>370732.87089999998</v>
      </c>
      <c r="G40" s="189">
        <f>'Подпрограмма 3'!G78</f>
        <v>370732.87089999998</v>
      </c>
      <c r="H40" s="189">
        <f>'Подпрограмма 3'!H78</f>
        <v>0</v>
      </c>
      <c r="I40" s="189">
        <f>'Подпрограмма 3'!I78</f>
        <v>0</v>
      </c>
      <c r="J40" s="189">
        <f>'Подпрограмма 3'!J78</f>
        <v>0</v>
      </c>
      <c r="K40" s="189">
        <f>'Подпрограмма 3'!K78</f>
        <v>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2:28" ht="18.75" x14ac:dyDescent="0.3">
      <c r="B41" s="308" t="s">
        <v>25</v>
      </c>
      <c r="C41" s="309"/>
      <c r="D41" s="309"/>
      <c r="E41" s="189">
        <f>'Подпрограмма 3'!E79</f>
        <v>0</v>
      </c>
      <c r="F41" s="190">
        <f t="shared" si="8"/>
        <v>67644.227650000001</v>
      </c>
      <c r="G41" s="189">
        <f>'Подпрограмма 3'!G79</f>
        <v>67644.227650000001</v>
      </c>
      <c r="H41" s="189">
        <f>'Подпрограмма 3'!H79</f>
        <v>0</v>
      </c>
      <c r="I41" s="189">
        <f>'Подпрограмма 3'!I79</f>
        <v>0</v>
      </c>
      <c r="J41" s="189">
        <f>'Подпрограмма 3'!J79</f>
        <v>0</v>
      </c>
      <c r="K41" s="189">
        <f>'Подпрограмма 3'!K79</f>
        <v>0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2:28" ht="18.75" x14ac:dyDescent="0.3">
      <c r="B42" s="300" t="s">
        <v>127</v>
      </c>
      <c r="C42" s="301"/>
      <c r="D42" s="301"/>
      <c r="E42" s="191">
        <f t="shared" ref="E42" si="13">SUM(E39:E41)</f>
        <v>0</v>
      </c>
      <c r="F42" s="190">
        <f t="shared" si="8"/>
        <v>438377.09855</v>
      </c>
      <c r="G42" s="190">
        <f t="shared" ref="G42:K42" si="14">SUM(G38:G41)</f>
        <v>438377.09855</v>
      </c>
      <c r="H42" s="190">
        <f t="shared" si="14"/>
        <v>0</v>
      </c>
      <c r="I42" s="190">
        <f t="shared" si="14"/>
        <v>0</v>
      </c>
      <c r="J42" s="190">
        <f t="shared" si="14"/>
        <v>0</v>
      </c>
      <c r="K42" s="190">
        <f t="shared" si="14"/>
        <v>0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2:28" ht="18.75" x14ac:dyDescent="0.3">
      <c r="B43" s="308" t="s">
        <v>69</v>
      </c>
      <c r="C43" s="309"/>
      <c r="D43" s="309"/>
      <c r="E43" s="112">
        <f t="shared" ref="E43" si="15">E18</f>
        <v>5515.06754</v>
      </c>
      <c r="F43" s="190">
        <f t="shared" si="8"/>
        <v>1289011.40906</v>
      </c>
      <c r="G43" s="112">
        <f>G18-G38</f>
        <v>113145.27607000001</v>
      </c>
      <c r="H43" s="112">
        <f t="shared" ref="H43:K43" si="16">H18-H38</f>
        <v>290346.50704999996</v>
      </c>
      <c r="I43" s="112">
        <f t="shared" si="16"/>
        <v>298187.95668</v>
      </c>
      <c r="J43" s="112">
        <f t="shared" si="16"/>
        <v>298371.34806999995</v>
      </c>
      <c r="K43" s="112">
        <f t="shared" si="16"/>
        <v>288960.32118999999</v>
      </c>
    </row>
    <row r="44" spans="2:28" ht="18.75" x14ac:dyDescent="0.3">
      <c r="B44" s="308" t="s">
        <v>124</v>
      </c>
      <c r="C44" s="309"/>
      <c r="D44" s="309"/>
      <c r="E44" s="189">
        <f t="shared" ref="E44" si="17">E20-E32-E35-E40</f>
        <v>2212050.5703799999</v>
      </c>
      <c r="F44" s="190">
        <f t="shared" si="8"/>
        <v>14760848.186279999</v>
      </c>
      <c r="G44" s="189">
        <f>G20-G32-G35-G40</f>
        <v>2891829.0557599999</v>
      </c>
      <c r="H44" s="189">
        <f t="shared" ref="H44:K44" si="18">H20-H32-H35-H40</f>
        <v>3202380.9232899994</v>
      </c>
      <c r="I44" s="189">
        <f t="shared" si="18"/>
        <v>2823653.1282300004</v>
      </c>
      <c r="J44" s="189">
        <f t="shared" si="18"/>
        <v>2937151.7930000005</v>
      </c>
      <c r="K44" s="189">
        <f t="shared" si="18"/>
        <v>2905833.2860000003</v>
      </c>
      <c r="L44" s="18"/>
    </row>
    <row r="45" spans="2:28" ht="18.75" x14ac:dyDescent="0.3">
      <c r="B45" s="308" t="s">
        <v>40</v>
      </c>
      <c r="C45" s="309"/>
      <c r="D45" s="309"/>
      <c r="E45" s="189">
        <f t="shared" ref="E45" si="19">E19-E33-E36-E39</f>
        <v>5252823.3558499999</v>
      </c>
      <c r="F45" s="190">
        <f t="shared" si="8"/>
        <v>29557766.090939999</v>
      </c>
      <c r="G45" s="189">
        <f>G19-G33-G36-G39</f>
        <v>5987399.7239299994</v>
      </c>
      <c r="H45" s="189">
        <f t="shared" ref="H45:K45" si="20">H19-H33-H36-H39</f>
        <v>6122137.1929499991</v>
      </c>
      <c r="I45" s="189">
        <f t="shared" si="20"/>
        <v>5847429.5433200002</v>
      </c>
      <c r="J45" s="189">
        <f t="shared" si="20"/>
        <v>5825971.9519299995</v>
      </c>
      <c r="K45" s="189">
        <f t="shared" si="20"/>
        <v>5774827.6788100004</v>
      </c>
      <c r="L45" s="18"/>
    </row>
    <row r="46" spans="2:28" ht="18.75" x14ac:dyDescent="0.3">
      <c r="B46" s="306" t="s">
        <v>25</v>
      </c>
      <c r="C46" s="307"/>
      <c r="D46" s="307"/>
      <c r="E46" s="189">
        <f t="shared" ref="E46" si="21">E22-E41</f>
        <v>332307.03708000004</v>
      </c>
      <c r="F46" s="190">
        <f t="shared" si="8"/>
        <v>1843528.2476000001</v>
      </c>
      <c r="G46" s="189">
        <f>G22-G41</f>
        <v>257229.51730000001</v>
      </c>
      <c r="H46" s="189">
        <f t="shared" ref="H46:K46" si="22">H22-H41</f>
        <v>359807.18909</v>
      </c>
      <c r="I46" s="189">
        <f t="shared" si="22"/>
        <v>418923.04707000003</v>
      </c>
      <c r="J46" s="189">
        <f t="shared" si="22"/>
        <v>403784.24707000004</v>
      </c>
      <c r="K46" s="189">
        <f t="shared" si="22"/>
        <v>403784.24707000004</v>
      </c>
      <c r="L46" s="18"/>
    </row>
    <row r="47" spans="2:28" ht="18.75" x14ac:dyDescent="0.3">
      <c r="B47" s="306" t="s">
        <v>32</v>
      </c>
      <c r="C47" s="307"/>
      <c r="D47" s="307"/>
      <c r="E47" s="189">
        <f t="shared" ref="E47" si="23">E23</f>
        <v>228566.99000000002</v>
      </c>
      <c r="F47" s="190">
        <f t="shared" si="8"/>
        <v>110287.72600000001</v>
      </c>
      <c r="G47" s="189">
        <f>G23</f>
        <v>21866.086000000003</v>
      </c>
      <c r="H47" s="189">
        <f t="shared" ref="H47:K47" si="24">H23</f>
        <v>22105.409999999996</v>
      </c>
      <c r="I47" s="189">
        <f t="shared" si="24"/>
        <v>22105.41</v>
      </c>
      <c r="J47" s="189">
        <f t="shared" si="24"/>
        <v>22105.41</v>
      </c>
      <c r="K47" s="189">
        <f t="shared" si="24"/>
        <v>22105.41</v>
      </c>
      <c r="L47" s="18"/>
    </row>
    <row r="48" spans="2:28" ht="18.75" x14ac:dyDescent="0.3">
      <c r="B48" s="300" t="s">
        <v>41</v>
      </c>
      <c r="C48" s="301"/>
      <c r="D48" s="301"/>
      <c r="E48" s="191">
        <f t="shared" ref="E48" si="25">SUM(E43:E47)</f>
        <v>8031263.02085</v>
      </c>
      <c r="F48" s="190">
        <f t="shared" si="8"/>
        <v>47561441.659879997</v>
      </c>
      <c r="G48" s="190">
        <f t="shared" ref="G48:K48" si="26">SUM(G43:G47)</f>
        <v>9271469.6590599995</v>
      </c>
      <c r="H48" s="190">
        <f t="shared" si="26"/>
        <v>9996777.2223799992</v>
      </c>
      <c r="I48" s="190">
        <f t="shared" si="26"/>
        <v>9410299.0853000004</v>
      </c>
      <c r="J48" s="190">
        <f t="shared" si="26"/>
        <v>9487384.7500700001</v>
      </c>
      <c r="K48" s="190">
        <f t="shared" si="26"/>
        <v>9395510.94307</v>
      </c>
      <c r="L48" s="18"/>
    </row>
    <row r="49" spans="1:16" ht="15" customHeight="1" x14ac:dyDescent="0.25">
      <c r="A49" s="49"/>
      <c r="B49" s="49"/>
      <c r="C49" s="50"/>
      <c r="D49" s="50"/>
      <c r="E49" s="50"/>
      <c r="F49" s="51"/>
      <c r="G49" s="52"/>
      <c r="H49" s="98"/>
      <c r="I49" s="127"/>
      <c r="J49" s="53"/>
      <c r="K49" s="53"/>
      <c r="L49" s="49"/>
      <c r="M49" s="49"/>
      <c r="N49" s="49"/>
      <c r="O49" s="49"/>
      <c r="P49" s="49"/>
    </row>
    <row r="50" spans="1:16" x14ac:dyDescent="0.25">
      <c r="E50" s="12">
        <f t="shared" ref="E50:F50" si="27">E17-E22-E23-E21</f>
        <v>7303798.2707699994</v>
      </c>
      <c r="F50" s="19">
        <f t="shared" si="27"/>
        <v>44229686.615790002</v>
      </c>
      <c r="G50" s="12">
        <f>G17-G22-G23-G21</f>
        <v>9201275.4300999995</v>
      </c>
      <c r="H50" s="12">
        <f t="shared" ref="H50:K50" si="28">H17-H22-H23-H21</f>
        <v>9218286.2234599981</v>
      </c>
      <c r="I50" s="12">
        <f t="shared" si="28"/>
        <v>8572516.6132299993</v>
      </c>
      <c r="J50" s="12">
        <f t="shared" si="28"/>
        <v>8664741.0779999997</v>
      </c>
      <c r="K50" s="12">
        <f t="shared" si="28"/>
        <v>8572867.2709999997</v>
      </c>
    </row>
    <row r="51" spans="1:16" ht="15.75" x14ac:dyDescent="0.25">
      <c r="C51" s="18"/>
      <c r="D51" s="18"/>
      <c r="E51" s="18"/>
      <c r="F51" s="54"/>
      <c r="G51" s="18">
        <v>7940993.6799999997</v>
      </c>
      <c r="H51" s="177">
        <f>H20-H21</f>
        <v>2785760.5234599994</v>
      </c>
      <c r="I51" s="100"/>
      <c r="J51" s="18"/>
      <c r="K51" s="18"/>
    </row>
    <row r="52" spans="1:16" x14ac:dyDescent="0.25">
      <c r="E52" s="12"/>
      <c r="G52" s="12">
        <f>G50-G51</f>
        <v>1260281.7500999998</v>
      </c>
    </row>
    <row r="53" spans="1:16" x14ac:dyDescent="0.25">
      <c r="E53" s="12"/>
      <c r="F53" s="55"/>
      <c r="G53" s="12">
        <v>77248.455000000002</v>
      </c>
      <c r="H53" s="95"/>
      <c r="I53" s="95"/>
      <c r="J53" s="26"/>
      <c r="K53" s="26"/>
    </row>
    <row r="54" spans="1:16" x14ac:dyDescent="0.25">
      <c r="E54" s="12"/>
      <c r="F54" s="55"/>
      <c r="G54" s="12">
        <v>38086.995999999999</v>
      </c>
      <c r="H54" s="95"/>
      <c r="I54" s="198"/>
      <c r="J54" s="12"/>
      <c r="K54" s="12"/>
    </row>
    <row r="55" spans="1:16" x14ac:dyDescent="0.25">
      <c r="E55" s="12"/>
      <c r="F55" s="55"/>
      <c r="G55" s="12">
        <v>10317.272000000001</v>
      </c>
      <c r="H55" s="95"/>
      <c r="I55" s="95"/>
      <c r="J55" s="26"/>
      <c r="K55" s="26"/>
    </row>
    <row r="56" spans="1:16" x14ac:dyDescent="0.25">
      <c r="E56" s="26"/>
      <c r="F56" s="55"/>
      <c r="G56" s="12">
        <v>14765.313</v>
      </c>
      <c r="H56" s="95"/>
      <c r="I56" s="95"/>
      <c r="J56" s="26"/>
      <c r="K56" s="26"/>
    </row>
    <row r="57" spans="1:16" ht="18.75" x14ac:dyDescent="0.3">
      <c r="F57" s="55"/>
      <c r="G57" s="197">
        <f>G52-G53-G54-G55-G56</f>
        <v>1119863.7140999995</v>
      </c>
      <c r="H57" s="93">
        <v>3045630.4169999999</v>
      </c>
      <c r="I57" s="93">
        <v>3034736.9649999999</v>
      </c>
      <c r="J57" s="2">
        <v>3029455.5619999999</v>
      </c>
    </row>
    <row r="58" spans="1:16" x14ac:dyDescent="0.25">
      <c r="E58" s="26"/>
      <c r="F58" s="55"/>
      <c r="G58" s="26"/>
      <c r="H58" s="95">
        <f>H44-H57</f>
        <v>156750.50628999947</v>
      </c>
      <c r="I58" s="95">
        <f t="shared" ref="I58:J58" si="29">I44-I57</f>
        <v>-211083.83676999947</v>
      </c>
      <c r="J58" s="95">
        <f t="shared" si="29"/>
        <v>-92303.768999999389</v>
      </c>
      <c r="K58" s="26"/>
    </row>
    <row r="59" spans="1:16" ht="18.75" x14ac:dyDescent="0.3">
      <c r="E59" s="26"/>
      <c r="F59" s="55"/>
      <c r="G59" s="197">
        <f>G43+G44+G45-381631.87-31248.655-'Подпрограмма 1'!G37-'Подпрограмма 1'!G38-'Подпрограмма 1'!G53-'Подпрограмма 1'!G54-'Подпрограмма 2'!G15-'Подпрограмма 2'!G16-76117.234-169016.64-191334.063-3714.581-61378.38-16688.036-19404.7-104095.455-129211.824-664.326</f>
        <v>2209287.2917600013</v>
      </c>
      <c r="H59" s="95"/>
      <c r="I59" s="95"/>
      <c r="J59" s="26"/>
      <c r="K59" s="26"/>
    </row>
    <row r="60" spans="1:16" ht="18.75" x14ac:dyDescent="0.3">
      <c r="F60" s="55"/>
      <c r="G60" s="197">
        <f>G59+32993+100271</f>
        <v>2342551.2917600013</v>
      </c>
      <c r="H60" s="95"/>
    </row>
    <row r="61" spans="1:16" ht="18.75" x14ac:dyDescent="0.3">
      <c r="G61" s="199">
        <f>G43+G44+G45-'Подпрограмма 1'!G37-'Подпрограмма 1'!G38-'Подпрограмма 1'!G53-'Подпрограмма 1'!G54-'Подпрограмма 2'!G15-'Подпрограмма 2'!G16-586466-364064-233970</f>
        <v>2209293.0557599999</v>
      </c>
    </row>
    <row r="62" spans="1:16" x14ac:dyDescent="0.25">
      <c r="F62" s="55"/>
      <c r="G62" s="26"/>
      <c r="H62" s="95"/>
      <c r="I62" s="95"/>
      <c r="J62" s="26"/>
      <c r="K62" s="26"/>
    </row>
    <row r="63" spans="1:16" x14ac:dyDescent="0.25">
      <c r="F63" s="55"/>
      <c r="G63" s="26"/>
      <c r="H63" s="95"/>
      <c r="I63" s="95"/>
      <c r="J63" s="26"/>
      <c r="K63" s="26"/>
    </row>
    <row r="64" spans="1:16" x14ac:dyDescent="0.25">
      <c r="F64" s="19"/>
      <c r="G64" s="12"/>
      <c r="H64" s="91"/>
      <c r="I64" s="91"/>
      <c r="J64" s="12"/>
      <c r="K64" s="12"/>
    </row>
  </sheetData>
  <mergeCells count="48">
    <mergeCell ref="L1:M1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14:D14"/>
    <mergeCell ref="A16:D16"/>
    <mergeCell ref="B6:M6"/>
    <mergeCell ref="A7:A9"/>
    <mergeCell ref="B7:B9"/>
    <mergeCell ref="C7:C9"/>
    <mergeCell ref="L7:L9"/>
    <mergeCell ref="M7:M9"/>
    <mergeCell ref="A10:A11"/>
    <mergeCell ref="B10:B11"/>
    <mergeCell ref="C10:C11"/>
    <mergeCell ref="L10:L11"/>
    <mergeCell ref="M10:M11"/>
    <mergeCell ref="A15:D15"/>
    <mergeCell ref="A23:D23"/>
    <mergeCell ref="A17:D17"/>
    <mergeCell ref="A18:D18"/>
    <mergeCell ref="A19:D19"/>
    <mergeCell ref="A20:D20"/>
    <mergeCell ref="A22:D22"/>
    <mergeCell ref="A21:D21"/>
    <mergeCell ref="B44:D44"/>
    <mergeCell ref="B45:D45"/>
    <mergeCell ref="B46:D46"/>
    <mergeCell ref="B47:D47"/>
    <mergeCell ref="B48:D48"/>
    <mergeCell ref="B43:D43"/>
    <mergeCell ref="B42:D42"/>
    <mergeCell ref="B32:D32"/>
    <mergeCell ref="B39:D39"/>
    <mergeCell ref="B40:D40"/>
    <mergeCell ref="B41:D41"/>
    <mergeCell ref="B33:D33"/>
    <mergeCell ref="B34:D34"/>
    <mergeCell ref="B35:D35"/>
    <mergeCell ref="B36:D36"/>
    <mergeCell ref="B37:D37"/>
    <mergeCell ref="B38:D38"/>
  </mergeCells>
  <pageMargins left="0.19685039370078741" right="0.19685039370078741" top="0.59055118110236227" bottom="0.39370078740157483" header="0.39370078740157483" footer="0"/>
  <pageSetup paperSize="9" scale="43" firstPageNumber="13" fitToHeight="0" orientation="landscape" useFirstPageNumber="1" r:id="rId1"/>
  <headerFooter>
    <oddHeader>&amp;C&amp;"Times New Roman,обычный"&amp;12&amp;K000000&amp;P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2021-09-09T15:58:17Z</cp:lastPrinted>
  <dcterms:created xsi:type="dcterms:W3CDTF">2020-11-02T07:16:17Z</dcterms:created>
  <dcterms:modified xsi:type="dcterms:W3CDTF">2021-09-09T16:03:15Z</dcterms:modified>
</cp:coreProperties>
</file>