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П Комфортная среда 2020\Редакция 17 МП от 00.00.2022 № 000\Для публикации\"/>
    </mc:Choice>
  </mc:AlternateContent>
  <bookViews>
    <workbookView xWindow="0" yWindow="0" windowWidth="28800" windowHeight="12330" tabRatio="769"/>
  </bookViews>
  <sheets>
    <sheet name="Перечень мероприятий" sheetId="10" r:id="rId1"/>
  </sheets>
  <definedNames>
    <definedName name="_xlnm._FilterDatabase" localSheetId="0" hidden="1">'Перечень мероприятий'!$A$8:$L$8</definedName>
    <definedName name="_xlnm.Print_Titles" localSheetId="0">'Перечень мероприятий'!$6:$8</definedName>
    <definedName name="_xlnm.Print_Area" localSheetId="0">'Перечень мероприятий'!$A$1:$L$311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2" i="10" l="1"/>
  <c r="H273" i="10" l="1"/>
  <c r="H218" i="10" l="1"/>
  <c r="H215" i="10"/>
  <c r="H214" i="10"/>
  <c r="H213" i="10"/>
  <c r="H212" i="10"/>
  <c r="H211" i="10"/>
  <c r="H210" i="10" l="1"/>
  <c r="H118" i="10"/>
  <c r="H200" i="10" l="1"/>
  <c r="E236" i="10"/>
  <c r="H235" i="10"/>
  <c r="H232" i="10" s="1"/>
  <c r="E235" i="10"/>
  <c r="E234" i="10"/>
  <c r="E233" i="10"/>
  <c r="J232" i="10"/>
  <c r="I232" i="10"/>
  <c r="G232" i="10"/>
  <c r="F232" i="10"/>
  <c r="E232" i="10" l="1"/>
  <c r="E293" i="10" l="1"/>
  <c r="H288" i="10"/>
  <c r="H298" i="10"/>
  <c r="H136" i="10" l="1"/>
  <c r="H95" i="10"/>
  <c r="H224" i="10"/>
  <c r="H229" i="10"/>
  <c r="H42" i="10"/>
  <c r="H219" i="10" l="1"/>
  <c r="I156" i="10" l="1"/>
  <c r="H156" i="10"/>
  <c r="F288" i="10" l="1"/>
  <c r="G288" i="10"/>
  <c r="G298" i="10" s="1"/>
  <c r="I288" i="10"/>
  <c r="I298" i="10" s="1"/>
  <c r="J288" i="10"/>
  <c r="J298" i="10" s="1"/>
  <c r="F289" i="10"/>
  <c r="F299" i="10" s="1"/>
  <c r="G289" i="10"/>
  <c r="G299" i="10" s="1"/>
  <c r="H289" i="10"/>
  <c r="H299" i="10" s="1"/>
  <c r="I289" i="10"/>
  <c r="I299" i="10" s="1"/>
  <c r="J289" i="10"/>
  <c r="J299" i="10" s="1"/>
  <c r="F290" i="10"/>
  <c r="F300" i="10" s="1"/>
  <c r="G290" i="10"/>
  <c r="G300" i="10" s="1"/>
  <c r="H290" i="10"/>
  <c r="H300" i="10" s="1"/>
  <c r="I290" i="10"/>
  <c r="I300" i="10" s="1"/>
  <c r="J290" i="10"/>
  <c r="J300" i="10" s="1"/>
  <c r="G287" i="10"/>
  <c r="G297" i="10" s="1"/>
  <c r="H287" i="10"/>
  <c r="H297" i="10" s="1"/>
  <c r="I287" i="10"/>
  <c r="I297" i="10" s="1"/>
  <c r="J287" i="10"/>
  <c r="J297" i="10" s="1"/>
  <c r="F287" i="10"/>
  <c r="F297" i="10" s="1"/>
  <c r="E295" i="10"/>
  <c r="E294" i="10"/>
  <c r="G291" i="10"/>
  <c r="E292" i="10"/>
  <c r="J291" i="10"/>
  <c r="I291" i="10"/>
  <c r="H291" i="10"/>
  <c r="F291" i="10"/>
  <c r="I42" i="10"/>
  <c r="H61" i="10"/>
  <c r="H62" i="10"/>
  <c r="I155" i="10"/>
  <c r="H155" i="10"/>
  <c r="F200" i="10"/>
  <c r="G200" i="10"/>
  <c r="I200" i="10"/>
  <c r="J200" i="10"/>
  <c r="G201" i="10"/>
  <c r="I201" i="10"/>
  <c r="J201" i="10"/>
  <c r="F201" i="10"/>
  <c r="G203" i="10"/>
  <c r="H203" i="10"/>
  <c r="I203" i="10"/>
  <c r="J203" i="10"/>
  <c r="F203" i="10"/>
  <c r="H216" i="10"/>
  <c r="E224" i="10"/>
  <c r="E229" i="10"/>
  <c r="H228" i="10"/>
  <c r="H201" i="10" s="1"/>
  <c r="F239" i="10"/>
  <c r="G239" i="10"/>
  <c r="H239" i="10"/>
  <c r="I239" i="10"/>
  <c r="J239" i="10"/>
  <c r="F240" i="10"/>
  <c r="G240" i="10"/>
  <c r="J240" i="10"/>
  <c r="F241" i="10"/>
  <c r="G241" i="10"/>
  <c r="J241" i="10"/>
  <c r="G242" i="10"/>
  <c r="H242" i="10"/>
  <c r="I242" i="10"/>
  <c r="J242" i="10"/>
  <c r="F242" i="10"/>
  <c r="I246" i="10"/>
  <c r="I241" i="10" s="1"/>
  <c r="I245" i="10"/>
  <c r="I240" i="10" s="1"/>
  <c r="I250" i="10" s="1"/>
  <c r="H246" i="10"/>
  <c r="H241" i="10" s="1"/>
  <c r="H245" i="10"/>
  <c r="H240" i="10" s="1"/>
  <c r="E231" i="10"/>
  <c r="E230" i="10"/>
  <c r="E227" i="10"/>
  <c r="J226" i="10"/>
  <c r="I226" i="10"/>
  <c r="G226" i="10"/>
  <c r="F226" i="10"/>
  <c r="E225" i="10"/>
  <c r="E223" i="10"/>
  <c r="E222" i="10"/>
  <c r="J221" i="10"/>
  <c r="I221" i="10"/>
  <c r="H221" i="10"/>
  <c r="G221" i="10"/>
  <c r="F221" i="10"/>
  <c r="F252" i="10" l="1"/>
  <c r="G252" i="10"/>
  <c r="F249" i="10"/>
  <c r="J252" i="10"/>
  <c r="H252" i="10"/>
  <c r="G249" i="10"/>
  <c r="J249" i="10"/>
  <c r="E289" i="10"/>
  <c r="E288" i="10"/>
  <c r="F298" i="10"/>
  <c r="H249" i="10"/>
  <c r="G250" i="10"/>
  <c r="G296" i="10"/>
  <c r="H250" i="10"/>
  <c r="I252" i="10"/>
  <c r="J250" i="10"/>
  <c r="I249" i="10"/>
  <c r="F286" i="10"/>
  <c r="H286" i="10"/>
  <c r="G286" i="10"/>
  <c r="I286" i="10"/>
  <c r="E290" i="10"/>
  <c r="E201" i="10"/>
  <c r="F250" i="10"/>
  <c r="E291" i="10"/>
  <c r="J296" i="10"/>
  <c r="J286" i="10"/>
  <c r="E287" i="10"/>
  <c r="H296" i="10"/>
  <c r="E298" i="10"/>
  <c r="E299" i="10"/>
  <c r="E300" i="10"/>
  <c r="I296" i="10"/>
  <c r="E200" i="10"/>
  <c r="E228" i="10"/>
  <c r="E226" i="10" s="1"/>
  <c r="E203" i="10"/>
  <c r="H226" i="10"/>
  <c r="E221" i="10"/>
  <c r="E286" i="10" l="1"/>
  <c r="F296" i="10"/>
  <c r="E297" i="10"/>
  <c r="E296" i="10" s="1"/>
  <c r="E247" i="10" l="1"/>
  <c r="F243" i="10"/>
  <c r="E244" i="10"/>
  <c r="J243" i="10"/>
  <c r="I243" i="10"/>
  <c r="H243" i="10"/>
  <c r="G243" i="10"/>
  <c r="E246" i="10" l="1"/>
  <c r="E245" i="10"/>
  <c r="E243" i="10" l="1"/>
  <c r="G33" i="10" l="1"/>
  <c r="H33" i="10" l="1"/>
  <c r="H217" i="10"/>
  <c r="H32" i="10" l="1"/>
  <c r="G62" i="10" l="1"/>
  <c r="G11" i="10" l="1"/>
  <c r="H11" i="10"/>
  <c r="I11" i="10"/>
  <c r="J11" i="10"/>
  <c r="H12" i="10"/>
  <c r="I12" i="10"/>
  <c r="J12" i="10"/>
  <c r="I13" i="10"/>
  <c r="J13" i="10"/>
  <c r="G14" i="10"/>
  <c r="H14" i="10"/>
  <c r="I14" i="10"/>
  <c r="J14" i="10"/>
  <c r="F12" i="10"/>
  <c r="F14" i="10"/>
  <c r="E137" i="10"/>
  <c r="E136" i="10"/>
  <c r="J135" i="10"/>
  <c r="I135" i="10"/>
  <c r="H135" i="10"/>
  <c r="G135" i="10"/>
  <c r="F135" i="10"/>
  <c r="E135" i="10" l="1"/>
  <c r="J211" i="10" l="1"/>
  <c r="I211" i="10"/>
  <c r="G209" i="10" l="1"/>
  <c r="G207" i="10"/>
  <c r="G206" i="10"/>
  <c r="G204" i="10"/>
  <c r="I139" i="10" l="1"/>
  <c r="J139" i="10"/>
  <c r="I140" i="10"/>
  <c r="J140" i="10"/>
  <c r="I141" i="10"/>
  <c r="J141" i="10"/>
  <c r="G142" i="10"/>
  <c r="H142" i="10"/>
  <c r="I142" i="10"/>
  <c r="J142" i="10"/>
  <c r="F142" i="10"/>
  <c r="G42" i="10" l="1"/>
  <c r="H139" i="10"/>
  <c r="G77" i="10" l="1"/>
  <c r="G72" i="10"/>
  <c r="G57" i="10"/>
  <c r="G37" i="10"/>
  <c r="F37" i="10"/>
  <c r="F13" i="10" s="1"/>
  <c r="G28" i="10" l="1"/>
  <c r="F11" i="10" l="1"/>
  <c r="G146" i="10" l="1"/>
  <c r="G145" i="10"/>
  <c r="G144" i="10"/>
  <c r="G139" i="10" s="1"/>
  <c r="G82" i="10" l="1"/>
  <c r="G81" i="10"/>
  <c r="G76" i="10"/>
  <c r="G71" i="10"/>
  <c r="G69" i="10" s="1"/>
  <c r="G67" i="10"/>
  <c r="G66" i="10"/>
  <c r="G61" i="10"/>
  <c r="G56" i="10"/>
  <c r="G12" i="10" s="1"/>
  <c r="G47" i="10"/>
  <c r="G32" i="10"/>
  <c r="G23" i="10"/>
  <c r="E249" i="10" l="1"/>
  <c r="J220" i="10"/>
  <c r="I220" i="10"/>
  <c r="H220" i="10"/>
  <c r="H202" i="10" s="1"/>
  <c r="J214" i="10"/>
  <c r="I214" i="10"/>
  <c r="I202" i="10" s="1"/>
  <c r="H199" i="10" l="1"/>
  <c r="H251" i="10"/>
  <c r="I199" i="10"/>
  <c r="I251" i="10"/>
  <c r="J202" i="10"/>
  <c r="E217" i="10"/>
  <c r="E218" i="10"/>
  <c r="E219" i="10"/>
  <c r="E220" i="10"/>
  <c r="E216" i="10"/>
  <c r="E215" i="10"/>
  <c r="E214" i="10"/>
  <c r="E213" i="10"/>
  <c r="E212" i="10"/>
  <c r="E211" i="10"/>
  <c r="E210" i="10"/>
  <c r="E187" i="10"/>
  <c r="E186" i="10"/>
  <c r="E185" i="10"/>
  <c r="E184" i="10"/>
  <c r="J183" i="10"/>
  <c r="I183" i="10"/>
  <c r="H183" i="10"/>
  <c r="G183" i="10"/>
  <c r="F183" i="10"/>
  <c r="E134" i="10"/>
  <c r="E133" i="10"/>
  <c r="E132" i="10"/>
  <c r="E131" i="10"/>
  <c r="J130" i="10"/>
  <c r="I130" i="10"/>
  <c r="H130" i="10"/>
  <c r="G130" i="10"/>
  <c r="F130" i="10"/>
  <c r="E129" i="10"/>
  <c r="E128" i="10"/>
  <c r="E127" i="10"/>
  <c r="E126" i="10"/>
  <c r="J125" i="10"/>
  <c r="I125" i="10"/>
  <c r="H125" i="10"/>
  <c r="G125" i="10"/>
  <c r="F125" i="10"/>
  <c r="E124" i="10"/>
  <c r="E123" i="10"/>
  <c r="E122" i="10"/>
  <c r="E121" i="10"/>
  <c r="J120" i="10"/>
  <c r="I120" i="10"/>
  <c r="H120" i="10"/>
  <c r="G120" i="10"/>
  <c r="F120" i="10"/>
  <c r="E119" i="10"/>
  <c r="E118" i="10"/>
  <c r="E117" i="10"/>
  <c r="E116" i="10"/>
  <c r="J115" i="10"/>
  <c r="I115" i="10"/>
  <c r="H115" i="10"/>
  <c r="G115" i="10"/>
  <c r="F115" i="10"/>
  <c r="E114" i="10"/>
  <c r="E113" i="10"/>
  <c r="E112" i="10"/>
  <c r="E111" i="10"/>
  <c r="J110" i="10"/>
  <c r="I110" i="10"/>
  <c r="H110" i="10"/>
  <c r="G110" i="10"/>
  <c r="F110" i="10"/>
  <c r="E109" i="10"/>
  <c r="E108" i="10"/>
  <c r="E107" i="10"/>
  <c r="E106" i="10"/>
  <c r="J105" i="10"/>
  <c r="I105" i="10"/>
  <c r="H105" i="10"/>
  <c r="G105" i="10"/>
  <c r="F105" i="10"/>
  <c r="E104" i="10"/>
  <c r="E103" i="10"/>
  <c r="E102" i="10"/>
  <c r="E101" i="10"/>
  <c r="J100" i="10"/>
  <c r="I100" i="10"/>
  <c r="H100" i="10"/>
  <c r="G100" i="10"/>
  <c r="F100" i="10"/>
  <c r="E99" i="10"/>
  <c r="E98" i="10"/>
  <c r="J97" i="10"/>
  <c r="I97" i="10"/>
  <c r="H97" i="10"/>
  <c r="G97" i="10"/>
  <c r="F97" i="10"/>
  <c r="E96" i="10"/>
  <c r="E95" i="10"/>
  <c r="J94" i="10"/>
  <c r="I94" i="10"/>
  <c r="H94" i="10"/>
  <c r="G94" i="10"/>
  <c r="F94" i="10"/>
  <c r="E93" i="10"/>
  <c r="E92" i="10"/>
  <c r="E91" i="10"/>
  <c r="E90" i="10"/>
  <c r="J89" i="10"/>
  <c r="I89" i="10"/>
  <c r="H89" i="10"/>
  <c r="G89" i="10"/>
  <c r="F89" i="10"/>
  <c r="J199" i="10" l="1"/>
  <c r="J251" i="10"/>
  <c r="E94" i="10"/>
  <c r="E125" i="10"/>
  <c r="E183" i="10"/>
  <c r="E130" i="10"/>
  <c r="E120" i="10"/>
  <c r="E115" i="10"/>
  <c r="E110" i="10"/>
  <c r="E97" i="10"/>
  <c r="E105" i="10"/>
  <c r="E100" i="10"/>
  <c r="E89" i="10"/>
  <c r="E88" i="10" l="1"/>
  <c r="G84" i="10"/>
  <c r="E86" i="10"/>
  <c r="E85" i="10"/>
  <c r="J84" i="10"/>
  <c r="I84" i="10"/>
  <c r="H84" i="10"/>
  <c r="F84" i="10"/>
  <c r="E87" i="10" l="1"/>
  <c r="E84" i="10" s="1"/>
  <c r="G156" i="10" l="1"/>
  <c r="G155" i="10"/>
  <c r="H13" i="10" l="1"/>
  <c r="G237" i="10"/>
  <c r="G205" i="10"/>
  <c r="G202" i="10" s="1"/>
  <c r="G171" i="10"/>
  <c r="G170" i="10"/>
  <c r="G199" i="10" l="1"/>
  <c r="G251" i="10"/>
  <c r="E250" i="10"/>
  <c r="E82" i="10"/>
  <c r="E83" i="10"/>
  <c r="E81" i="10"/>
  <c r="E80" i="10"/>
  <c r="J79" i="10"/>
  <c r="I79" i="10"/>
  <c r="H79" i="10"/>
  <c r="F79" i="10"/>
  <c r="G79" i="10" l="1"/>
  <c r="E79" i="10"/>
  <c r="G161" i="10" l="1"/>
  <c r="G160" i="10"/>
  <c r="G18" i="10"/>
  <c r="G13" i="10" s="1"/>
  <c r="G166" i="10" l="1"/>
  <c r="G165" i="10"/>
  <c r="E76" i="10" l="1"/>
  <c r="E77" i="10"/>
  <c r="E78" i="10"/>
  <c r="E75" i="10"/>
  <c r="E71" i="10"/>
  <c r="E72" i="10"/>
  <c r="E73" i="10"/>
  <c r="E70" i="10"/>
  <c r="E66" i="10"/>
  <c r="E67" i="10"/>
  <c r="E68" i="10"/>
  <c r="E65" i="10"/>
  <c r="E61" i="10"/>
  <c r="E63" i="10"/>
  <c r="E60" i="10"/>
  <c r="G181" i="10" l="1"/>
  <c r="G180" i="10"/>
  <c r="E62" i="10"/>
  <c r="H151" i="10" l="1"/>
  <c r="H141" i="10" s="1"/>
  <c r="H150" i="10"/>
  <c r="H140" i="10" s="1"/>
  <c r="G150" i="10"/>
  <c r="G140" i="10" s="1"/>
  <c r="G151" i="10" l="1"/>
  <c r="G141" i="10" s="1"/>
  <c r="E74" i="10" l="1"/>
  <c r="J74" i="10"/>
  <c r="I74" i="10"/>
  <c r="H74" i="10"/>
  <c r="G74" i="10"/>
  <c r="F74" i="10"/>
  <c r="J59" i="10"/>
  <c r="I59" i="10"/>
  <c r="H59" i="10"/>
  <c r="G59" i="10"/>
  <c r="F59" i="10"/>
  <c r="E59" i="10"/>
  <c r="J64" i="10"/>
  <c r="J248" i="10" s="1"/>
  <c r="I64" i="10"/>
  <c r="I248" i="10" s="1"/>
  <c r="H64" i="10"/>
  <c r="H248" i="10" s="1"/>
  <c r="G64" i="10"/>
  <c r="F64" i="10"/>
  <c r="E64" i="10"/>
  <c r="E69" i="10"/>
  <c r="J69" i="10"/>
  <c r="I69" i="10"/>
  <c r="H69" i="10"/>
  <c r="F69" i="10"/>
  <c r="E252" i="10" l="1"/>
  <c r="G248" i="10"/>
  <c r="G263" i="10"/>
  <c r="G262" i="10"/>
  <c r="G261" i="10"/>
  <c r="E53" i="10" l="1"/>
  <c r="E52" i="10"/>
  <c r="E51" i="10"/>
  <c r="E50" i="10"/>
  <c r="J49" i="10"/>
  <c r="I49" i="10"/>
  <c r="H49" i="10"/>
  <c r="G49" i="10"/>
  <c r="F49" i="10"/>
  <c r="E58" i="10"/>
  <c r="E57" i="10"/>
  <c r="E56" i="10"/>
  <c r="E55" i="10"/>
  <c r="J54" i="10"/>
  <c r="I54" i="10"/>
  <c r="H54" i="10"/>
  <c r="G54" i="10"/>
  <c r="F54" i="10"/>
  <c r="E49" i="10" l="1"/>
  <c r="E54" i="10"/>
  <c r="E177" i="10" l="1"/>
  <c r="E176" i="10"/>
  <c r="E175" i="10"/>
  <c r="E174" i="10"/>
  <c r="J173" i="10"/>
  <c r="I173" i="10"/>
  <c r="H173" i="10"/>
  <c r="G173" i="10"/>
  <c r="F173" i="10"/>
  <c r="E152" i="10"/>
  <c r="E151" i="10"/>
  <c r="E150" i="10"/>
  <c r="E149" i="10"/>
  <c r="J148" i="10"/>
  <c r="I148" i="10"/>
  <c r="H148" i="10"/>
  <c r="G148" i="10"/>
  <c r="F148" i="10"/>
  <c r="E148" i="10" l="1"/>
  <c r="E173" i="10"/>
  <c r="F273" i="10" l="1"/>
  <c r="F237" i="10"/>
  <c r="F209" i="10"/>
  <c r="F207" i="10"/>
  <c r="F206" i="10"/>
  <c r="F205" i="10"/>
  <c r="F204" i="10"/>
  <c r="F161" i="10"/>
  <c r="F160" i="10"/>
  <c r="F156" i="10"/>
  <c r="F155" i="10"/>
  <c r="F146" i="10"/>
  <c r="F145" i="10"/>
  <c r="F144" i="10"/>
  <c r="F139" i="10" s="1"/>
  <c r="F202" i="10" l="1"/>
  <c r="F251" i="10" s="1"/>
  <c r="F248" i="10"/>
  <c r="F199" i="10"/>
  <c r="E202" i="10"/>
  <c r="E199" i="10" s="1"/>
  <c r="F141" i="10"/>
  <c r="F140" i="10"/>
  <c r="E251" i="10" l="1"/>
  <c r="E248" i="10" s="1"/>
  <c r="E28" i="10"/>
  <c r="F268" i="10" l="1"/>
  <c r="F267" i="10"/>
  <c r="E277" i="10" l="1"/>
  <c r="E278" i="10"/>
  <c r="F275" i="10"/>
  <c r="F270" i="10"/>
  <c r="G270" i="10"/>
  <c r="H270" i="10"/>
  <c r="I270" i="10"/>
  <c r="J270" i="10"/>
  <c r="E271" i="10"/>
  <c r="E272" i="10"/>
  <c r="E273" i="10"/>
  <c r="E274" i="10"/>
  <c r="E270" i="10" l="1"/>
  <c r="E275" i="10"/>
  <c r="E30" i="10" l="1"/>
  <c r="E13" i="10" l="1"/>
  <c r="E48" i="10"/>
  <c r="E47" i="10"/>
  <c r="E46" i="10"/>
  <c r="E45" i="10"/>
  <c r="J44" i="10"/>
  <c r="I44" i="10"/>
  <c r="H44" i="10"/>
  <c r="G44" i="10"/>
  <c r="F44" i="10"/>
  <c r="E44" i="10" l="1"/>
  <c r="E24" i="10" l="1"/>
  <c r="E23" i="10"/>
  <c r="E22" i="10"/>
  <c r="E21" i="10"/>
  <c r="J20" i="10"/>
  <c r="I20" i="10"/>
  <c r="H20" i="10"/>
  <c r="G20" i="10"/>
  <c r="F20" i="10"/>
  <c r="E20" i="10" l="1"/>
  <c r="J258" i="10"/>
  <c r="I258" i="10"/>
  <c r="H258" i="10"/>
  <c r="G258" i="10"/>
  <c r="J257" i="10"/>
  <c r="I257" i="10"/>
  <c r="H257" i="10"/>
  <c r="G257" i="10"/>
  <c r="J256" i="10"/>
  <c r="I256" i="10"/>
  <c r="H256" i="10"/>
  <c r="G256" i="10"/>
  <c r="J255" i="10"/>
  <c r="I255" i="10"/>
  <c r="H255" i="10"/>
  <c r="G255" i="10"/>
  <c r="F255" i="10"/>
  <c r="F25" i="10"/>
  <c r="G25" i="10"/>
  <c r="H25" i="10"/>
  <c r="I25" i="10"/>
  <c r="J25" i="10"/>
  <c r="E264" i="10" l="1"/>
  <c r="E42" i="10"/>
  <c r="E31" i="10"/>
  <c r="E32" i="10"/>
  <c r="E33" i="10"/>
  <c r="E34" i="10"/>
  <c r="E35" i="10"/>
  <c r="E38" i="10" l="1"/>
  <c r="E37" i="10"/>
  <c r="J36" i="10"/>
  <c r="I36" i="10"/>
  <c r="H36" i="10"/>
  <c r="G36" i="10"/>
  <c r="F36" i="10"/>
  <c r="E43" i="10"/>
  <c r="E41" i="10"/>
  <c r="E40" i="10"/>
  <c r="J39" i="10"/>
  <c r="I39" i="10"/>
  <c r="H39" i="10"/>
  <c r="G39" i="10"/>
  <c r="F39" i="10"/>
  <c r="E36" i="10" l="1"/>
  <c r="E39" i="10"/>
  <c r="F258" i="10"/>
  <c r="F257" i="10"/>
  <c r="F256" i="10"/>
  <c r="F282" i="10" s="1"/>
  <c r="E29" i="10" l="1"/>
  <c r="E27" i="10"/>
  <c r="E26" i="10"/>
  <c r="E25" i="10" l="1"/>
  <c r="E237" i="10" l="1"/>
  <c r="J269" i="10" l="1"/>
  <c r="I269" i="10"/>
  <c r="H269" i="10"/>
  <c r="G269" i="10"/>
  <c r="F269" i="10"/>
  <c r="J268" i="10"/>
  <c r="I268" i="10"/>
  <c r="H268" i="10"/>
  <c r="G268" i="10"/>
  <c r="J267" i="10"/>
  <c r="I267" i="10"/>
  <c r="H267" i="10"/>
  <c r="G267" i="10"/>
  <c r="J266" i="10"/>
  <c r="I266" i="10"/>
  <c r="H266" i="10"/>
  <c r="G266" i="10"/>
  <c r="F266" i="10"/>
  <c r="E263" i="10"/>
  <c r="E262" i="10"/>
  <c r="E261" i="10"/>
  <c r="E260" i="10"/>
  <c r="J259" i="10"/>
  <c r="I259" i="10"/>
  <c r="H259" i="10"/>
  <c r="G259" i="10"/>
  <c r="F259" i="10"/>
  <c r="E209" i="10"/>
  <c r="E208" i="10"/>
  <c r="H283" i="10" l="1"/>
  <c r="E267" i="10"/>
  <c r="J265" i="10"/>
  <c r="E269" i="10"/>
  <c r="J282" i="10"/>
  <c r="I283" i="10"/>
  <c r="H265" i="10"/>
  <c r="F265" i="10"/>
  <c r="H281" i="10"/>
  <c r="G282" i="10"/>
  <c r="F283" i="10"/>
  <c r="J283" i="10"/>
  <c r="I265" i="10"/>
  <c r="H282" i="10"/>
  <c r="F284" i="10"/>
  <c r="J284" i="10"/>
  <c r="E259" i="10"/>
  <c r="I281" i="10"/>
  <c r="F281" i="10"/>
  <c r="J281" i="10"/>
  <c r="G284" i="10"/>
  <c r="E266" i="10"/>
  <c r="F254" i="10"/>
  <c r="E268" i="10"/>
  <c r="H284" i="10"/>
  <c r="I282" i="10"/>
  <c r="H254" i="10"/>
  <c r="J254" i="10"/>
  <c r="I284" i="10"/>
  <c r="G254" i="10"/>
  <c r="G281" i="10"/>
  <c r="E255" i="10"/>
  <c r="E257" i="10"/>
  <c r="G283" i="10"/>
  <c r="I254" i="10"/>
  <c r="E256" i="10"/>
  <c r="E258" i="10"/>
  <c r="G265" i="10"/>
  <c r="F280" i="10" l="1"/>
  <c r="E265" i="10"/>
  <c r="H280" i="10"/>
  <c r="E282" i="10"/>
  <c r="J280" i="10"/>
  <c r="E283" i="10"/>
  <c r="E284" i="10"/>
  <c r="E281" i="10"/>
  <c r="I280" i="10"/>
  <c r="G280" i="10"/>
  <c r="E254" i="10"/>
  <c r="E280" i="10" l="1"/>
  <c r="E207" i="10"/>
  <c r="E204" i="10"/>
  <c r="E19" i="10"/>
  <c r="I15" i="10"/>
  <c r="E17" i="10"/>
  <c r="E16" i="10"/>
  <c r="J15" i="10"/>
  <c r="G15" i="10"/>
  <c r="F15" i="10"/>
  <c r="E182" i="10"/>
  <c r="E181" i="10"/>
  <c r="E180" i="10"/>
  <c r="E179" i="10"/>
  <c r="J178" i="10"/>
  <c r="I178" i="10"/>
  <c r="H178" i="10"/>
  <c r="G178" i="10"/>
  <c r="F178" i="10"/>
  <c r="E192" i="10"/>
  <c r="E191" i="10"/>
  <c r="E190" i="10"/>
  <c r="E189" i="10"/>
  <c r="J188" i="10"/>
  <c r="I188" i="10"/>
  <c r="H188" i="10"/>
  <c r="G188" i="10"/>
  <c r="F188" i="10"/>
  <c r="H168" i="10"/>
  <c r="G168" i="10"/>
  <c r="E167" i="10"/>
  <c r="E166" i="10"/>
  <c r="E165" i="10"/>
  <c r="E164" i="10"/>
  <c r="J163" i="10"/>
  <c r="I163" i="10"/>
  <c r="H163" i="10"/>
  <c r="G163" i="10"/>
  <c r="F163" i="10"/>
  <c r="E162" i="10"/>
  <c r="E161" i="10"/>
  <c r="E160" i="10"/>
  <c r="E159" i="10"/>
  <c r="J158" i="10"/>
  <c r="I158" i="10"/>
  <c r="H158" i="10"/>
  <c r="G158" i="10"/>
  <c r="F158" i="10"/>
  <c r="E147" i="10"/>
  <c r="E146" i="10"/>
  <c r="E145" i="10"/>
  <c r="E144" i="10"/>
  <c r="J143" i="10"/>
  <c r="I143" i="10"/>
  <c r="H143" i="10"/>
  <c r="G143" i="10"/>
  <c r="F143" i="10"/>
  <c r="E157" i="10"/>
  <c r="E156" i="10"/>
  <c r="E155" i="10"/>
  <c r="E154" i="10"/>
  <c r="J153" i="10"/>
  <c r="I153" i="10"/>
  <c r="H153" i="10"/>
  <c r="G153" i="10"/>
  <c r="F153" i="10"/>
  <c r="E178" i="10" l="1"/>
  <c r="H195" i="10"/>
  <c r="H303" i="10" s="1"/>
  <c r="I195" i="10"/>
  <c r="I303" i="10" s="1"/>
  <c r="I194" i="10"/>
  <c r="I302" i="10" s="1"/>
  <c r="J194" i="10"/>
  <c r="J302" i="10" s="1"/>
  <c r="I197" i="10"/>
  <c r="I305" i="10" s="1"/>
  <c r="J195" i="10"/>
  <c r="J303" i="10" s="1"/>
  <c r="J197" i="10"/>
  <c r="J305" i="10" s="1"/>
  <c r="E206" i="10"/>
  <c r="H197" i="10"/>
  <c r="H305" i="10" s="1"/>
  <c r="J10" i="10"/>
  <c r="E188" i="10"/>
  <c r="I10" i="10"/>
  <c r="H194" i="10"/>
  <c r="H302" i="10" s="1"/>
  <c r="G197" i="10"/>
  <c r="G305" i="10" s="1"/>
  <c r="E143" i="10"/>
  <c r="I168" i="10"/>
  <c r="E172" i="10"/>
  <c r="G10" i="10"/>
  <c r="G195" i="10"/>
  <c r="G303" i="10" s="1"/>
  <c r="H10" i="10"/>
  <c r="J196" i="10"/>
  <c r="J138" i="10"/>
  <c r="F138" i="10"/>
  <c r="F196" i="10"/>
  <c r="F304" i="10" s="1"/>
  <c r="E141" i="10"/>
  <c r="E158" i="10"/>
  <c r="F195" i="10"/>
  <c r="F303" i="10" s="1"/>
  <c r="E140" i="10"/>
  <c r="E169" i="10"/>
  <c r="F168" i="10"/>
  <c r="J168" i="10"/>
  <c r="E11" i="10"/>
  <c r="F10" i="10"/>
  <c r="E18" i="10"/>
  <c r="E15" i="10" s="1"/>
  <c r="E153" i="10"/>
  <c r="E163" i="10"/>
  <c r="E170" i="10"/>
  <c r="E12" i="10"/>
  <c r="E14" i="10"/>
  <c r="G196" i="10"/>
  <c r="F197" i="10"/>
  <c r="F305" i="10" s="1"/>
  <c r="E142" i="10"/>
  <c r="E171" i="10"/>
  <c r="F194" i="10"/>
  <c r="F302" i="10" s="1"/>
  <c r="H196" i="10"/>
  <c r="H15" i="10"/>
  <c r="I138" i="10"/>
  <c r="J304" i="10" l="1"/>
  <c r="G304" i="10"/>
  <c r="H304" i="10"/>
  <c r="H138" i="10"/>
  <c r="E139" i="10"/>
  <c r="E138" i="10" s="1"/>
  <c r="J193" i="10"/>
  <c r="E10" i="10"/>
  <c r="I196" i="10"/>
  <c r="G194" i="10"/>
  <c r="G302" i="10" s="1"/>
  <c r="G138" i="10"/>
  <c r="F193" i="10"/>
  <c r="H193" i="10"/>
  <c r="E197" i="10"/>
  <c r="E168" i="10"/>
  <c r="E195" i="10"/>
  <c r="I304" i="10" l="1"/>
  <c r="H238" i="10"/>
  <c r="E303" i="10"/>
  <c r="E305" i="10"/>
  <c r="H301" i="10"/>
  <c r="G193" i="10"/>
  <c r="E196" i="10"/>
  <c r="I193" i="10"/>
  <c r="E194" i="10"/>
  <c r="I238" i="10" l="1"/>
  <c r="J238" i="10"/>
  <c r="E242" i="10"/>
  <c r="E240" i="10"/>
  <c r="G238" i="10"/>
  <c r="E302" i="10"/>
  <c r="F301" i="10"/>
  <c r="E241" i="10" s="1"/>
  <c r="I301" i="10"/>
  <c r="J301" i="10"/>
  <c r="E193" i="10"/>
  <c r="E304" i="10"/>
  <c r="G301" i="10"/>
  <c r="E205" i="10"/>
  <c r="E239" i="10" l="1"/>
  <c r="E238" i="10" s="1"/>
  <c r="F238" i="10"/>
  <c r="E301" i="10"/>
</calcChain>
</file>

<file path=xl/sharedStrings.xml><?xml version="1.0" encoding="utf-8"?>
<sst xmlns="http://schemas.openxmlformats.org/spreadsheetml/2006/main" count="687" uniqueCount="235">
  <si>
    <t>Средства бюджета Московской области</t>
  </si>
  <si>
    <t>Итого</t>
  </si>
  <si>
    <t>Внебюджетные источники</t>
  </si>
  <si>
    <t>Источники финансирования</t>
  </si>
  <si>
    <t>1.</t>
  </si>
  <si>
    <t>1.1.</t>
  </si>
  <si>
    <t>1.2.</t>
  </si>
  <si>
    <t>2.</t>
  </si>
  <si>
    <t>ИТОГО по ПРОГРАММЕ:</t>
  </si>
  <si>
    <t>2020-2024</t>
  </si>
  <si>
    <t>1.3.</t>
  </si>
  <si>
    <t>1.4.</t>
  </si>
  <si>
    <t>1.5.</t>
  </si>
  <si>
    <t>1.6.</t>
  </si>
  <si>
    <t>2.1.</t>
  </si>
  <si>
    <t>2.2.</t>
  </si>
  <si>
    <t xml:space="preserve">Мероприятие Подпрограммы </t>
  </si>
  <si>
    <t>Сроки исполнения мероприятия</t>
  </si>
  <si>
    <t xml:space="preserve">Ответственный за выполнение мероприятия Подпрограммы </t>
  </si>
  <si>
    <t xml:space="preserve">Средства федерального бюджета </t>
  </si>
  <si>
    <t>№ п/п</t>
  </si>
  <si>
    <t>Объемы финансирования по годам (тыс. руб.)</t>
  </si>
  <si>
    <t>2020 год</t>
  </si>
  <si>
    <t>2021 год</t>
  </si>
  <si>
    <t>2022 год</t>
  </si>
  <si>
    <t>2023 год</t>
  </si>
  <si>
    <t>2024 год</t>
  </si>
  <si>
    <t xml:space="preserve">Средства бюджета Одинцовского городского округа </t>
  </si>
  <si>
    <t>2.4.</t>
  </si>
  <si>
    <t>2.5.</t>
  </si>
  <si>
    <t>Управление жилищно-коммунального хозяйства Администрации Одинцовского городского округа</t>
  </si>
  <si>
    <t>Количество приобретенной техники для нужд благоустройства территорий</t>
  </si>
  <si>
    <t>Доля не отработанных обращений жителей по вопросам связанным с содержанием территории Одинцовского городского округа</t>
  </si>
  <si>
    <t>Увеличение площади асфальтового покрытия дворовых территорий, нахо-дящегося в нормативном состоянии</t>
  </si>
  <si>
    <t>Управление благоустройства Администрации Одинцовского городского округа</t>
  </si>
  <si>
    <t>Всего
(тыс. руб.)</t>
  </si>
  <si>
    <t>Доля освещённых улиц, проездов, набережных в границах Одинцовского городского округа Московской области с уровнем освещённости, соответствующим нормативным значениям</t>
  </si>
  <si>
    <t>Управление благоустройства Администрации Одинцовского городского округа; Комитет по культуре Администрации Одинцовского городского округа</t>
  </si>
  <si>
    <t>Комитет по культуре Администрации Одинцовского городского округа</t>
  </si>
  <si>
    <t>Количество установленных детских игровых площадок</t>
  </si>
  <si>
    <t>Основное мероприятие 01 «Благоустройство общественных территорий муниципальных образований Московской области»</t>
  </si>
  <si>
    <t>Основное мероприятие 01 Обеспечение комфортной среды проживания на территории муниципального образования</t>
  </si>
  <si>
    <t>Основное мероприятие 01 Приведение в надлежащее состояние подъездов в многоквартирных домах</t>
  </si>
  <si>
    <t>Основное мероприятие 02 Создание благоприятных условий для проживания граждан в многоквартирных домах, расположенных на территории Московской области</t>
  </si>
  <si>
    <t>Н.А. Стародубова</t>
  </si>
  <si>
    <t>Перечень мероприятий муниципальной программы Одинцовского городского округа Московской области
«Формирование современной комфортной городской среды»</t>
  </si>
  <si>
    <t>Начальник Управления бухгалтерского учета и отчетности, Главный бухгалтер</t>
  </si>
  <si>
    <t>2.6.</t>
  </si>
  <si>
    <t>2.7.</t>
  </si>
  <si>
    <t>2.8.</t>
  </si>
  <si>
    <t>2.9.</t>
  </si>
  <si>
    <t>2.10.</t>
  </si>
  <si>
    <t>1.7.</t>
  </si>
  <si>
    <t>1.8.</t>
  </si>
  <si>
    <t>1.9.</t>
  </si>
  <si>
    <t>1.10.</t>
  </si>
  <si>
    <t>1.11.</t>
  </si>
  <si>
    <t>1.12.</t>
  </si>
  <si>
    <t>1.15.</t>
  </si>
  <si>
    <t>Управление благоустройства Администрации Одинцовского городского округа; муниципальные учреждения сферы благоустройства</t>
  </si>
  <si>
    <t>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</si>
  <si>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 xml:space="preserve">Количество благоустроенных дворовых территорий </t>
  </si>
  <si>
    <t>ИТОГО по подпрограмме "Комфортная городская среда"</t>
  </si>
  <si>
    <t>ИТОГО по подпрограмме "Создание условий для обеспечения комфортного проживания жителей многоквартирных домов"</t>
  </si>
  <si>
    <t>Выполнение в 2020 году работ по дезинфекционной обработке планового количества площадей общего пользования в МКД  в соответствующих муниципальных образований Московской области</t>
  </si>
  <si>
    <t>Начальник Управления благоустройства</t>
  </si>
  <si>
    <t>А.А. Журавлев</t>
  </si>
  <si>
    <t>Управление благоустройства Администрации Одинцовского городского округа;
МКУ "ЖКХ "Барвихинское"</t>
  </si>
  <si>
    <t>Результаты выполнения мероприятия Подпрограммы</t>
  </si>
  <si>
    <t>Доля муниципальных учреждений в сфере благоустройства осуществляющих работу с надлежащим качеством
(Приложение 6 к муниципальной программе)</t>
  </si>
  <si>
    <t>Количество МКД, в которых проведен капитальный ремонт в рамках региональной программы
(Приложение 6 к муниципальной программе)</t>
  </si>
  <si>
    <r>
      <rPr>
        <b/>
        <sz val="10"/>
        <rFont val="Times New Roman"/>
        <family val="1"/>
        <charset val="204"/>
      </rPr>
      <t>Мероприятие 01.04.</t>
    </r>
    <r>
      <rPr>
        <sz val="10"/>
        <rFont val="Times New Roman"/>
        <family val="1"/>
        <charset val="204"/>
      </rPr>
      <t xml:space="preserve">
Комплексное благоустройство территорий муниципальных образований Московской области</t>
    </r>
  </si>
  <si>
    <r>
      <rPr>
        <b/>
        <sz val="10"/>
        <rFont val="Times New Roman"/>
        <family val="1"/>
        <charset val="204"/>
      </rPr>
      <t>Мероприятие 01.06.</t>
    </r>
    <r>
      <rPr>
        <sz val="10"/>
        <rFont val="Times New Roman"/>
        <family val="1"/>
        <charset val="204"/>
      </rPr>
      <t xml:space="preserve">
Устройство контейнерных площадок</t>
    </r>
  </si>
  <si>
    <r>
      <rPr>
        <b/>
        <sz val="10"/>
        <rFont val="Times New Roman"/>
        <family val="1"/>
        <charset val="204"/>
      </rPr>
      <t>Мероприятие 01.07.</t>
    </r>
    <r>
      <rPr>
        <sz val="10"/>
        <rFont val="Times New Roman"/>
        <family val="1"/>
        <charset val="204"/>
      </rPr>
      <t xml:space="preserve">
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  </r>
  </si>
  <si>
    <r>
      <rPr>
        <b/>
        <sz val="10"/>
        <rFont val="Times New Roman"/>
        <family val="1"/>
        <charset val="204"/>
      </rPr>
      <t>Мероприятие 01.08.</t>
    </r>
    <r>
      <rPr>
        <sz val="10"/>
        <rFont val="Times New Roman"/>
        <family val="1"/>
        <charset val="204"/>
      </rPr>
      <t xml:space="preserve">
Приобретение коммунальной техники за счет средств  местного бюджета</t>
    </r>
  </si>
  <si>
    <r>
      <rPr>
        <b/>
        <sz val="10"/>
        <rFont val="Times New Roman"/>
        <family val="1"/>
        <charset val="204"/>
      </rPr>
      <t>Мероприятие 01.09.</t>
    </r>
    <r>
      <rPr>
        <sz val="10"/>
        <rFont val="Times New Roman"/>
        <family val="1"/>
        <charset val="204"/>
      </rPr>
      <t xml:space="preserve">
Создание новых и (или) благоустройство существующих парков культуры и отдыха за счет средств местного бюджета</t>
    </r>
  </si>
  <si>
    <r>
      <rPr>
        <b/>
        <sz val="10"/>
        <rFont val="Times New Roman"/>
        <family val="1"/>
        <charset val="204"/>
      </rPr>
      <t>Мероприятие 01.10.</t>
    </r>
    <r>
      <rPr>
        <sz val="10"/>
        <rFont val="Times New Roman"/>
        <family val="1"/>
        <charset val="204"/>
      </rPr>
      <t xml:space="preserve">
Обустройство и установка детских игровых площадок на территории муниципальных образований Московской области за счет средств местного бюджета</t>
    </r>
  </si>
  <si>
    <r>
      <rPr>
        <b/>
        <sz val="10"/>
        <rFont val="Times New Roman"/>
        <family val="1"/>
        <charset val="204"/>
      </rPr>
      <t>Мероприятие 01.13.</t>
    </r>
    <r>
      <rPr>
        <sz val="10"/>
        <rFont val="Times New Roman"/>
        <family val="1"/>
        <charset val="204"/>
      </rPr>
      <t xml:space="preserve">
Обустройство и установку детских игровых площадок на территории  парков культуры и отдыха Московской области за счет средств местного бюджета</t>
    </r>
  </si>
  <si>
    <r>
      <rPr>
        <b/>
        <sz val="10"/>
        <rFont val="Times New Roman"/>
        <family val="1"/>
        <charset val="204"/>
      </rPr>
      <t>Мероприятие 01.14.</t>
    </r>
    <r>
      <rPr>
        <sz val="10"/>
        <rFont val="Times New Roman"/>
        <family val="1"/>
        <charset val="204"/>
      </rPr>
      <t xml:space="preserve">
Ремонт дворовых территорий за счет средств местного бюджета</t>
    </r>
  </si>
  <si>
    <r>
      <rPr>
        <b/>
        <sz val="10"/>
        <rFont val="Times New Roman"/>
        <family val="1"/>
        <charset val="204"/>
      </rPr>
      <t>Мероприятие 01.15.</t>
    </r>
    <r>
      <rPr>
        <sz val="10"/>
        <rFont val="Times New Roman"/>
        <family val="1"/>
        <charset val="204"/>
      </rPr>
      <t xml:space="preserve">
Благоустройство общественных территорий</t>
    </r>
  </si>
  <si>
    <r>
      <rPr>
        <b/>
        <sz val="10"/>
        <rFont val="Times New Roman"/>
        <family val="1"/>
        <charset val="204"/>
      </rPr>
      <t>Мероприятие 01.17.</t>
    </r>
    <r>
      <rPr>
        <sz val="10"/>
        <rFont val="Times New Roman"/>
        <family val="1"/>
        <charset val="204"/>
      </rPr>
      <t xml:space="preserve">
Выполнение мероприятий по организации наружного освещения территорий городских округов Московской области</t>
    </r>
  </si>
  <si>
    <r>
      <rPr>
        <b/>
        <sz val="10"/>
        <rFont val="Times New Roman"/>
        <family val="1"/>
        <charset val="204"/>
      </rPr>
      <t>Мероприятие F2.03.</t>
    </r>
    <r>
      <rPr>
        <sz val="10"/>
        <rFont val="Times New Roman"/>
        <family val="1"/>
        <charset val="204"/>
      </rPr>
      <t xml:space="preserve">
Реализация программ формирования современной городской среды в части благоустройства общественных территорий</t>
    </r>
  </si>
  <si>
    <r>
      <rPr>
        <b/>
        <sz val="10"/>
        <rFont val="Times New Roman"/>
        <family val="1"/>
        <charset val="204"/>
      </rPr>
      <t>Мероприятие F2.06.</t>
    </r>
    <r>
      <rPr>
        <sz val="10"/>
        <rFont val="Times New Roman"/>
        <family val="1"/>
        <charset val="204"/>
      </rPr>
      <t xml:space="preserve">
Благоустройство общественных территорий в малых городах и исторических поселениях – победителях Всероссийского конкурса лучших проектов создания комфортной городской среды</t>
    </r>
  </si>
  <si>
    <r>
      <rPr>
        <b/>
        <sz val="10"/>
        <rFont val="Times New Roman"/>
        <family val="1"/>
        <charset val="204"/>
      </rPr>
      <t>Мероприятие F2.19.</t>
    </r>
    <r>
      <rPr>
        <sz val="10"/>
        <rFont val="Times New Roman"/>
        <family val="1"/>
        <charset val="204"/>
      </rPr>
      <t xml:space="preserve">
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  </r>
  </si>
  <si>
    <r>
      <rPr>
        <b/>
        <sz val="10"/>
        <rFont val="Times New Roman"/>
        <family val="1"/>
        <charset val="204"/>
      </rPr>
      <t>Мероприятие F2.07.</t>
    </r>
    <r>
      <rPr>
        <sz val="10"/>
        <rFont val="Times New Roman"/>
        <family val="1"/>
        <charset val="204"/>
      </rPr>
      <t xml:space="preserve">
Реализация программ формирования современной городской среды в части достижения основного результата по благоустройству общественных территорий</t>
    </r>
  </si>
  <si>
    <r>
      <rPr>
        <b/>
        <sz val="10"/>
        <rFont val="Times New Roman"/>
        <family val="1"/>
        <charset val="204"/>
      </rPr>
      <t>Мероприятие F2.08.</t>
    </r>
    <r>
      <rPr>
        <sz val="10"/>
        <rFont val="Times New Roman"/>
        <family val="1"/>
        <charset val="204"/>
      </rPr>
      <t xml:space="preserve">
Ремонт дворовых территорий</t>
    </r>
  </si>
  <si>
    <r>
      <rPr>
        <b/>
        <sz val="10"/>
        <rFont val="Times New Roman"/>
        <family val="1"/>
        <charset val="204"/>
      </rPr>
      <t>Мероприятие F2.15.</t>
    </r>
    <r>
      <rPr>
        <sz val="10"/>
        <rFont val="Times New Roman"/>
        <family val="1"/>
        <charset val="204"/>
      </rPr>
      <t xml:space="preserve">
Обустройство и установка детских игровых площадок на территории муниципальных образований Московской области</t>
    </r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</si>
  <si>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Содержание, ремонт объектов благоустройства, в т.ч. озеленение территорий</t>
    </r>
  </si>
  <si>
    <r>
      <rPr>
        <b/>
        <sz val="10"/>
        <rFont val="Times New Roman"/>
        <family val="1"/>
        <charset val="204"/>
      </rPr>
      <t>Мероприятие 01.02.</t>
    </r>
    <r>
      <rPr>
        <sz val="10"/>
        <rFont val="Times New Roman"/>
        <family val="1"/>
        <charset val="204"/>
      </rPr>
      <t xml:space="preserve">
Содержание, ремонт и восстановление уличного освещения             </t>
    </r>
  </si>
  <si>
    <r>
      <rPr>
        <b/>
        <sz val="10"/>
        <rFont val="Times New Roman"/>
        <family val="1"/>
        <charset val="204"/>
      </rPr>
      <t>Мероприятие 01.03.</t>
    </r>
    <r>
      <rPr>
        <sz val="10"/>
        <rFont val="Times New Roman"/>
        <family val="1"/>
        <charset val="204"/>
      </rPr>
      <t xml:space="preserve">
Организация благоустройства территории городского округа в части ремонта асфальтового покрытия дворовых территорий</t>
    </r>
  </si>
  <si>
    <r>
      <rPr>
        <b/>
        <sz val="10"/>
        <rFont val="Times New Roman"/>
        <family val="1"/>
        <charset val="204"/>
      </rPr>
      <t>Мероприятие 01.04.</t>
    </r>
    <r>
      <rPr>
        <sz val="10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в сфере благоустройства</t>
    </r>
  </si>
  <si>
    <r>
      <rPr>
        <b/>
        <sz val="10"/>
        <rFont val="Times New Roman"/>
        <family val="1"/>
        <charset val="204"/>
      </rPr>
      <t>Мероприятие 01.06.</t>
    </r>
    <r>
      <rPr>
        <sz val="10"/>
        <rFont val="Times New Roman"/>
        <family val="1"/>
        <charset val="204"/>
      </rPr>
      <t xml:space="preserve">
Вывоз навалов мусора и снега</t>
    </r>
  </si>
  <si>
    <r>
      <rPr>
        <b/>
        <sz val="10"/>
        <rFont val="Times New Roman"/>
        <family val="1"/>
        <charset val="204"/>
      </rPr>
      <t xml:space="preserve">Мероприятие 01.57.
</t>
    </r>
    <r>
      <rPr>
        <sz val="10"/>
        <rFont val="Times New Roman"/>
        <family val="1"/>
        <charset val="204"/>
      </rPr>
      <t>Организация подъездных внутриквартальных путей к земельным участкам, выданным многодетным семьям</t>
    </r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</si>
  <si>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Ремонт подъездов в многоквартирных домах</t>
    </r>
  </si>
  <si>
    <r>
      <rPr>
        <b/>
        <sz val="10"/>
        <rFont val="Times New Roman"/>
        <family val="1"/>
        <charset val="204"/>
      </rPr>
      <t>Мероприятие 01.02.</t>
    </r>
    <r>
      <rPr>
        <sz val="10"/>
        <rFont val="Times New Roman"/>
        <family val="1"/>
        <charset val="204"/>
      </rPr>
      <t xml:space="preserve">
Установка камер видеонаблюдения в подъездах многоквартирных домов за счет средств местного бюджета </t>
    </r>
  </si>
  <si>
    <r>
      <rPr>
        <b/>
        <sz val="10"/>
        <rFont val="Times New Roman"/>
        <family val="1"/>
        <charset val="204"/>
      </rPr>
      <t>Мероприятие 02.01.</t>
    </r>
    <r>
      <rPr>
        <sz val="10"/>
        <rFont val="Times New Roman"/>
        <family val="1"/>
        <charset val="204"/>
      </rPr>
      <t xml:space="preserve">
Проведение капитального ремонта многоквартирных домов на территории Московской области</t>
    </r>
  </si>
  <si>
    <r>
      <rPr>
        <b/>
        <sz val="10"/>
        <rFont val="Times New Roman"/>
        <family val="1"/>
        <charset val="204"/>
      </rPr>
      <t>Мероприятие 02.03.</t>
    </r>
    <r>
      <rPr>
        <sz val="10"/>
        <rFont val="Times New Roman"/>
        <family val="1"/>
        <charset val="204"/>
      </rPr>
      <t xml:space="preserve">
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  </r>
  </si>
  <si>
    <t>1.16.</t>
  </si>
  <si>
    <r>
      <rPr>
        <b/>
        <sz val="10"/>
        <rFont val="Times New Roman"/>
        <family val="1"/>
        <charset val="204"/>
      </rPr>
      <t xml:space="preserve">Мероприятие 01.21.
</t>
    </r>
    <r>
      <rPr>
        <sz val="10"/>
        <rFont val="Times New Roman"/>
        <family val="1"/>
        <charset val="204"/>
      </rPr>
      <t>Ямочный ремонт асфальтового покрытия дворовых территорий</t>
    </r>
  </si>
  <si>
    <r>
      <rPr>
        <b/>
        <sz val="10"/>
        <rFont val="Times New Roman"/>
        <family val="1"/>
        <charset val="204"/>
      </rPr>
      <t>Мероприятие F2.22.</t>
    </r>
    <r>
      <rPr>
        <sz val="10"/>
        <rFont val="Times New Roman"/>
        <family val="1"/>
        <charset val="204"/>
      </rPr>
      <t xml:space="preserve">
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  </r>
  </si>
  <si>
    <t>Комитет по культуре Администрации Одинцовского городского округа;
Управление благоустройства Администрации Одинцовского городского округа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</si>
  <si>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</si>
  <si>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r>
      <rPr>
        <b/>
        <sz val="10"/>
        <rFont val="Times New Roman"/>
        <family val="1"/>
        <charset val="204"/>
      </rPr>
      <t>Мероприятие F2.28.</t>
    </r>
    <r>
      <rPr>
        <sz val="10"/>
        <rFont val="Times New Roman"/>
        <family val="1"/>
        <charset val="204"/>
      </rPr>
      <t xml:space="preserve">
Благоустройство зон для досуга и отдыха населения в парках культуры и отдыха</t>
    </r>
  </si>
  <si>
    <t>2021-2022</t>
  </si>
  <si>
    <t>Количество установленных детских игровых площадок
(Приложение 6 к муниципальной программе)</t>
  </si>
  <si>
    <t>1.17.</t>
  </si>
  <si>
    <t>1.18.</t>
  </si>
  <si>
    <t>1.19.</t>
  </si>
  <si>
    <r>
      <rPr>
        <b/>
        <sz val="10"/>
        <rFont val="Times New Roman"/>
        <family val="1"/>
        <charset val="204"/>
      </rPr>
      <t xml:space="preserve">Мероприятие 01.22.
</t>
    </r>
    <r>
      <rPr>
        <sz val="10"/>
        <rFont val="Times New Roman"/>
        <family val="1"/>
        <charset val="204"/>
      </rPr>
      <t>Улучшение архитектурно-художественного облика территорий муниципальных образований Московской области, не входящих в состав городов</t>
    </r>
  </si>
  <si>
    <r>
      <rPr>
        <b/>
        <sz val="10"/>
        <rFont val="Times New Roman"/>
        <family val="1"/>
        <charset val="204"/>
      </rPr>
      <t xml:space="preserve">Мероприятие 01.23.
</t>
    </r>
    <r>
      <rPr>
        <sz val="10"/>
        <rFont val="Times New Roman"/>
        <family val="1"/>
        <charset val="204"/>
      </rPr>
      <t>Реализация мероприятий по благоустройству территорий общего пользования, связанных с функционированием Московских центральных диаметров</t>
    </r>
  </si>
  <si>
    <r>
      <rPr>
        <b/>
        <sz val="10"/>
        <rFont val="Times New Roman"/>
        <family val="1"/>
        <charset val="204"/>
      </rPr>
      <t xml:space="preserve">Мероприятие 01.24.
</t>
    </r>
    <r>
      <rPr>
        <sz val="10"/>
        <rFont val="Times New Roman"/>
        <family val="1"/>
        <charset val="204"/>
      </rPr>
      <t>Улучшение архитектурно-художественного облика улиц городов</t>
    </r>
  </si>
  <si>
    <t>1.20.</t>
  </si>
  <si>
    <r>
      <rPr>
        <b/>
        <sz val="10"/>
        <rFont val="Times New Roman"/>
        <family val="1"/>
        <charset val="204"/>
      </rPr>
      <t xml:space="preserve">Мероприятие 01.25.
</t>
    </r>
    <r>
      <rPr>
        <sz val="10"/>
        <rFont val="Times New Roman"/>
        <family val="1"/>
        <charset val="204"/>
      </rPr>
      <t>Создание и ремонт пешеходных коммуникаций</t>
    </r>
  </si>
  <si>
    <t>2021-2024</t>
  </si>
  <si>
    <t>Количество благоустроенных общественных территорий, реализованных без привлечения средств федерального бюджета и бюджета Московской области
(Приложение 6 к муниципальной программе)</t>
  </si>
  <si>
    <t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
(Приложение 6 к муниципальной программе)</t>
  </si>
  <si>
    <t>Количество парков культуры и отдыха на территории Московской области, в которых благоустроены зоны для досуга и отдыха населения
(Приложение 6 к муниципальной программе)</t>
  </si>
  <si>
    <r>
      <rPr>
        <b/>
        <sz val="10"/>
        <rFont val="Times New Roman"/>
        <family val="1"/>
        <charset val="204"/>
      </rPr>
      <t>Мероприятие 01.12.</t>
    </r>
    <r>
      <rPr>
        <sz val="10"/>
        <rFont val="Times New Roman"/>
        <family val="1"/>
        <charset val="204"/>
      </rPr>
      <t xml:space="preserve">
Устройство и капитальный ремонт систем наружного освещения в рамках реализации проекта "Светлый город" за счет средств местного бюджета</t>
    </r>
  </si>
  <si>
    <r>
      <rPr>
        <b/>
        <sz val="10"/>
        <rFont val="Times New Roman"/>
        <family val="1"/>
        <charset val="204"/>
      </rPr>
      <t>Мероприятие F2.10.</t>
    </r>
    <r>
      <rPr>
        <sz val="10"/>
        <rFont val="Times New Roman"/>
        <family val="1"/>
        <charset val="204"/>
      </rPr>
      <t xml:space="preserve">
Устройство и капитальный ремонт систем наружного освещения в рамках реализации проекта "Светлый город"</t>
    </r>
  </si>
  <si>
    <t>Подпрограмма "Благоустройство территорий"</t>
  </si>
  <si>
    <t>Количество благоустроенных с привлечением субсидии пешеходных коммуникаций с твердым (асфальтовым) покрытием
(Приложение 6 к муниципальной программе)</t>
  </si>
  <si>
    <r>
      <t xml:space="preserve">Мероприятие 01.20.
</t>
    </r>
    <r>
      <rPr>
        <sz val="10"/>
        <rFont val="Times New Roman"/>
        <family val="1"/>
        <charset val="204"/>
      </rPr>
      <t>Реализация мероприятий по благоустройству территорий, прилегающих к железнодорожным станциям</t>
    </r>
  </si>
  <si>
    <t>Количество благоустроенных общественных территорий, реализованных без привлечения средств федерального бюджета и бюджета Московской области.
Количество разработанных проектов благоустройства общественных территорий
(Приложение 6 к муниципальной программе)</t>
  </si>
  <si>
    <t>Основное мероприятие F2 «Формирование комфортной городской среды»</t>
  </si>
  <si>
    <t>1.21.</t>
  </si>
  <si>
    <r>
      <t xml:space="preserve">Мероприятие 01.27
</t>
    </r>
    <r>
      <rPr>
        <sz val="10"/>
        <rFont val="Times New Roman"/>
        <family val="1"/>
        <charset val="204"/>
      </rPr>
      <t>Размещение общественных туалетов нестационарного типа на территориях общего пользования</t>
    </r>
  </si>
  <si>
    <t>Соответствие нормативу обеспеченности парками культуры и отдыха;
 Увеличение числа посетителей парков культуры и отдыха
(Приложение 6 к муниципальной программе)</t>
  </si>
  <si>
    <t>Количество отремонтированных подъездов МКД
(Приложение 6 к муниципальной программе)</t>
  </si>
  <si>
    <t>ИТОГО по подпрограмме "Благоустройство территорий"</t>
  </si>
  <si>
    <t>Количество территорий общего пользования, связанных с функционированием МЦД
(Приложение 6 к муниципальной программе)</t>
  </si>
  <si>
    <t>Количество благоустроенных дворовых территорий (Приложение 1 к муниципальной программе)</t>
  </si>
  <si>
    <r>
      <t xml:space="preserve">Мероприятие 01.28
</t>
    </r>
    <r>
      <rPr>
        <sz val="10"/>
        <rFont val="Times New Roman"/>
        <family val="1"/>
        <charset val="204"/>
      </rPr>
      <t>Создание сезонных ледяных катков</t>
    </r>
  </si>
  <si>
    <t>1.22.</t>
  </si>
  <si>
    <t>2020-2021</t>
  </si>
  <si>
    <t>1.23.</t>
  </si>
  <si>
    <r>
      <t xml:space="preserve">Мероприятие 01.30
</t>
    </r>
    <r>
      <rPr>
        <sz val="10"/>
        <rFont val="Times New Roman"/>
        <family val="1"/>
        <charset val="204"/>
      </rPr>
      <t>Устройство систем наружного освещения в рамках реализации проекта «Светлый город»</t>
    </r>
  </si>
  <si>
    <t>2022-2024</t>
  </si>
  <si>
    <t>1.24.</t>
  </si>
  <si>
    <r>
      <t xml:space="preserve">Мероприятие 01.35
</t>
    </r>
    <r>
      <rPr>
        <sz val="10"/>
        <rFont val="Times New Roman"/>
        <family val="1"/>
        <charset val="204"/>
      </rPr>
  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  </r>
  </si>
  <si>
    <t>1.25.</t>
  </si>
  <si>
    <r>
      <t xml:space="preserve">Мероприятие 01.36
</t>
    </r>
    <r>
      <rPr>
        <sz val="10"/>
        <rFont val="Times New Roman"/>
        <family val="1"/>
        <charset val="204"/>
      </rPr>
  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 за счет средств местного бюджета</t>
    </r>
  </si>
  <si>
    <t>1.27.</t>
  </si>
  <si>
    <r>
      <t xml:space="preserve">Мероприятие 01.37
</t>
    </r>
    <r>
      <rPr>
        <sz val="10"/>
        <rFont val="Times New Roman"/>
        <family val="1"/>
        <charset val="204"/>
      </rPr>
      <t>Благоустройство лесопарковых зон</t>
    </r>
  </si>
  <si>
    <t>1.28.</t>
  </si>
  <si>
    <r>
      <t xml:space="preserve">Мероприятие 01.38
</t>
    </r>
    <r>
      <rPr>
        <sz val="10"/>
        <rFont val="Times New Roman"/>
        <family val="1"/>
        <charset val="204"/>
      </rPr>
      <t>Обустройство пляжей</t>
    </r>
  </si>
  <si>
    <t>Управление благоустройства Администрации Одинцовского городского округа;
Комитет по культуре Администрации Одинцовского городского округа</t>
  </si>
  <si>
    <t>1.29.</t>
  </si>
  <si>
    <r>
      <t xml:space="preserve">Мероприятие 01.39
</t>
    </r>
    <r>
      <rPr>
        <sz val="10"/>
        <rFont val="Times New Roman"/>
        <family val="1"/>
        <charset val="204"/>
      </rPr>
      <t>Обустройство и установка детских, игровых площадок на территории муниципальных образований Московской области</t>
    </r>
  </si>
  <si>
    <t>1.30.</t>
  </si>
  <si>
    <r>
      <t xml:space="preserve">Мероприятие 01.40
</t>
    </r>
    <r>
      <rPr>
        <sz val="10"/>
        <rFont val="Times New Roman"/>
        <family val="1"/>
        <charset val="204"/>
      </rPr>
      <t>Замена и модернизация детских игровых площадок</t>
    </r>
  </si>
  <si>
    <t>1.31.</t>
  </si>
  <si>
    <r>
      <t xml:space="preserve">Мероприятие 01.41
</t>
    </r>
    <r>
      <rPr>
        <sz val="10"/>
        <rFont val="Times New Roman"/>
        <family val="1"/>
        <charset val="204"/>
      </rPr>
      <t>Содержание туалетных кабин</t>
    </r>
  </si>
  <si>
    <t>1.32.</t>
  </si>
  <si>
    <r>
      <t xml:space="preserve">Мероприятие 01.42
</t>
    </r>
    <r>
      <rPr>
        <sz val="10"/>
        <rFont val="Times New Roman"/>
        <family val="1"/>
        <charset val="204"/>
      </rPr>
      <t>Содержание и ремонт водных объектов (прудов) и устройств</t>
    </r>
  </si>
  <si>
    <r>
      <t xml:space="preserve">Мероприятие 01.43
</t>
    </r>
    <r>
      <rPr>
        <sz val="10"/>
        <rFont val="Times New Roman"/>
        <family val="1"/>
        <charset val="204"/>
      </rPr>
      <t>Комплексное благоустройство территорий (создание новых элементов)</t>
    </r>
  </si>
  <si>
    <t>1.33.</t>
  </si>
  <si>
    <t>Управление благоустройства Администрации Одинцовского городского округа; 
Комитет по культуре Администрации Одинцовского городского округа</t>
  </si>
  <si>
    <r>
      <rPr>
        <b/>
        <sz val="10"/>
        <rFont val="Times New Roman"/>
        <family val="1"/>
        <charset val="204"/>
      </rPr>
      <t>Мероприятие F2.27.</t>
    </r>
    <r>
      <rPr>
        <sz val="10"/>
        <rFont val="Times New Roman"/>
        <family val="1"/>
        <charset val="204"/>
      </rPr>
      <t xml:space="preserve">
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зон для досуга и отдыха населения в парках культуры и отдыха)</t>
    </r>
  </si>
  <si>
    <r>
      <t xml:space="preserve">Мероприятие 01.10:
</t>
    </r>
    <r>
      <rPr>
        <sz val="10"/>
        <rFont val="Times New Roman"/>
        <family val="1"/>
        <charset val="204"/>
      </rPr>
      <t>Содержание и текущий ремонт покрытий</t>
    </r>
    <r>
      <rPr>
        <b/>
        <sz val="10"/>
        <rFont val="Times New Roman"/>
        <family val="1"/>
        <charset val="204"/>
      </rPr>
      <t xml:space="preserve">
</t>
    </r>
  </si>
  <si>
    <r>
      <t xml:space="preserve">Мероприятие 01.11:
</t>
    </r>
    <r>
      <rPr>
        <sz val="10"/>
        <rFont val="Times New Roman"/>
        <family val="1"/>
        <charset val="204"/>
      </rPr>
      <t xml:space="preserve">Текущий ремонт асфальтового покрытия за счет дорожного фонда
</t>
    </r>
  </si>
  <si>
    <r>
      <t xml:space="preserve">Мероприятие 01.12:
</t>
    </r>
    <r>
      <rPr>
        <sz val="10"/>
        <rFont val="Times New Roman"/>
        <family val="1"/>
        <charset val="204"/>
      </rPr>
      <t xml:space="preserve">Соответствие внешнего вида ограждений региональным требованиям
</t>
    </r>
  </si>
  <si>
    <r>
      <t xml:space="preserve">Мероприятие 01.13:
</t>
    </r>
    <r>
      <rPr>
        <sz val="10"/>
        <rFont val="Times New Roman"/>
        <family val="1"/>
        <charset val="204"/>
      </rPr>
      <t xml:space="preserve">Содержание и текущий ремонт элементов объектов благоустройства
</t>
    </r>
  </si>
  <si>
    <r>
      <t xml:space="preserve">Мероприятие 01.14:
</t>
    </r>
    <r>
      <rPr>
        <sz val="10"/>
        <rFont val="Times New Roman"/>
        <family val="1"/>
        <charset val="204"/>
      </rPr>
      <t xml:space="preserve">Озеленение территорий
</t>
    </r>
  </si>
  <si>
    <r>
      <t xml:space="preserve">Мероприятие 01.15:
</t>
    </r>
    <r>
      <rPr>
        <sz val="10"/>
        <rFont val="Times New Roman"/>
        <family val="1"/>
        <charset val="204"/>
      </rPr>
      <t xml:space="preserve">Содержание, ремонт и восстановление уличного освещения
</t>
    </r>
  </si>
  <si>
    <r>
      <t xml:space="preserve">Мероприятие 01.16:
</t>
    </r>
    <r>
      <rPr>
        <sz val="10"/>
        <rFont val="Times New Roman"/>
        <family val="1"/>
        <charset val="204"/>
      </rPr>
      <t>Замена неэнергоэффективных светильников наружного освещения</t>
    </r>
  </si>
  <si>
    <r>
      <rPr>
        <b/>
        <sz val="10"/>
        <rFont val="Times New Roman"/>
        <family val="1"/>
        <charset val="204"/>
      </rPr>
      <t>Мероприятие 01.16.</t>
    </r>
    <r>
      <rPr>
        <sz val="10"/>
        <rFont val="Times New Roman"/>
        <family val="1"/>
        <charset val="204"/>
      </rPr>
      <t xml:space="preserve">
Благоустройство дворовых территорий (создание новых элементов)
</t>
    </r>
  </si>
  <si>
    <t>Замена детских игровых площадок</t>
  </si>
  <si>
    <r>
      <t xml:space="preserve">Мероприятие 01.44
</t>
    </r>
    <r>
      <rPr>
        <sz val="10"/>
        <rFont val="Times New Roman"/>
        <family val="1"/>
        <charset val="204"/>
      </rPr>
  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  </r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</si>
  <si>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</t>
  </si>
  <si>
    <t xml:space="preserve">Количество благоустроенных общественных территорий, реализованных без привлечения средств федерального бюджета и бюджета Московской области.
Количество разработанных проектов благоустройства общественных территорий
</t>
  </si>
  <si>
    <t>Количество благоустроенных общественных территорий
(Приложение 6 к муниципальной программе / Приложение 7 к муниципальной программе)</t>
  </si>
  <si>
    <t>Количество благоустроенных общественных территорий;
 Количество разработанных проектов благоустройства общественных территорий
(Приложение 6 к муниципальной программе / Приложение 7 к муниципальной программе)</t>
  </si>
  <si>
    <t>Количество благоустроенных дворовых территорий 
(Приложение 6 к муниципальной программе / Приложение 7 к муниципальной программе)</t>
  </si>
  <si>
    <t>Количество замененных неэнергоэффективных светильников наружного освещения</t>
  </si>
  <si>
    <t>Замена детских игровых площадок (МБУ/МАУ)</t>
  </si>
  <si>
    <t>Содержание территорий общего пользования</t>
  </si>
  <si>
    <t>Количество установленных детских игровых площадок
(Приложение 6 к муниципальной программе / Приложение 7 к муниципальной программе)</t>
  </si>
  <si>
    <t>Количество парков культуры и отдыха на территории Московской области, в которых благоустроены зоны для досуга и отдыха населения</t>
  </si>
  <si>
    <r>
      <rPr>
        <b/>
        <sz val="10"/>
        <rFont val="Times New Roman"/>
        <family val="1"/>
        <charset val="204"/>
      </rPr>
      <t xml:space="preserve">Мероприятие 01.05. </t>
    </r>
    <r>
      <rPr>
        <sz val="10"/>
        <rFont val="Times New Roman"/>
        <family val="1"/>
        <charset val="204"/>
      </rPr>
      <t xml:space="preserve">
Организация</t>
    </r>
    <r>
      <rPr>
        <u val="double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общественных работ, субботников</t>
    </r>
  </si>
  <si>
    <r>
      <rPr>
        <b/>
        <sz val="10"/>
        <rFont val="Times New Roman"/>
        <family val="1"/>
        <charset val="204"/>
      </rPr>
      <t>Мероприятие 01.08.</t>
    </r>
    <r>
      <rPr>
        <sz val="10"/>
        <rFont val="Times New Roman"/>
        <family val="1"/>
        <charset val="204"/>
      </rPr>
      <t xml:space="preserve">
Финансовое обеспечение (оказание услуг) муниципальных казенных учреждений в сфере благоустройства</t>
    </r>
  </si>
  <si>
    <t>Количество объектов систем наружного освещения на которых реализованы мероприятия по устройству и капитальному ремонту
(Приложение 6 к муниципальной программе)</t>
  </si>
  <si>
    <t xml:space="preserve">Управление благоустройства Администрации Одинцовского городского округа;
</t>
  </si>
  <si>
    <t>Подпрограмма "Комфортная городская среда"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</si>
  <si>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</si>
  <si>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</si>
  <si>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</si>
  <si>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</si>
  <si>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</si>
  <si>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</si>
  <si>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</si>
  <si>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</si>
  <si>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</si>
  <si>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</si>
  <si>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</si>
  <si>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</si>
  <si>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</si>
  <si>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</si>
  <si>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</si>
  <si>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</si>
  <si>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</si>
  <si>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</si>
  <si>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r>
      <rPr>
        <b/>
        <sz val="10"/>
        <rFont val="Times New Roman"/>
        <family val="1"/>
        <charset val="204"/>
      </rPr>
      <t xml:space="preserve">Мероприятие 01.20
</t>
    </r>
    <r>
      <rPr>
        <sz val="10"/>
        <rFont val="Times New Roman"/>
        <family val="1"/>
        <charset val="204"/>
      </rPr>
      <t>Ямочный ремонт асфальтового покрытия дворовых территорий</t>
    </r>
  </si>
  <si>
    <r>
      <rPr>
        <b/>
        <sz val="10"/>
        <rFont val="Times New Roman"/>
        <family val="1"/>
        <charset val="204"/>
      </rPr>
      <t xml:space="preserve">Мероприятие 01.21
</t>
    </r>
    <r>
      <rPr>
        <sz val="10"/>
        <rFont val="Times New Roman"/>
        <family val="1"/>
        <charset val="204"/>
      </rPr>
      <t>Создание и ремонт пешеходных коммуникаций</t>
    </r>
  </si>
  <si>
    <r>
      <rPr>
        <b/>
        <sz val="10"/>
        <rFont val="Times New Roman"/>
        <family val="1"/>
        <charset val="204"/>
      </rPr>
      <t>Мероприятие 01.22</t>
    </r>
    <r>
      <rPr>
        <sz val="10"/>
        <rFont val="Times New Roman"/>
        <family val="1"/>
        <charset val="204"/>
      </rPr>
      <t xml:space="preserve">
Ликвидация несанкционированных навалов мусора </t>
    </r>
  </si>
  <si>
    <t xml:space="preserve">Управление благоустройства Администрации Одинцовского городского округа
</t>
  </si>
  <si>
    <r>
      <rPr>
        <b/>
        <sz val="10"/>
        <rFont val="Times New Roman"/>
        <family val="1"/>
        <charset val="204"/>
      </rPr>
      <t>Мероприятие F2.01</t>
    </r>
    <r>
      <rPr>
        <sz val="10"/>
        <rFont val="Times New Roman"/>
        <family val="1"/>
        <charset val="204"/>
      </rPr>
      <t xml:space="preserve">
Ремонт дворовых территорий</t>
    </r>
  </si>
  <si>
    <t>2.1</t>
  </si>
  <si>
    <r>
      <t xml:space="preserve">Мероприятие 01.19
</t>
    </r>
    <r>
      <rPr>
        <sz val="10"/>
        <rFont val="Times New Roman"/>
        <family val="1"/>
        <charset val="204"/>
      </rPr>
      <t>Содержание и ремонт водных объектов (прудов) и устройств</t>
    </r>
  </si>
  <si>
    <r>
      <t xml:space="preserve">Мероприятие 01.18
</t>
    </r>
    <r>
      <rPr>
        <sz val="10"/>
        <rFont val="Times New Roman"/>
        <family val="1"/>
        <charset val="204"/>
      </rPr>
      <t>Содержание туалетных кабин</t>
    </r>
  </si>
  <si>
    <r>
      <t xml:space="preserve">Мероприятие 01.17
</t>
    </r>
    <r>
      <rPr>
        <sz val="10"/>
        <rFont val="Times New Roman"/>
        <family val="1"/>
        <charset val="204"/>
      </rPr>
      <t>Замена и модернизация детских игровых площадок</t>
    </r>
  </si>
  <si>
    <t>Подпрограмма "Обеспечивающая подпрограмма"</t>
  </si>
  <si>
    <t>Основное мероприятие 01
"Создание условий для реализации полномочий органов местного самоуправления"</t>
  </si>
  <si>
    <t>Мероприятие 01.15
Создание административных комиссий, уполномоченных рассматривать дела об административных правонарушениях в сфере благоустройства</t>
  </si>
  <si>
    <t>ИТОГО по подпрограмме "Обеспечивающая подпрограмма"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</si>
  <si>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муниципальном образовании, на территории которых реализуются проекты по созданию комфортной городской среды</t>
  </si>
  <si>
    <t>Количество объектов благоустройства, в отношении которых проведены мероприятия по благоустройству, вне реализации национальных и федеральных проектов 
(Приложение 6 к муниципальной программе / Приложение 7 к муниципальной программе)</t>
  </si>
  <si>
    <t>Количество благоустроенных с привлечением субсидии пешеходных коммуникаций с твердым (асфальтовым) покрытием
(Приложение 6 к муниципальной программе / Приложение 7 к муниципальной программе)</t>
  </si>
  <si>
    <t>1.20</t>
  </si>
  <si>
    <t>1.21</t>
  </si>
  <si>
    <t>1.19</t>
  </si>
  <si>
    <t>Количество благоустроенных общественных территорий;
Увеличение числа посетителей парков культуры и отдыха
(Приложение 6 к муниципальной программе)</t>
  </si>
  <si>
    <t>Приложение 4
к муниципальной программе</t>
  </si>
  <si>
    <t>Обеспечение деятельности административных комиссий</t>
  </si>
  <si>
    <t>1.22</t>
  </si>
  <si>
    <r>
      <rPr>
        <b/>
        <sz val="10"/>
        <rFont val="Times New Roman"/>
        <family val="1"/>
        <charset val="204"/>
      </rPr>
      <t>Мероприятие 01.23.</t>
    </r>
    <r>
      <rPr>
        <sz val="10"/>
        <rFont val="Times New Roman"/>
        <family val="1"/>
        <charset val="204"/>
      </rPr>
      <t xml:space="preserve">
Устройство контейнерных площадок</t>
    </r>
  </si>
  <si>
    <t>Количество объектов систем наружного освещения, в отношении  которых реализованы мероприятия по устройству</t>
  </si>
  <si>
    <t>Количество общественных туалетов нестационарного типа, размещенных с использованием средств субсидии из бюджета Московской области бюджетам муниципальных образований Московской области на размещение общественных туалетов нестационарного типа на территориях общего пользования
(Приложение 6 к муниципальной программе)</t>
  </si>
  <si>
    <t>Количество объектов систем наружного освещения на которых реализованы мероприятия по устройству
(Приложение 6 к муниципальной программе)</t>
  </si>
  <si>
    <t>Количество территорий общего пользования, связанных с функционированием МЦД</t>
  </si>
  <si>
    <r>
      <t>Соответствие внешнего вида ограждений региональным требованиям.
Количество объектов, в отношении которых реализованы мероприятия по устройству архитектурно-художественного освещения.
(Приложение 6 к муниципальной программе</t>
    </r>
    <r>
      <rPr>
        <u val="double"/>
        <sz val="10"/>
        <rFont val="Times New Roman"/>
        <family val="1"/>
        <charset val="204"/>
      </rPr>
      <t>)</t>
    </r>
  </si>
  <si>
    <t>Количество сезонных ледяных катков, созданных с использованием средств субсидии  из бюджета Московской области бюджетам муниципальных образований Московской области на создание сезонных ледяных катков;
 Увеличение числа посетителей парков культуры и отдыха
(Приложение 6 к муниципальной программе)</t>
  </si>
  <si>
    <t>Количество благоустроенных общественных территорий, реализованных без привлечения средств федерального бюджета и бюджета Московской области.</t>
  </si>
  <si>
    <t>Ежегодное увеличение количества установленных камер видеонаблюдения в подъездах МКД</t>
  </si>
  <si>
    <t>Количество объектов систем наружного освещения на которых реализованы мероприятия по устройству (Приложение 6  к муниципальной программе / Приложение 7 к муниципальной программе)</t>
  </si>
  <si>
    <t>Количество благоустроенных дворовых территорий 
(Приложение 6 к муниципальной программе)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</si>
</sst>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u val="double"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Fill="1"/>
    <xf numFmtId="165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4" fontId="3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2"/>
  <sheetViews>
    <sheetView tabSelected="1" zoomScale="130" zoomScaleNormal="130" workbookViewId="0">
      <selection activeCell="G2" sqref="G2"/>
    </sheetView>
  </sheetViews>
  <sheetFormatPr defaultRowHeight="12.75" x14ac:dyDescent="0.2"/>
  <cols>
    <col min="1" max="1" width="9.28515625" style="1" customWidth="1"/>
    <col min="2" max="2" width="22.140625" style="1" customWidth="1"/>
    <col min="3" max="3" width="11.7109375" style="1" customWidth="1"/>
    <col min="4" max="4" width="17.140625" style="1" customWidth="1"/>
    <col min="5" max="5" width="15.85546875" style="1" customWidth="1"/>
    <col min="6" max="9" width="15.5703125" style="1" customWidth="1"/>
    <col min="10" max="10" width="14.140625" style="1" customWidth="1"/>
    <col min="11" max="11" width="15.7109375" style="1" customWidth="1"/>
    <col min="12" max="12" width="22.7109375" style="1" customWidth="1"/>
    <col min="13" max="16384" width="9.140625" style="1"/>
  </cols>
  <sheetData>
    <row r="1" spans="1:12" ht="22.5" customHeight="1" x14ac:dyDescent="0.2">
      <c r="J1" s="47"/>
      <c r="K1" s="48"/>
      <c r="L1" s="48"/>
    </row>
    <row r="2" spans="1:12" ht="64.5" customHeight="1" x14ac:dyDescent="0.3">
      <c r="J2" s="68" t="s">
        <v>221</v>
      </c>
      <c r="K2" s="69"/>
      <c r="L2" s="69"/>
    </row>
    <row r="4" spans="1:12" ht="38.25" customHeight="1" x14ac:dyDescent="0.2">
      <c r="A4" s="71" t="s">
        <v>45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6" spans="1:12" ht="35.25" customHeight="1" x14ac:dyDescent="0.2">
      <c r="A6" s="38" t="s">
        <v>20</v>
      </c>
      <c r="B6" s="34" t="s">
        <v>16</v>
      </c>
      <c r="C6" s="34" t="s">
        <v>17</v>
      </c>
      <c r="D6" s="34" t="s">
        <v>3</v>
      </c>
      <c r="E6" s="34" t="s">
        <v>35</v>
      </c>
      <c r="F6" s="34" t="s">
        <v>21</v>
      </c>
      <c r="G6" s="34"/>
      <c r="H6" s="34"/>
      <c r="I6" s="34"/>
      <c r="J6" s="34"/>
      <c r="K6" s="34" t="s">
        <v>18</v>
      </c>
      <c r="L6" s="34" t="s">
        <v>68</v>
      </c>
    </row>
    <row r="7" spans="1:12" ht="42" customHeight="1" x14ac:dyDescent="0.2">
      <c r="A7" s="72"/>
      <c r="B7" s="34"/>
      <c r="C7" s="34"/>
      <c r="D7" s="34"/>
      <c r="E7" s="31"/>
      <c r="F7" s="22" t="s">
        <v>22</v>
      </c>
      <c r="G7" s="22" t="s">
        <v>23</v>
      </c>
      <c r="H7" s="22" t="s">
        <v>24</v>
      </c>
      <c r="I7" s="22" t="s">
        <v>25</v>
      </c>
      <c r="J7" s="22" t="s">
        <v>26</v>
      </c>
      <c r="K7" s="34"/>
      <c r="L7" s="34"/>
    </row>
    <row r="8" spans="1:12" x14ac:dyDescent="0.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18.75" customHeight="1" x14ac:dyDescent="0.2">
      <c r="A9" s="70" t="s">
        <v>182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s="11" customFormat="1" ht="12.75" customHeight="1" x14ac:dyDescent="0.2">
      <c r="A10" s="46" t="s">
        <v>4</v>
      </c>
      <c r="B10" s="32" t="s">
        <v>40</v>
      </c>
      <c r="C10" s="29" t="s">
        <v>9</v>
      </c>
      <c r="D10" s="25" t="s">
        <v>1</v>
      </c>
      <c r="E10" s="10">
        <f t="shared" ref="E10:J10" si="0">SUM(E11:E14)</f>
        <v>1747371.304513</v>
      </c>
      <c r="F10" s="10">
        <f t="shared" si="0"/>
        <v>10994.046859999999</v>
      </c>
      <c r="G10" s="10">
        <f t="shared" si="0"/>
        <v>738270.95078000007</v>
      </c>
      <c r="H10" s="10">
        <f t="shared" si="0"/>
        <v>842221.71687299991</v>
      </c>
      <c r="I10" s="10">
        <f t="shared" si="0"/>
        <v>54639.91</v>
      </c>
      <c r="J10" s="10">
        <f t="shared" si="0"/>
        <v>101244.68</v>
      </c>
      <c r="K10" s="33" t="s">
        <v>34</v>
      </c>
      <c r="L10" s="29"/>
    </row>
    <row r="11" spans="1:12" s="11" customFormat="1" ht="43.5" customHeight="1" x14ac:dyDescent="0.2">
      <c r="A11" s="46"/>
      <c r="B11" s="64"/>
      <c r="C11" s="29"/>
      <c r="D11" s="25" t="s">
        <v>19</v>
      </c>
      <c r="E11" s="10">
        <f>SUM(F11:J11)</f>
        <v>0</v>
      </c>
      <c r="F11" s="10">
        <f>F16++F21+F26+F40+F45+F50+F55+F60+F65+F70+F75+F80+F85+F90+F101+F106+F111+F116+F121+F126+F131</f>
        <v>0</v>
      </c>
      <c r="G11" s="10">
        <f t="shared" ref="G11:J11" si="1">G16++G21+G26+G40+G45+G50+G55+G60+G65+G70+G75+G80+G85+G90+G101+G106+G111+G116+G121+G126+G131</f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33"/>
      <c r="L11" s="29"/>
    </row>
    <row r="12" spans="1:12" s="11" customFormat="1" ht="60.75" customHeight="1" x14ac:dyDescent="0.2">
      <c r="A12" s="46"/>
      <c r="B12" s="64"/>
      <c r="C12" s="29"/>
      <c r="D12" s="25" t="s">
        <v>0</v>
      </c>
      <c r="E12" s="10">
        <f>SUM(F12:J12)</f>
        <v>301852.80000000005</v>
      </c>
      <c r="F12" s="10">
        <f>F17++F22+F27+F41+F46+F51+F56+F61+F66+F71+F76+F81+F86+F91+F102+F107+F112+F117+F122+F127+F132</f>
        <v>0</v>
      </c>
      <c r="G12" s="10">
        <f t="shared" ref="G12:J12" si="2">G17++G22+G27+G41+G46+G51+G56+G61+G66+G71+G76+G81+G86+G91+G102+G107+G112+G117+G122+G127+G132</f>
        <v>269494.04000000004</v>
      </c>
      <c r="H12" s="10">
        <f t="shared" si="2"/>
        <v>18431.98</v>
      </c>
      <c r="I12" s="10">
        <f t="shared" si="2"/>
        <v>0</v>
      </c>
      <c r="J12" s="10">
        <f t="shared" si="2"/>
        <v>13926.78</v>
      </c>
      <c r="K12" s="33"/>
      <c r="L12" s="29"/>
    </row>
    <row r="13" spans="1:12" s="11" customFormat="1" ht="69" customHeight="1" x14ac:dyDescent="0.2">
      <c r="A13" s="46"/>
      <c r="B13" s="64"/>
      <c r="C13" s="29"/>
      <c r="D13" s="25" t="s">
        <v>27</v>
      </c>
      <c r="E13" s="10">
        <f>SUM(F13:J13)</f>
        <v>1444018.5045129999</v>
      </c>
      <c r="F13" s="10">
        <f>F18+F23+F28+F30+F31+F32+F33+F34+F35+F37+F42+F47+F52+F57+F62+F67+F72+F77+F82+F87+F92+F95+F98+F103+F108+F113+F118+F123+F128+F133+F136</f>
        <v>10994.046859999999</v>
      </c>
      <c r="G13" s="10">
        <f t="shared" ref="G13:J13" si="3">G18+G23+G28+G30+G31+G32+G33+G34+G35+G37+G42+G47+G52+G57+G62+G67+G72+G77+G82+G87+G92+G95+G98+G103+G108+G113+G118+G123+G128+G133+G136</f>
        <v>468776.91078000003</v>
      </c>
      <c r="H13" s="10">
        <f t="shared" si="3"/>
        <v>822289.73687299993</v>
      </c>
      <c r="I13" s="10">
        <f t="shared" si="3"/>
        <v>54639.91</v>
      </c>
      <c r="J13" s="10">
        <f t="shared" si="3"/>
        <v>87317.9</v>
      </c>
      <c r="K13" s="33"/>
      <c r="L13" s="29"/>
    </row>
    <row r="14" spans="1:12" s="11" customFormat="1" ht="33" customHeight="1" x14ac:dyDescent="0.2">
      <c r="A14" s="46"/>
      <c r="B14" s="64"/>
      <c r="C14" s="29"/>
      <c r="D14" s="25" t="s">
        <v>2</v>
      </c>
      <c r="E14" s="10">
        <f>SUM(F14:J14)</f>
        <v>1500</v>
      </c>
      <c r="F14" s="10">
        <f>F19+F24+F29+F38+F43+F48+F53+F58+F63+F68+F73+F78+F83+F88+F93+F96+F99+F104+F109+F114+F119+F124+F129+F134+F137</f>
        <v>0</v>
      </c>
      <c r="G14" s="10">
        <f t="shared" ref="G14:J14" si="4">G19+G24+G29+G38+G43+G48+G53+G58+G63+G68+G73+G78+G83+G88+G93+G96+G99+G104+G109+G114+G119+G124+G129+G134+G137</f>
        <v>0</v>
      </c>
      <c r="H14" s="10">
        <f t="shared" si="4"/>
        <v>1500</v>
      </c>
      <c r="I14" s="10">
        <f t="shared" si="4"/>
        <v>0</v>
      </c>
      <c r="J14" s="10">
        <f t="shared" si="4"/>
        <v>0</v>
      </c>
      <c r="K14" s="33"/>
      <c r="L14" s="29"/>
    </row>
    <row r="15" spans="1:12" ht="12.75" customHeight="1" x14ac:dyDescent="0.2">
      <c r="A15" s="60" t="s">
        <v>5</v>
      </c>
      <c r="B15" s="36" t="s">
        <v>71</v>
      </c>
      <c r="C15" s="34" t="s">
        <v>133</v>
      </c>
      <c r="D15" s="23" t="s">
        <v>1</v>
      </c>
      <c r="E15" s="12">
        <f t="shared" ref="E15:J15" si="5">SUM(E16:E19)</f>
        <v>3198</v>
      </c>
      <c r="F15" s="12">
        <f t="shared" si="5"/>
        <v>0</v>
      </c>
      <c r="G15" s="12">
        <f t="shared" si="5"/>
        <v>3198</v>
      </c>
      <c r="H15" s="12">
        <f t="shared" si="5"/>
        <v>0</v>
      </c>
      <c r="I15" s="12">
        <f t="shared" si="5"/>
        <v>0</v>
      </c>
      <c r="J15" s="12">
        <f t="shared" si="5"/>
        <v>0</v>
      </c>
      <c r="K15" s="38" t="s">
        <v>34</v>
      </c>
      <c r="L15" s="34" t="s">
        <v>214</v>
      </c>
    </row>
    <row r="16" spans="1:12" ht="42.75" customHeight="1" x14ac:dyDescent="0.2">
      <c r="A16" s="31"/>
      <c r="B16" s="37"/>
      <c r="C16" s="34"/>
      <c r="D16" s="23" t="s">
        <v>19</v>
      </c>
      <c r="E16" s="12">
        <f>SUM(F16:J16)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/>
      <c r="L16" s="34"/>
    </row>
    <row r="17" spans="1:12" ht="53.25" customHeight="1" x14ac:dyDescent="0.2">
      <c r="A17" s="31"/>
      <c r="B17" s="37"/>
      <c r="C17" s="34"/>
      <c r="D17" s="23" t="s">
        <v>0</v>
      </c>
      <c r="E17" s="12">
        <f>SUM(F17:J17)</f>
        <v>1987.1</v>
      </c>
      <c r="F17" s="12">
        <v>0</v>
      </c>
      <c r="G17" s="12">
        <v>1987.1</v>
      </c>
      <c r="H17" s="12">
        <v>0</v>
      </c>
      <c r="I17" s="12">
        <v>0</v>
      </c>
      <c r="J17" s="12">
        <v>0</v>
      </c>
      <c r="K17" s="38"/>
      <c r="L17" s="34"/>
    </row>
    <row r="18" spans="1:12" ht="70.5" customHeight="1" x14ac:dyDescent="0.2">
      <c r="A18" s="31"/>
      <c r="B18" s="37"/>
      <c r="C18" s="34"/>
      <c r="D18" s="23" t="s">
        <v>27</v>
      </c>
      <c r="E18" s="12">
        <f>SUM(F18:J18)</f>
        <v>1210.9000000000001</v>
      </c>
      <c r="F18" s="12">
        <v>0</v>
      </c>
      <c r="G18" s="12">
        <f>1192.26+18.64</f>
        <v>1210.9000000000001</v>
      </c>
      <c r="H18" s="12">
        <v>0</v>
      </c>
      <c r="I18" s="12">
        <v>0</v>
      </c>
      <c r="J18" s="12">
        <v>0</v>
      </c>
      <c r="K18" s="38"/>
      <c r="L18" s="34"/>
    </row>
    <row r="19" spans="1:12" ht="29.25" customHeight="1" x14ac:dyDescent="0.2">
      <c r="A19" s="31"/>
      <c r="B19" s="37"/>
      <c r="C19" s="34"/>
      <c r="D19" s="23" t="s">
        <v>2</v>
      </c>
      <c r="E19" s="12">
        <f>SUM(F19:J19)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/>
      <c r="L19" s="34"/>
    </row>
    <row r="20" spans="1:12" ht="12.75" customHeight="1" x14ac:dyDescent="0.2">
      <c r="A20" s="60" t="s">
        <v>6</v>
      </c>
      <c r="B20" s="36" t="s">
        <v>72</v>
      </c>
      <c r="C20" s="34" t="s">
        <v>133</v>
      </c>
      <c r="D20" s="23" t="s">
        <v>1</v>
      </c>
      <c r="E20" s="12">
        <f t="shared" ref="E20:J20" si="6">SUM(E21:E24)</f>
        <v>15330.97207</v>
      </c>
      <c r="F20" s="12">
        <f t="shared" si="6"/>
        <v>0</v>
      </c>
      <c r="G20" s="12">
        <f t="shared" si="6"/>
        <v>15330.97207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38" t="s">
        <v>30</v>
      </c>
      <c r="L20" s="34" t="s">
        <v>168</v>
      </c>
    </row>
    <row r="21" spans="1:12" ht="46.5" customHeight="1" x14ac:dyDescent="0.2">
      <c r="A21" s="31"/>
      <c r="B21" s="37"/>
      <c r="C21" s="34"/>
      <c r="D21" s="23" t="s">
        <v>19</v>
      </c>
      <c r="E21" s="12">
        <f t="shared" ref="E21:E24" si="7">SUM(F21:J21)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/>
      <c r="L21" s="34"/>
    </row>
    <row r="22" spans="1:12" ht="54.75" customHeight="1" x14ac:dyDescent="0.2">
      <c r="A22" s="31"/>
      <c r="B22" s="37"/>
      <c r="C22" s="34"/>
      <c r="D22" s="23" t="s">
        <v>0</v>
      </c>
      <c r="E22" s="12">
        <f t="shared" si="7"/>
        <v>5396.54</v>
      </c>
      <c r="F22" s="12">
        <v>0</v>
      </c>
      <c r="G22" s="12">
        <v>5396.54</v>
      </c>
      <c r="H22" s="12">
        <v>0</v>
      </c>
      <c r="I22" s="12">
        <v>0</v>
      </c>
      <c r="J22" s="12">
        <v>0</v>
      </c>
      <c r="K22" s="38"/>
      <c r="L22" s="34"/>
    </row>
    <row r="23" spans="1:12" ht="70.5" customHeight="1" x14ac:dyDescent="0.2">
      <c r="A23" s="31"/>
      <c r="B23" s="37"/>
      <c r="C23" s="34"/>
      <c r="D23" s="23" t="s">
        <v>27</v>
      </c>
      <c r="E23" s="12">
        <f t="shared" si="7"/>
        <v>9934.4320700000007</v>
      </c>
      <c r="F23" s="12">
        <v>0</v>
      </c>
      <c r="G23" s="12">
        <f>6696.50921+3237.92286</f>
        <v>9934.4320700000007</v>
      </c>
      <c r="H23" s="12">
        <v>0</v>
      </c>
      <c r="I23" s="12">
        <v>0</v>
      </c>
      <c r="J23" s="12">
        <v>0</v>
      </c>
      <c r="K23" s="38"/>
      <c r="L23" s="34"/>
    </row>
    <row r="24" spans="1:12" ht="35.25" customHeight="1" x14ac:dyDescent="0.2">
      <c r="A24" s="31"/>
      <c r="B24" s="37"/>
      <c r="C24" s="34"/>
      <c r="D24" s="23" t="s">
        <v>2</v>
      </c>
      <c r="E24" s="12">
        <f t="shared" si="7"/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38"/>
      <c r="L24" s="34"/>
    </row>
    <row r="25" spans="1:12" ht="12.75" customHeight="1" x14ac:dyDescent="0.2">
      <c r="A25" s="60" t="s">
        <v>10</v>
      </c>
      <c r="B25" s="36" t="s">
        <v>73</v>
      </c>
      <c r="C25" s="34" t="s">
        <v>133</v>
      </c>
      <c r="D25" s="23" t="s">
        <v>1</v>
      </c>
      <c r="E25" s="12">
        <f t="shared" ref="E25:J25" si="8">SUM(E26:E29)</f>
        <v>30843.856230000001</v>
      </c>
      <c r="F25" s="12">
        <f t="shared" si="8"/>
        <v>178.81324000000001</v>
      </c>
      <c r="G25" s="12">
        <f t="shared" si="8"/>
        <v>30665.042990000002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38" t="s">
        <v>67</v>
      </c>
      <c r="L25" s="34" t="s">
        <v>114</v>
      </c>
    </row>
    <row r="26" spans="1:12" ht="46.5" customHeight="1" x14ac:dyDescent="0.2">
      <c r="A26" s="31"/>
      <c r="B26" s="37"/>
      <c r="C26" s="34"/>
      <c r="D26" s="23" t="s">
        <v>19</v>
      </c>
      <c r="E26" s="12">
        <f t="shared" ref="E26:E35" si="9">SUM(F26:J26)</f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38"/>
      <c r="L26" s="34"/>
    </row>
    <row r="27" spans="1:12" ht="54.75" customHeight="1" x14ac:dyDescent="0.2">
      <c r="A27" s="31"/>
      <c r="B27" s="37"/>
      <c r="C27" s="34"/>
      <c r="D27" s="23" t="s">
        <v>0</v>
      </c>
      <c r="E27" s="12">
        <f t="shared" si="9"/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38"/>
      <c r="L27" s="34"/>
    </row>
    <row r="28" spans="1:12" ht="50.25" customHeight="1" x14ac:dyDescent="0.2">
      <c r="A28" s="31"/>
      <c r="B28" s="37"/>
      <c r="C28" s="34"/>
      <c r="D28" s="23" t="s">
        <v>27</v>
      </c>
      <c r="E28" s="12">
        <f>SUM(F28:J28)</f>
        <v>30843.856230000001</v>
      </c>
      <c r="F28" s="12">
        <v>178.81324000000001</v>
      </c>
      <c r="G28" s="12">
        <f>40856-1429.42006-8064.47572-697.06123</f>
        <v>30665.042990000002</v>
      </c>
      <c r="H28" s="12">
        <v>0</v>
      </c>
      <c r="I28" s="12">
        <v>0</v>
      </c>
      <c r="J28" s="12">
        <v>0</v>
      </c>
      <c r="K28" s="38"/>
      <c r="L28" s="34"/>
    </row>
    <row r="29" spans="1:12" ht="35.25" customHeight="1" x14ac:dyDescent="0.2">
      <c r="A29" s="31"/>
      <c r="B29" s="37"/>
      <c r="C29" s="34"/>
      <c r="D29" s="23" t="s">
        <v>2</v>
      </c>
      <c r="E29" s="12">
        <f t="shared" si="9"/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38"/>
      <c r="L29" s="34"/>
    </row>
    <row r="30" spans="1:12" ht="172.5" customHeight="1" x14ac:dyDescent="0.2">
      <c r="A30" s="26" t="s">
        <v>11</v>
      </c>
      <c r="B30" s="23" t="s">
        <v>74</v>
      </c>
      <c r="C30" s="22" t="s">
        <v>9</v>
      </c>
      <c r="D30" s="23" t="s">
        <v>27</v>
      </c>
      <c r="E30" s="12">
        <f t="shared" ref="E30" si="10">SUM(F30:J30)</f>
        <v>2415</v>
      </c>
      <c r="F30" s="12">
        <v>2415</v>
      </c>
      <c r="G30" s="12">
        <v>0</v>
      </c>
      <c r="H30" s="12">
        <v>0</v>
      </c>
      <c r="I30" s="12">
        <v>0</v>
      </c>
      <c r="J30" s="12">
        <v>0</v>
      </c>
      <c r="K30" s="21" t="s">
        <v>59</v>
      </c>
      <c r="L30" s="22" t="s">
        <v>31</v>
      </c>
    </row>
    <row r="31" spans="1:12" ht="172.5" customHeight="1" x14ac:dyDescent="0.2">
      <c r="A31" s="26" t="s">
        <v>12</v>
      </c>
      <c r="B31" s="23" t="s">
        <v>75</v>
      </c>
      <c r="C31" s="22" t="s">
        <v>9</v>
      </c>
      <c r="D31" s="23" t="s">
        <v>27</v>
      </c>
      <c r="E31" s="12">
        <f t="shared" si="9"/>
        <v>31000</v>
      </c>
      <c r="F31" s="12">
        <v>0</v>
      </c>
      <c r="G31" s="12">
        <v>0</v>
      </c>
      <c r="H31" s="12">
        <v>31000</v>
      </c>
      <c r="I31" s="12">
        <v>0</v>
      </c>
      <c r="J31" s="12">
        <v>0</v>
      </c>
      <c r="K31" s="21" t="s">
        <v>38</v>
      </c>
      <c r="L31" s="22" t="s">
        <v>126</v>
      </c>
    </row>
    <row r="32" spans="1:12" ht="142.5" customHeight="1" x14ac:dyDescent="0.2">
      <c r="A32" s="26" t="s">
        <v>13</v>
      </c>
      <c r="B32" s="23" t="s">
        <v>76</v>
      </c>
      <c r="C32" s="22" t="s">
        <v>9</v>
      </c>
      <c r="D32" s="23" t="s">
        <v>27</v>
      </c>
      <c r="E32" s="12">
        <f t="shared" si="9"/>
        <v>86510.213379999987</v>
      </c>
      <c r="F32" s="12">
        <v>0</v>
      </c>
      <c r="G32" s="12">
        <f>9744.668+8105.59622-511.104+1644.71061+2892.15988+466.92812</f>
        <v>22342.95883</v>
      </c>
      <c r="H32" s="12">
        <f>18983.87+1383.48689+5832.15766</f>
        <v>26199.51455</v>
      </c>
      <c r="I32" s="12">
        <v>18983.87</v>
      </c>
      <c r="J32" s="12">
        <v>18983.87</v>
      </c>
      <c r="K32" s="21" t="s">
        <v>34</v>
      </c>
      <c r="L32" s="22" t="s">
        <v>39</v>
      </c>
    </row>
    <row r="33" spans="1:12" ht="182.25" customHeight="1" x14ac:dyDescent="0.2">
      <c r="A33" s="26" t="s">
        <v>52</v>
      </c>
      <c r="B33" s="23" t="s">
        <v>117</v>
      </c>
      <c r="C33" s="22" t="s">
        <v>9</v>
      </c>
      <c r="D33" s="23" t="s">
        <v>27</v>
      </c>
      <c r="E33" s="12">
        <f t="shared" si="9"/>
        <v>35267.645519999998</v>
      </c>
      <c r="F33" s="12">
        <v>0</v>
      </c>
      <c r="G33" s="12">
        <f>12646.56741-8740.54603-1.0356</f>
        <v>3904.98578</v>
      </c>
      <c r="H33" s="12">
        <f>1889.9384+10051.8525+19420.86884</f>
        <v>31362.659739999999</v>
      </c>
      <c r="I33" s="12">
        <v>0</v>
      </c>
      <c r="J33" s="12">
        <v>0</v>
      </c>
      <c r="K33" s="21" t="s">
        <v>34</v>
      </c>
      <c r="L33" s="22" t="s">
        <v>180</v>
      </c>
    </row>
    <row r="34" spans="1:12" ht="129.75" customHeight="1" x14ac:dyDescent="0.2">
      <c r="A34" s="26" t="s">
        <v>53</v>
      </c>
      <c r="B34" s="23" t="s">
        <v>77</v>
      </c>
      <c r="C34" s="22" t="s">
        <v>9</v>
      </c>
      <c r="D34" s="23" t="s">
        <v>27</v>
      </c>
      <c r="E34" s="12">
        <f t="shared" si="9"/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21" t="s">
        <v>38</v>
      </c>
      <c r="L34" s="22" t="s">
        <v>39</v>
      </c>
    </row>
    <row r="35" spans="1:12" ht="101.25" customHeight="1" x14ac:dyDescent="0.2">
      <c r="A35" s="28" t="s">
        <v>54</v>
      </c>
      <c r="B35" s="23" t="s">
        <v>78</v>
      </c>
      <c r="C35" s="22" t="s">
        <v>133</v>
      </c>
      <c r="D35" s="23" t="s">
        <v>27</v>
      </c>
      <c r="E35" s="12">
        <f t="shared" si="9"/>
        <v>3641.7036499999999</v>
      </c>
      <c r="F35" s="12">
        <v>3641.7036499999999</v>
      </c>
      <c r="G35" s="12">
        <v>0</v>
      </c>
      <c r="H35" s="12">
        <v>0</v>
      </c>
      <c r="I35" s="12">
        <v>0</v>
      </c>
      <c r="J35" s="12">
        <v>0</v>
      </c>
      <c r="K35" s="21" t="s">
        <v>34</v>
      </c>
      <c r="L35" s="22" t="s">
        <v>61</v>
      </c>
    </row>
    <row r="36" spans="1:12" ht="42" customHeight="1" x14ac:dyDescent="0.2">
      <c r="A36" s="50" t="s">
        <v>55</v>
      </c>
      <c r="B36" s="36" t="s">
        <v>79</v>
      </c>
      <c r="C36" s="34" t="s">
        <v>133</v>
      </c>
      <c r="D36" s="23" t="s">
        <v>1</v>
      </c>
      <c r="E36" s="12">
        <f t="shared" ref="E36:J36" si="11">SUM(E37:E38)</f>
        <v>50496.531950000004</v>
      </c>
      <c r="F36" s="12">
        <f t="shared" si="11"/>
        <v>4758.5299699999996</v>
      </c>
      <c r="G36" s="12">
        <f t="shared" si="11"/>
        <v>45738.001980000001</v>
      </c>
      <c r="H36" s="12">
        <f t="shared" si="11"/>
        <v>0</v>
      </c>
      <c r="I36" s="12">
        <f t="shared" si="11"/>
        <v>0</v>
      </c>
      <c r="J36" s="12">
        <f t="shared" si="11"/>
        <v>0</v>
      </c>
      <c r="K36" s="38" t="s">
        <v>34</v>
      </c>
      <c r="L36" s="42" t="s">
        <v>122</v>
      </c>
    </row>
    <row r="37" spans="1:12" ht="70.5" customHeight="1" x14ac:dyDescent="0.2">
      <c r="A37" s="51"/>
      <c r="B37" s="37"/>
      <c r="C37" s="34"/>
      <c r="D37" s="23" t="s">
        <v>27</v>
      </c>
      <c r="E37" s="12">
        <f>SUM(F37:J37)</f>
        <v>50496.531950000004</v>
      </c>
      <c r="F37" s="12">
        <f>600+4255-96.47003</f>
        <v>4758.5299699999996</v>
      </c>
      <c r="G37" s="12">
        <f>41459.9+1887.24477+1446.8307+10000+1606.02902-2006.27709-239.61204-360.18789-6501.28365-1554.64184</f>
        <v>45738.001980000001</v>
      </c>
      <c r="H37" s="12">
        <v>0</v>
      </c>
      <c r="I37" s="12">
        <v>0</v>
      </c>
      <c r="J37" s="12">
        <v>0</v>
      </c>
      <c r="K37" s="38"/>
      <c r="L37" s="42"/>
    </row>
    <row r="38" spans="1:12" ht="78" customHeight="1" x14ac:dyDescent="0.2">
      <c r="A38" s="52"/>
      <c r="B38" s="37"/>
      <c r="C38" s="34"/>
      <c r="D38" s="23" t="s">
        <v>2</v>
      </c>
      <c r="E38" s="12">
        <f>SUM(F38:J38)</f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38"/>
      <c r="L38" s="42"/>
    </row>
    <row r="39" spans="1:12" ht="12.75" customHeight="1" x14ac:dyDescent="0.2">
      <c r="A39" s="50" t="s">
        <v>56</v>
      </c>
      <c r="B39" s="36" t="s">
        <v>165</v>
      </c>
      <c r="C39" s="34" t="s">
        <v>9</v>
      </c>
      <c r="D39" s="23" t="s">
        <v>1</v>
      </c>
      <c r="E39" s="12">
        <f t="shared" ref="E39:J39" si="12">SUM(E40:E43)</f>
        <v>207718.60982000001</v>
      </c>
      <c r="F39" s="12">
        <f t="shared" si="12"/>
        <v>0</v>
      </c>
      <c r="G39" s="12">
        <f t="shared" si="12"/>
        <v>136016.38821</v>
      </c>
      <c r="H39" s="12">
        <f t="shared" si="12"/>
        <v>1402.1116099999983</v>
      </c>
      <c r="I39" s="12">
        <f t="shared" si="12"/>
        <v>35059.040000000001</v>
      </c>
      <c r="J39" s="12">
        <f t="shared" si="12"/>
        <v>35241.07</v>
      </c>
      <c r="K39" s="38" t="s">
        <v>34</v>
      </c>
      <c r="L39" s="34" t="s">
        <v>130</v>
      </c>
    </row>
    <row r="40" spans="1:12" ht="46.5" customHeight="1" x14ac:dyDescent="0.2">
      <c r="A40" s="51"/>
      <c r="B40" s="37"/>
      <c r="C40" s="34"/>
      <c r="D40" s="23" t="s">
        <v>19</v>
      </c>
      <c r="E40" s="12">
        <f>SUM(F40:J40)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38"/>
      <c r="L40" s="34"/>
    </row>
    <row r="41" spans="1:12" ht="54.75" customHeight="1" x14ac:dyDescent="0.2">
      <c r="A41" s="51"/>
      <c r="B41" s="37"/>
      <c r="C41" s="34"/>
      <c r="D41" s="23" t="s">
        <v>0</v>
      </c>
      <c r="E41" s="12">
        <f>SUM(F41:J41)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38"/>
      <c r="L41" s="34"/>
    </row>
    <row r="42" spans="1:12" ht="70.5" customHeight="1" x14ac:dyDescent="0.2">
      <c r="A42" s="51"/>
      <c r="B42" s="37"/>
      <c r="C42" s="34"/>
      <c r="D42" s="23" t="s">
        <v>27</v>
      </c>
      <c r="E42" s="12">
        <f>SUM(F42:J42)</f>
        <v>207718.60982000001</v>
      </c>
      <c r="F42" s="12">
        <v>0</v>
      </c>
      <c r="G42" s="12">
        <f>164422.81656+94903.72964-13276.25-6315.014-1448.42-13598.97916-300-8105.59622-1878.29983-26399.86-26226.65824-1644.71061-141.1535-7196.00216-7282.35778-3999.836-599.49139-548.4621+1832.52637-4560.35224-1621.24113</f>
        <v>136016.38821</v>
      </c>
      <c r="H42" s="12">
        <f>35241.07-1889.9384-5155.2-5155.2-1080.93285-566.79835-490+7045.1384-598.60418-2969.57396-16731.44-6246.22905-0.18</f>
        <v>1402.1116099999983</v>
      </c>
      <c r="I42" s="12">
        <f>35241.07-182.03</f>
        <v>35059.040000000001</v>
      </c>
      <c r="J42" s="12">
        <v>35241.07</v>
      </c>
      <c r="K42" s="38"/>
      <c r="L42" s="34"/>
    </row>
    <row r="43" spans="1:12" ht="35.25" customHeight="1" x14ac:dyDescent="0.2">
      <c r="A43" s="52"/>
      <c r="B43" s="37"/>
      <c r="C43" s="34"/>
      <c r="D43" s="23" t="s">
        <v>2</v>
      </c>
      <c r="E43" s="12">
        <f>SUM(F43:J43)</f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38"/>
      <c r="L43" s="34"/>
    </row>
    <row r="44" spans="1:12" ht="12.75" customHeight="1" x14ac:dyDescent="0.2">
      <c r="A44" s="50" t="s">
        <v>57</v>
      </c>
      <c r="B44" s="36" t="s">
        <v>80</v>
      </c>
      <c r="C44" s="34" t="s">
        <v>9</v>
      </c>
      <c r="D44" s="23" t="s">
        <v>1</v>
      </c>
      <c r="E44" s="12">
        <f t="shared" ref="E44:J44" si="13">SUM(E45:E48)</f>
        <v>37762.571479999999</v>
      </c>
      <c r="F44" s="12">
        <f t="shared" si="13"/>
        <v>0</v>
      </c>
      <c r="G44" s="12">
        <f t="shared" si="13"/>
        <v>37762.571479999999</v>
      </c>
      <c r="H44" s="12">
        <f t="shared" si="13"/>
        <v>0</v>
      </c>
      <c r="I44" s="12">
        <f t="shared" si="13"/>
        <v>0</v>
      </c>
      <c r="J44" s="12">
        <f t="shared" si="13"/>
        <v>0</v>
      </c>
      <c r="K44" s="38" t="s">
        <v>34</v>
      </c>
      <c r="L44" s="34" t="s">
        <v>225</v>
      </c>
    </row>
    <row r="45" spans="1:12" ht="46.5" customHeight="1" x14ac:dyDescent="0.2">
      <c r="A45" s="51"/>
      <c r="B45" s="37"/>
      <c r="C45" s="34"/>
      <c r="D45" s="23" t="s">
        <v>19</v>
      </c>
      <c r="E45" s="12">
        <f>SUM(F45:J45)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38"/>
      <c r="L45" s="34"/>
    </row>
    <row r="46" spans="1:12" ht="54.75" customHeight="1" x14ac:dyDescent="0.2">
      <c r="A46" s="51"/>
      <c r="B46" s="37"/>
      <c r="C46" s="34"/>
      <c r="D46" s="23" t="s">
        <v>0</v>
      </c>
      <c r="E46" s="12">
        <f>SUM(F46:J46)</f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38"/>
      <c r="L46" s="34"/>
    </row>
    <row r="47" spans="1:12" ht="70.5" customHeight="1" x14ac:dyDescent="0.2">
      <c r="A47" s="51"/>
      <c r="B47" s="37"/>
      <c r="C47" s="34"/>
      <c r="D47" s="23" t="s">
        <v>27</v>
      </c>
      <c r="E47" s="12">
        <f>SUM(F47:J47)</f>
        <v>37762.571479999999</v>
      </c>
      <c r="F47" s="12">
        <v>0</v>
      </c>
      <c r="G47" s="12">
        <f>2944.08+18154.26153+7177.74163+7530.41825+1956.07007</f>
        <v>37762.571479999999</v>
      </c>
      <c r="H47" s="12">
        <v>0</v>
      </c>
      <c r="I47" s="12">
        <v>0</v>
      </c>
      <c r="J47" s="12">
        <v>0</v>
      </c>
      <c r="K47" s="38"/>
      <c r="L47" s="34"/>
    </row>
    <row r="48" spans="1:12" ht="35.25" customHeight="1" x14ac:dyDescent="0.2">
      <c r="A48" s="52"/>
      <c r="B48" s="37"/>
      <c r="C48" s="34"/>
      <c r="D48" s="23" t="s">
        <v>2</v>
      </c>
      <c r="E48" s="12">
        <f>SUM(F48:J48)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38"/>
      <c r="L48" s="34"/>
    </row>
    <row r="49" spans="1:12" ht="12.75" customHeight="1" x14ac:dyDescent="0.2">
      <c r="A49" s="50" t="s">
        <v>58</v>
      </c>
      <c r="B49" s="53" t="s">
        <v>121</v>
      </c>
      <c r="C49" s="34" t="s">
        <v>9</v>
      </c>
      <c r="D49" s="23" t="s">
        <v>1</v>
      </c>
      <c r="E49" s="12">
        <f t="shared" ref="E49:J49" si="14">SUM(E50:E53)</f>
        <v>1797</v>
      </c>
      <c r="F49" s="12">
        <f t="shared" si="14"/>
        <v>0</v>
      </c>
      <c r="G49" s="12">
        <f t="shared" si="14"/>
        <v>0</v>
      </c>
      <c r="H49" s="12">
        <f t="shared" si="14"/>
        <v>1797</v>
      </c>
      <c r="I49" s="12">
        <f t="shared" si="14"/>
        <v>0</v>
      </c>
      <c r="J49" s="12">
        <f t="shared" si="14"/>
        <v>0</v>
      </c>
      <c r="K49" s="38" t="s">
        <v>34</v>
      </c>
      <c r="L49" s="34" t="s">
        <v>228</v>
      </c>
    </row>
    <row r="50" spans="1:12" ht="46.5" customHeight="1" x14ac:dyDescent="0.2">
      <c r="A50" s="51"/>
      <c r="B50" s="37"/>
      <c r="C50" s="34"/>
      <c r="D50" s="23" t="s">
        <v>19</v>
      </c>
      <c r="E50" s="12">
        <f>SUM(F50:J50)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38"/>
      <c r="L50" s="34"/>
    </row>
    <row r="51" spans="1:12" ht="45.75" customHeight="1" x14ac:dyDescent="0.2">
      <c r="A51" s="51"/>
      <c r="B51" s="37"/>
      <c r="C51" s="34"/>
      <c r="D51" s="23" t="s">
        <v>0</v>
      </c>
      <c r="E51" s="12">
        <f>SUM(F51:J51)</f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38"/>
      <c r="L51" s="34"/>
    </row>
    <row r="52" spans="1:12" ht="53.25" customHeight="1" x14ac:dyDescent="0.2">
      <c r="A52" s="51"/>
      <c r="B52" s="37"/>
      <c r="C52" s="34"/>
      <c r="D52" s="23" t="s">
        <v>27</v>
      </c>
      <c r="E52" s="12">
        <f>SUM(F52:J52)</f>
        <v>1797</v>
      </c>
      <c r="F52" s="12">
        <v>0</v>
      </c>
      <c r="G52" s="12">
        <v>0</v>
      </c>
      <c r="H52" s="12">
        <v>1797</v>
      </c>
      <c r="I52" s="12">
        <v>0</v>
      </c>
      <c r="J52" s="12">
        <v>0</v>
      </c>
      <c r="K52" s="38"/>
      <c r="L52" s="34"/>
    </row>
    <row r="53" spans="1:12" ht="35.25" customHeight="1" x14ac:dyDescent="0.2">
      <c r="A53" s="52"/>
      <c r="B53" s="37"/>
      <c r="C53" s="34"/>
      <c r="D53" s="23" t="s">
        <v>2</v>
      </c>
      <c r="E53" s="12">
        <f>SUM(F53:J53)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38"/>
      <c r="L53" s="34"/>
    </row>
    <row r="54" spans="1:12" ht="12.75" customHeight="1" x14ac:dyDescent="0.2">
      <c r="A54" s="50" t="s">
        <v>97</v>
      </c>
      <c r="B54" s="36" t="s">
        <v>98</v>
      </c>
      <c r="C54" s="34">
        <v>2021</v>
      </c>
      <c r="D54" s="23" t="s">
        <v>1</v>
      </c>
      <c r="E54" s="12">
        <f t="shared" ref="E54:J54" si="15">SUM(E55:E58)</f>
        <v>94369.68</v>
      </c>
      <c r="F54" s="12">
        <f t="shared" si="15"/>
        <v>0</v>
      </c>
      <c r="G54" s="12">
        <f t="shared" si="15"/>
        <v>94369.68</v>
      </c>
      <c r="H54" s="12">
        <f t="shared" si="15"/>
        <v>0</v>
      </c>
      <c r="I54" s="12">
        <f t="shared" si="15"/>
        <v>0</v>
      </c>
      <c r="J54" s="12">
        <f t="shared" si="15"/>
        <v>0</v>
      </c>
      <c r="K54" s="38" t="s">
        <v>34</v>
      </c>
      <c r="L54" s="42" t="s">
        <v>60</v>
      </c>
    </row>
    <row r="55" spans="1:12" ht="46.5" customHeight="1" x14ac:dyDescent="0.2">
      <c r="A55" s="51"/>
      <c r="B55" s="37"/>
      <c r="C55" s="34"/>
      <c r="D55" s="23" t="s">
        <v>19</v>
      </c>
      <c r="E55" s="12">
        <f>SUM(F55:J55)</f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38"/>
      <c r="L55" s="42"/>
    </row>
    <row r="56" spans="1:12" ht="54.75" customHeight="1" x14ac:dyDescent="0.2">
      <c r="A56" s="51"/>
      <c r="B56" s="37"/>
      <c r="C56" s="34"/>
      <c r="D56" s="23" t="s">
        <v>0</v>
      </c>
      <c r="E56" s="12">
        <f>SUM(F56:J56)</f>
        <v>58981.049999999988</v>
      </c>
      <c r="F56" s="12">
        <v>0</v>
      </c>
      <c r="G56" s="12">
        <f>54856.88+10894.44-6770.27</f>
        <v>58981.049999999988</v>
      </c>
      <c r="H56" s="12">
        <v>0</v>
      </c>
      <c r="I56" s="12">
        <v>0</v>
      </c>
      <c r="J56" s="12">
        <v>0</v>
      </c>
      <c r="K56" s="38"/>
      <c r="L56" s="42"/>
    </row>
    <row r="57" spans="1:12" ht="61.5" customHeight="1" x14ac:dyDescent="0.2">
      <c r="A57" s="51"/>
      <c r="B57" s="37"/>
      <c r="C57" s="34"/>
      <c r="D57" s="23" t="s">
        <v>27</v>
      </c>
      <c r="E57" s="12">
        <f>SUM(F57:J57)</f>
        <v>35388.629999999997</v>
      </c>
      <c r="F57" s="12">
        <v>0</v>
      </c>
      <c r="G57" s="12">
        <f>32914.14+6536.67-4062.18</f>
        <v>35388.629999999997</v>
      </c>
      <c r="H57" s="12">
        <v>0</v>
      </c>
      <c r="I57" s="12">
        <v>0</v>
      </c>
      <c r="J57" s="12">
        <v>0</v>
      </c>
      <c r="K57" s="38"/>
      <c r="L57" s="42"/>
    </row>
    <row r="58" spans="1:12" ht="35.25" customHeight="1" x14ac:dyDescent="0.2">
      <c r="A58" s="52"/>
      <c r="B58" s="37"/>
      <c r="C58" s="34"/>
      <c r="D58" s="23" t="s">
        <v>2</v>
      </c>
      <c r="E58" s="12">
        <f>SUM(F58:J58)</f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38"/>
      <c r="L58" s="42"/>
    </row>
    <row r="59" spans="1:12" ht="12.75" customHeight="1" x14ac:dyDescent="0.2">
      <c r="A59" s="50" t="s">
        <v>105</v>
      </c>
      <c r="B59" s="36" t="s">
        <v>108</v>
      </c>
      <c r="C59" s="34" t="s">
        <v>113</v>
      </c>
      <c r="D59" s="23" t="s">
        <v>1</v>
      </c>
      <c r="E59" s="12">
        <f t="shared" ref="E59:J59" si="16">SUM(E60:E63)</f>
        <v>661605.62161000003</v>
      </c>
      <c r="F59" s="12">
        <f t="shared" si="16"/>
        <v>0</v>
      </c>
      <c r="G59" s="12">
        <f t="shared" si="16"/>
        <v>188505.62161</v>
      </c>
      <c r="H59" s="12">
        <f t="shared" si="16"/>
        <v>473100</v>
      </c>
      <c r="I59" s="12">
        <f t="shared" si="16"/>
        <v>0</v>
      </c>
      <c r="J59" s="12">
        <f t="shared" si="16"/>
        <v>0</v>
      </c>
      <c r="K59" s="38" t="s">
        <v>34</v>
      </c>
      <c r="L59" s="34" t="s">
        <v>215</v>
      </c>
    </row>
    <row r="60" spans="1:12" ht="56.25" customHeight="1" x14ac:dyDescent="0.2">
      <c r="A60" s="51"/>
      <c r="B60" s="37"/>
      <c r="C60" s="34"/>
      <c r="D60" s="23" t="s">
        <v>19</v>
      </c>
      <c r="E60" s="12">
        <f>SUM(F60:J60)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38"/>
      <c r="L60" s="34"/>
    </row>
    <row r="61" spans="1:12" ht="54.75" customHeight="1" x14ac:dyDescent="0.2">
      <c r="A61" s="51"/>
      <c r="B61" s="37"/>
      <c r="C61" s="34"/>
      <c r="D61" s="23" t="s">
        <v>0</v>
      </c>
      <c r="E61" s="12">
        <f t="shared" ref="E61:E78" si="17">SUM(F61:J61)</f>
        <v>85744</v>
      </c>
      <c r="F61" s="12">
        <v>0</v>
      </c>
      <c r="G61" s="12">
        <f>237500-62500-49997+49997-89256</f>
        <v>85744</v>
      </c>
      <c r="H61" s="12">
        <f>21875-21875</f>
        <v>0</v>
      </c>
      <c r="I61" s="12">
        <v>0</v>
      </c>
      <c r="J61" s="12">
        <v>0</v>
      </c>
      <c r="K61" s="38"/>
      <c r="L61" s="34"/>
    </row>
    <row r="62" spans="1:12" ht="70.5" customHeight="1" x14ac:dyDescent="0.2">
      <c r="A62" s="51"/>
      <c r="B62" s="37"/>
      <c r="C62" s="34"/>
      <c r="D62" s="23" t="s">
        <v>27</v>
      </c>
      <c r="E62" s="12">
        <f t="shared" si="17"/>
        <v>575861.62161000003</v>
      </c>
      <c r="F62" s="12">
        <v>0</v>
      </c>
      <c r="G62" s="12">
        <f>142500+25000+12428.6+93.837+1424.3293+11455.07309-14297.00797-75843.20981</f>
        <v>102761.62161</v>
      </c>
      <c r="H62" s="12">
        <f>13125+473100-13125</f>
        <v>473100</v>
      </c>
      <c r="I62" s="12">
        <v>0</v>
      </c>
      <c r="J62" s="12">
        <v>0</v>
      </c>
      <c r="K62" s="38"/>
      <c r="L62" s="34"/>
    </row>
    <row r="63" spans="1:12" ht="35.25" customHeight="1" x14ac:dyDescent="0.2">
      <c r="A63" s="52"/>
      <c r="B63" s="37"/>
      <c r="C63" s="34"/>
      <c r="D63" s="23" t="s">
        <v>2</v>
      </c>
      <c r="E63" s="12">
        <f t="shared" si="17"/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38"/>
      <c r="L63" s="34"/>
    </row>
    <row r="64" spans="1:12" ht="12.75" customHeight="1" x14ac:dyDescent="0.2">
      <c r="A64" s="50" t="s">
        <v>106</v>
      </c>
      <c r="B64" s="36" t="s">
        <v>109</v>
      </c>
      <c r="C64" s="34" t="s">
        <v>113</v>
      </c>
      <c r="D64" s="23" t="s">
        <v>1</v>
      </c>
      <c r="E64" s="12">
        <f t="shared" ref="E64:J64" si="18">SUM(E65:E68)</f>
        <v>3778.9248399999997</v>
      </c>
      <c r="F64" s="12">
        <f t="shared" si="18"/>
        <v>0</v>
      </c>
      <c r="G64" s="12">
        <f t="shared" si="18"/>
        <v>3778.9248399999997</v>
      </c>
      <c r="H64" s="12">
        <f t="shared" si="18"/>
        <v>0</v>
      </c>
      <c r="I64" s="12">
        <f t="shared" si="18"/>
        <v>0</v>
      </c>
      <c r="J64" s="12">
        <f t="shared" si="18"/>
        <v>0</v>
      </c>
      <c r="K64" s="38" t="s">
        <v>34</v>
      </c>
      <c r="L64" s="34" t="s">
        <v>129</v>
      </c>
    </row>
    <row r="65" spans="1:12" ht="56.25" customHeight="1" x14ac:dyDescent="0.2">
      <c r="A65" s="51"/>
      <c r="B65" s="37"/>
      <c r="C65" s="34"/>
      <c r="D65" s="23" t="s">
        <v>19</v>
      </c>
      <c r="E65" s="12">
        <f t="shared" si="17"/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38"/>
      <c r="L65" s="34"/>
    </row>
    <row r="66" spans="1:12" ht="54.75" customHeight="1" x14ac:dyDescent="0.2">
      <c r="A66" s="51"/>
      <c r="B66" s="37"/>
      <c r="C66" s="34"/>
      <c r="D66" s="23" t="s">
        <v>0</v>
      </c>
      <c r="E66" s="12">
        <f t="shared" si="17"/>
        <v>2285.5699999999997</v>
      </c>
      <c r="F66" s="12">
        <v>0</v>
      </c>
      <c r="G66" s="12">
        <f>3613.1-1327.53</f>
        <v>2285.5699999999997</v>
      </c>
      <c r="H66" s="12">
        <v>0</v>
      </c>
      <c r="I66" s="12">
        <v>0</v>
      </c>
      <c r="J66" s="12">
        <v>0</v>
      </c>
      <c r="K66" s="38"/>
      <c r="L66" s="34"/>
    </row>
    <row r="67" spans="1:12" ht="70.5" customHeight="1" x14ac:dyDescent="0.2">
      <c r="A67" s="51"/>
      <c r="B67" s="37"/>
      <c r="C67" s="34"/>
      <c r="D67" s="23" t="s">
        <v>27</v>
      </c>
      <c r="E67" s="12">
        <f t="shared" si="17"/>
        <v>1493.3548400000002</v>
      </c>
      <c r="F67" s="12">
        <v>0</v>
      </c>
      <c r="G67" s="12">
        <f>2167.86+122.00484-796.51</f>
        <v>1493.3548400000002</v>
      </c>
      <c r="H67" s="12">
        <v>0</v>
      </c>
      <c r="I67" s="12">
        <v>0</v>
      </c>
      <c r="J67" s="12">
        <v>0</v>
      </c>
      <c r="K67" s="38"/>
      <c r="L67" s="34"/>
    </row>
    <row r="68" spans="1:12" ht="35.25" customHeight="1" x14ac:dyDescent="0.2">
      <c r="A68" s="52"/>
      <c r="B68" s="37"/>
      <c r="C68" s="34"/>
      <c r="D68" s="23" t="s">
        <v>2</v>
      </c>
      <c r="E68" s="12">
        <f t="shared" si="17"/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38"/>
      <c r="L68" s="34"/>
    </row>
    <row r="69" spans="1:12" ht="12.75" customHeight="1" x14ac:dyDescent="0.2">
      <c r="A69" s="50" t="s">
        <v>107</v>
      </c>
      <c r="B69" s="36" t="s">
        <v>110</v>
      </c>
      <c r="C69" s="34" t="s">
        <v>113</v>
      </c>
      <c r="D69" s="23" t="s">
        <v>1</v>
      </c>
      <c r="E69" s="12">
        <f t="shared" ref="E69:J69" si="19">SUM(E70:E73)</f>
        <v>66388.152990000002</v>
      </c>
      <c r="F69" s="12">
        <f t="shared" si="19"/>
        <v>0</v>
      </c>
      <c r="G69" s="12">
        <f t="shared" si="19"/>
        <v>65898.152990000002</v>
      </c>
      <c r="H69" s="12">
        <f t="shared" si="19"/>
        <v>490</v>
      </c>
      <c r="I69" s="12">
        <f t="shared" si="19"/>
        <v>0</v>
      </c>
      <c r="J69" s="12">
        <f t="shared" si="19"/>
        <v>0</v>
      </c>
      <c r="K69" s="38" t="s">
        <v>34</v>
      </c>
      <c r="L69" s="34" t="s">
        <v>229</v>
      </c>
    </row>
    <row r="70" spans="1:12" ht="39.75" customHeight="1" x14ac:dyDescent="0.2">
      <c r="A70" s="51"/>
      <c r="B70" s="37"/>
      <c r="C70" s="34"/>
      <c r="D70" s="23" t="s">
        <v>19</v>
      </c>
      <c r="E70" s="12">
        <f t="shared" si="17"/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38"/>
      <c r="L70" s="34"/>
    </row>
    <row r="71" spans="1:12" ht="53.25" customHeight="1" x14ac:dyDescent="0.2">
      <c r="A71" s="51"/>
      <c r="B71" s="37"/>
      <c r="C71" s="34"/>
      <c r="D71" s="23" t="s">
        <v>0</v>
      </c>
      <c r="E71" s="12">
        <f t="shared" si="17"/>
        <v>38875.000000000007</v>
      </c>
      <c r="F71" s="12">
        <v>0</v>
      </c>
      <c r="G71" s="12">
        <f>70714.32-20714.32-11125</f>
        <v>38875.000000000007</v>
      </c>
      <c r="H71" s="12">
        <v>0</v>
      </c>
      <c r="I71" s="12">
        <v>0</v>
      </c>
      <c r="J71" s="12">
        <v>0</v>
      </c>
      <c r="K71" s="38"/>
      <c r="L71" s="34"/>
    </row>
    <row r="72" spans="1:12" ht="66.75" customHeight="1" x14ac:dyDescent="0.2">
      <c r="A72" s="51"/>
      <c r="B72" s="37"/>
      <c r="C72" s="34"/>
      <c r="D72" s="23" t="s">
        <v>27</v>
      </c>
      <c r="E72" s="12">
        <f t="shared" si="17"/>
        <v>27513.152990000002</v>
      </c>
      <c r="F72" s="12">
        <v>0</v>
      </c>
      <c r="G72" s="12">
        <f>42428.6-12428.6+600+3098.15299-6675</f>
        <v>27023.152990000002</v>
      </c>
      <c r="H72" s="12">
        <v>490</v>
      </c>
      <c r="I72" s="12">
        <v>0</v>
      </c>
      <c r="J72" s="12">
        <v>0</v>
      </c>
      <c r="K72" s="38"/>
      <c r="L72" s="34"/>
    </row>
    <row r="73" spans="1:12" ht="30.75" customHeight="1" x14ac:dyDescent="0.2">
      <c r="A73" s="52"/>
      <c r="B73" s="37"/>
      <c r="C73" s="34"/>
      <c r="D73" s="23" t="s">
        <v>2</v>
      </c>
      <c r="E73" s="12">
        <f t="shared" si="17"/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38"/>
      <c r="L73" s="34"/>
    </row>
    <row r="74" spans="1:12" ht="12.75" customHeight="1" x14ac:dyDescent="0.2">
      <c r="A74" s="50" t="s">
        <v>111</v>
      </c>
      <c r="B74" s="36" t="s">
        <v>112</v>
      </c>
      <c r="C74" s="34">
        <v>2021</v>
      </c>
      <c r="D74" s="23" t="s">
        <v>1</v>
      </c>
      <c r="E74" s="12">
        <f t="shared" ref="E74:J74" si="20">SUM(E75:E78)</f>
        <v>23559.649999999998</v>
      </c>
      <c r="F74" s="12">
        <f t="shared" si="20"/>
        <v>0</v>
      </c>
      <c r="G74" s="12">
        <f t="shared" si="20"/>
        <v>23559.649999999998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38" t="s">
        <v>34</v>
      </c>
      <c r="L74" s="34" t="s">
        <v>120</v>
      </c>
    </row>
    <row r="75" spans="1:12" ht="39.75" customHeight="1" x14ac:dyDescent="0.2">
      <c r="A75" s="51"/>
      <c r="B75" s="37"/>
      <c r="C75" s="34"/>
      <c r="D75" s="23" t="s">
        <v>19</v>
      </c>
      <c r="E75" s="12">
        <f t="shared" si="17"/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38"/>
      <c r="L75" s="34"/>
    </row>
    <row r="76" spans="1:12" ht="54.75" customHeight="1" x14ac:dyDescent="0.2">
      <c r="A76" s="51"/>
      <c r="B76" s="37"/>
      <c r="C76" s="34"/>
      <c r="D76" s="23" t="s">
        <v>0</v>
      </c>
      <c r="E76" s="12">
        <f t="shared" si="17"/>
        <v>14724.779999999999</v>
      </c>
      <c r="F76" s="12">
        <v>0</v>
      </c>
      <c r="G76" s="12">
        <f>16018.16-1293.38</f>
        <v>14724.779999999999</v>
      </c>
      <c r="H76" s="12">
        <v>0</v>
      </c>
      <c r="I76" s="12">
        <v>0</v>
      </c>
      <c r="J76" s="12">
        <v>0</v>
      </c>
      <c r="K76" s="38"/>
      <c r="L76" s="34"/>
    </row>
    <row r="77" spans="1:12" ht="70.5" customHeight="1" x14ac:dyDescent="0.2">
      <c r="A77" s="51"/>
      <c r="B77" s="37"/>
      <c r="C77" s="34"/>
      <c r="D77" s="23" t="s">
        <v>27</v>
      </c>
      <c r="E77" s="12">
        <f t="shared" si="17"/>
        <v>8834.869999999999</v>
      </c>
      <c r="F77" s="12">
        <v>0</v>
      </c>
      <c r="G77" s="12">
        <f>9610.91-776.04</f>
        <v>8834.869999999999</v>
      </c>
      <c r="H77" s="12">
        <v>0</v>
      </c>
      <c r="I77" s="12">
        <v>0</v>
      </c>
      <c r="J77" s="12">
        <v>0</v>
      </c>
      <c r="K77" s="38"/>
      <c r="L77" s="34"/>
    </row>
    <row r="78" spans="1:12" ht="30" customHeight="1" x14ac:dyDescent="0.2">
      <c r="A78" s="52"/>
      <c r="B78" s="37"/>
      <c r="C78" s="34"/>
      <c r="D78" s="23" t="s">
        <v>2</v>
      </c>
      <c r="E78" s="12">
        <f t="shared" si="17"/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38"/>
      <c r="L78" s="34"/>
    </row>
    <row r="79" spans="1:12" ht="12.75" customHeight="1" x14ac:dyDescent="0.2">
      <c r="A79" s="50" t="s">
        <v>124</v>
      </c>
      <c r="B79" s="53" t="s">
        <v>125</v>
      </c>
      <c r="C79" s="34">
        <v>2021</v>
      </c>
      <c r="D79" s="23" t="s">
        <v>1</v>
      </c>
      <c r="E79" s="12">
        <f t="shared" ref="E79:J79" si="21">SUM(E80:E83)</f>
        <v>7200</v>
      </c>
      <c r="F79" s="12">
        <f t="shared" si="21"/>
        <v>0</v>
      </c>
      <c r="G79" s="12">
        <f t="shared" si="21"/>
        <v>7200</v>
      </c>
      <c r="H79" s="12">
        <f t="shared" si="21"/>
        <v>0</v>
      </c>
      <c r="I79" s="12">
        <f t="shared" si="21"/>
        <v>0</v>
      </c>
      <c r="J79" s="12">
        <f t="shared" si="21"/>
        <v>0</v>
      </c>
      <c r="K79" s="38" t="s">
        <v>38</v>
      </c>
      <c r="L79" s="34" t="s">
        <v>226</v>
      </c>
    </row>
    <row r="80" spans="1:12" ht="42.75" customHeight="1" x14ac:dyDescent="0.2">
      <c r="A80" s="51"/>
      <c r="B80" s="37"/>
      <c r="C80" s="34"/>
      <c r="D80" s="23" t="s">
        <v>19</v>
      </c>
      <c r="E80" s="12">
        <f t="shared" ref="E80:E83" si="22">SUM(F80:J80)</f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38"/>
      <c r="L80" s="34"/>
    </row>
    <row r="81" spans="1:12" ht="54.75" customHeight="1" x14ac:dyDescent="0.2">
      <c r="A81" s="51"/>
      <c r="B81" s="37"/>
      <c r="C81" s="34"/>
      <c r="D81" s="23" t="s">
        <v>0</v>
      </c>
      <c r="E81" s="12">
        <f t="shared" si="22"/>
        <v>4500</v>
      </c>
      <c r="F81" s="12">
        <v>0</v>
      </c>
      <c r="G81" s="12">
        <f>6000-1500</f>
        <v>4500</v>
      </c>
      <c r="H81" s="12">
        <v>0</v>
      </c>
      <c r="I81" s="12">
        <v>0</v>
      </c>
      <c r="J81" s="12">
        <v>0</v>
      </c>
      <c r="K81" s="38"/>
      <c r="L81" s="34"/>
    </row>
    <row r="82" spans="1:12" ht="70.5" customHeight="1" x14ac:dyDescent="0.2">
      <c r="A82" s="51"/>
      <c r="B82" s="37"/>
      <c r="C82" s="34"/>
      <c r="D82" s="23" t="s">
        <v>27</v>
      </c>
      <c r="E82" s="12">
        <f t="shared" si="22"/>
        <v>2700</v>
      </c>
      <c r="F82" s="12">
        <v>0</v>
      </c>
      <c r="G82" s="12">
        <f>3600+6000-3000-3900</f>
        <v>2700</v>
      </c>
      <c r="H82" s="12">
        <v>0</v>
      </c>
      <c r="I82" s="12">
        <v>0</v>
      </c>
      <c r="J82" s="12">
        <v>0</v>
      </c>
      <c r="K82" s="38"/>
      <c r="L82" s="34"/>
    </row>
    <row r="83" spans="1:12" ht="26.25" customHeight="1" x14ac:dyDescent="0.2">
      <c r="A83" s="52"/>
      <c r="B83" s="37"/>
      <c r="C83" s="34"/>
      <c r="D83" s="23" t="s">
        <v>2</v>
      </c>
      <c r="E83" s="12">
        <f t="shared" si="22"/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38"/>
      <c r="L83" s="34"/>
    </row>
    <row r="84" spans="1:12" ht="12.75" customHeight="1" x14ac:dyDescent="0.2">
      <c r="A84" s="50" t="s">
        <v>132</v>
      </c>
      <c r="B84" s="53" t="s">
        <v>131</v>
      </c>
      <c r="C84" s="34">
        <v>2021</v>
      </c>
      <c r="D84" s="23" t="s">
        <v>1</v>
      </c>
      <c r="E84" s="12">
        <f t="shared" ref="E84:J84" si="23">SUM(E85:E88)</f>
        <v>60000</v>
      </c>
      <c r="F84" s="12">
        <f t="shared" si="23"/>
        <v>0</v>
      </c>
      <c r="G84" s="12">
        <f t="shared" si="23"/>
        <v>60000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38" t="s">
        <v>38</v>
      </c>
      <c r="L84" s="34" t="s">
        <v>230</v>
      </c>
    </row>
    <row r="85" spans="1:12" ht="42.75" customHeight="1" x14ac:dyDescent="0.2">
      <c r="A85" s="51"/>
      <c r="B85" s="37"/>
      <c r="C85" s="34"/>
      <c r="D85" s="23" t="s">
        <v>19</v>
      </c>
      <c r="E85" s="12">
        <f t="shared" ref="E85:E88" si="24">SUM(F85:J85)</f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38"/>
      <c r="L85" s="34"/>
    </row>
    <row r="86" spans="1:12" ht="54.75" customHeight="1" x14ac:dyDescent="0.2">
      <c r="A86" s="51"/>
      <c r="B86" s="37"/>
      <c r="C86" s="34"/>
      <c r="D86" s="23" t="s">
        <v>0</v>
      </c>
      <c r="E86" s="12">
        <f t="shared" si="24"/>
        <v>57000</v>
      </c>
      <c r="F86" s="12">
        <v>0</v>
      </c>
      <c r="G86" s="12">
        <v>57000</v>
      </c>
      <c r="H86" s="12">
        <v>0</v>
      </c>
      <c r="I86" s="12">
        <v>0</v>
      </c>
      <c r="J86" s="12">
        <v>0</v>
      </c>
      <c r="K86" s="38"/>
      <c r="L86" s="34"/>
    </row>
    <row r="87" spans="1:12" ht="70.5" customHeight="1" x14ac:dyDescent="0.2">
      <c r="A87" s="51"/>
      <c r="B87" s="37"/>
      <c r="C87" s="34"/>
      <c r="D87" s="23" t="s">
        <v>27</v>
      </c>
      <c r="E87" s="12">
        <f t="shared" si="24"/>
        <v>3000</v>
      </c>
      <c r="F87" s="12">
        <v>0</v>
      </c>
      <c r="G87" s="12">
        <v>3000</v>
      </c>
      <c r="H87" s="12">
        <v>0</v>
      </c>
      <c r="I87" s="12">
        <v>0</v>
      </c>
      <c r="J87" s="12">
        <v>0</v>
      </c>
      <c r="K87" s="38"/>
      <c r="L87" s="34"/>
    </row>
    <row r="88" spans="1:12" ht="26.25" customHeight="1" x14ac:dyDescent="0.2">
      <c r="A88" s="52"/>
      <c r="B88" s="37"/>
      <c r="C88" s="34"/>
      <c r="D88" s="23" t="s">
        <v>2</v>
      </c>
      <c r="E88" s="12">
        <f t="shared" si="24"/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38"/>
      <c r="L88" s="34"/>
    </row>
    <row r="89" spans="1:12" ht="12.75" customHeight="1" x14ac:dyDescent="0.2">
      <c r="A89" s="50" t="s">
        <v>134</v>
      </c>
      <c r="B89" s="53" t="s">
        <v>135</v>
      </c>
      <c r="C89" s="34" t="s">
        <v>136</v>
      </c>
      <c r="D89" s="23" t="s">
        <v>1</v>
      </c>
      <c r="E89" s="12">
        <f t="shared" ref="E89:J89" si="25">SUM(E90:E93)</f>
        <v>56243.18</v>
      </c>
      <c r="F89" s="12">
        <f t="shared" si="25"/>
        <v>0</v>
      </c>
      <c r="G89" s="12">
        <f t="shared" si="25"/>
        <v>0</v>
      </c>
      <c r="H89" s="12">
        <f t="shared" si="25"/>
        <v>9820.4399999999987</v>
      </c>
      <c r="I89" s="12">
        <f t="shared" si="25"/>
        <v>0</v>
      </c>
      <c r="J89" s="12">
        <f t="shared" si="25"/>
        <v>46422.74</v>
      </c>
      <c r="K89" s="38" t="s">
        <v>34</v>
      </c>
      <c r="L89" s="34" t="s">
        <v>233</v>
      </c>
    </row>
    <row r="90" spans="1:12" ht="42.75" customHeight="1" x14ac:dyDescent="0.2">
      <c r="A90" s="51"/>
      <c r="B90" s="37"/>
      <c r="C90" s="34"/>
      <c r="D90" s="23" t="s">
        <v>19</v>
      </c>
      <c r="E90" s="12">
        <f t="shared" ref="E90:E93" si="26">SUM(F90:J90)</f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38"/>
      <c r="L90" s="34"/>
    </row>
    <row r="91" spans="1:12" ht="38.25" customHeight="1" x14ac:dyDescent="0.2">
      <c r="A91" s="51"/>
      <c r="B91" s="37"/>
      <c r="C91" s="34"/>
      <c r="D91" s="23" t="s">
        <v>0</v>
      </c>
      <c r="E91" s="12">
        <f t="shared" si="26"/>
        <v>21228.760000000002</v>
      </c>
      <c r="F91" s="12">
        <v>0</v>
      </c>
      <c r="G91" s="12">
        <v>0</v>
      </c>
      <c r="H91" s="12">
        <v>7301.98</v>
      </c>
      <c r="I91" s="12">
        <v>0</v>
      </c>
      <c r="J91" s="12">
        <v>13926.78</v>
      </c>
      <c r="K91" s="38"/>
      <c r="L91" s="34"/>
    </row>
    <row r="92" spans="1:12" ht="52.5" customHeight="1" x14ac:dyDescent="0.2">
      <c r="A92" s="51"/>
      <c r="B92" s="37"/>
      <c r="C92" s="34"/>
      <c r="D92" s="23" t="s">
        <v>27</v>
      </c>
      <c r="E92" s="12">
        <f t="shared" si="26"/>
        <v>35014.42</v>
      </c>
      <c r="F92" s="12">
        <v>0</v>
      </c>
      <c r="G92" s="12">
        <v>0</v>
      </c>
      <c r="H92" s="12">
        <v>2518.46</v>
      </c>
      <c r="I92" s="12">
        <v>0</v>
      </c>
      <c r="J92" s="12">
        <v>32495.96</v>
      </c>
      <c r="K92" s="38"/>
      <c r="L92" s="34"/>
    </row>
    <row r="93" spans="1:12" ht="26.25" customHeight="1" x14ac:dyDescent="0.2">
      <c r="A93" s="52"/>
      <c r="B93" s="37"/>
      <c r="C93" s="34"/>
      <c r="D93" s="23" t="s">
        <v>2</v>
      </c>
      <c r="E93" s="12">
        <f t="shared" si="26"/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38"/>
      <c r="L93" s="34"/>
    </row>
    <row r="94" spans="1:12" ht="24" customHeight="1" x14ac:dyDescent="0.2">
      <c r="A94" s="50" t="s">
        <v>137</v>
      </c>
      <c r="B94" s="53" t="s">
        <v>138</v>
      </c>
      <c r="C94" s="34" t="s">
        <v>136</v>
      </c>
      <c r="D94" s="23" t="s">
        <v>1</v>
      </c>
      <c r="E94" s="12">
        <f t="shared" ref="E94:J94" si="27">SUM(E95:E96)</f>
        <v>11147.86465</v>
      </c>
      <c r="F94" s="12">
        <f t="shared" si="27"/>
        <v>0</v>
      </c>
      <c r="G94" s="12">
        <f t="shared" si="27"/>
        <v>0</v>
      </c>
      <c r="H94" s="12">
        <f t="shared" si="27"/>
        <v>11147.86465</v>
      </c>
      <c r="I94" s="12">
        <f t="shared" si="27"/>
        <v>0</v>
      </c>
      <c r="J94" s="12">
        <f t="shared" si="27"/>
        <v>0</v>
      </c>
      <c r="K94" s="38" t="s">
        <v>34</v>
      </c>
      <c r="L94" s="42" t="s">
        <v>122</v>
      </c>
    </row>
    <row r="95" spans="1:12" ht="64.5" customHeight="1" x14ac:dyDescent="0.2">
      <c r="A95" s="51"/>
      <c r="B95" s="37"/>
      <c r="C95" s="34"/>
      <c r="D95" s="23" t="s">
        <v>27</v>
      </c>
      <c r="E95" s="12">
        <f t="shared" ref="E95:E96" si="28">SUM(F95:J95)</f>
        <v>11147.86465</v>
      </c>
      <c r="F95" s="12">
        <v>0</v>
      </c>
      <c r="G95" s="12">
        <v>0</v>
      </c>
      <c r="H95" s="12">
        <f>1080.93285+10235.80902-168.87722</f>
        <v>11147.86465</v>
      </c>
      <c r="I95" s="12">
        <v>0</v>
      </c>
      <c r="J95" s="12">
        <v>0</v>
      </c>
      <c r="K95" s="38"/>
      <c r="L95" s="42"/>
    </row>
    <row r="96" spans="1:12" ht="61.5" customHeight="1" x14ac:dyDescent="0.2">
      <c r="A96" s="52"/>
      <c r="B96" s="37"/>
      <c r="C96" s="34"/>
      <c r="D96" s="23" t="s">
        <v>2</v>
      </c>
      <c r="E96" s="12">
        <f t="shared" si="28"/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38"/>
      <c r="L96" s="42"/>
    </row>
    <row r="97" spans="1:12" ht="41.25" customHeight="1" x14ac:dyDescent="0.2">
      <c r="A97" s="50" t="s">
        <v>139</v>
      </c>
      <c r="B97" s="53" t="s">
        <v>140</v>
      </c>
      <c r="C97" s="34" t="s">
        <v>136</v>
      </c>
      <c r="D97" s="23" t="s">
        <v>1</v>
      </c>
      <c r="E97" s="12">
        <f t="shared" ref="E97:J97" si="29">SUM(E98:E99)</f>
        <v>0</v>
      </c>
      <c r="F97" s="12">
        <f t="shared" si="29"/>
        <v>0</v>
      </c>
      <c r="G97" s="12">
        <f t="shared" si="29"/>
        <v>0</v>
      </c>
      <c r="H97" s="12">
        <f t="shared" si="29"/>
        <v>0</v>
      </c>
      <c r="I97" s="12">
        <f t="shared" si="29"/>
        <v>0</v>
      </c>
      <c r="J97" s="12">
        <f t="shared" si="29"/>
        <v>0</v>
      </c>
      <c r="K97" s="38" t="s">
        <v>34</v>
      </c>
      <c r="L97" s="42" t="s">
        <v>169</v>
      </c>
    </row>
    <row r="98" spans="1:12" ht="88.5" customHeight="1" x14ac:dyDescent="0.2">
      <c r="A98" s="51"/>
      <c r="B98" s="37"/>
      <c r="C98" s="34"/>
      <c r="D98" s="23" t="s">
        <v>27</v>
      </c>
      <c r="E98" s="12">
        <f t="shared" ref="E98:E99" si="30">SUM(F98:J98)</f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38"/>
      <c r="L98" s="42"/>
    </row>
    <row r="99" spans="1:12" ht="69" customHeight="1" x14ac:dyDescent="0.2">
      <c r="A99" s="52"/>
      <c r="B99" s="37"/>
      <c r="C99" s="34"/>
      <c r="D99" s="23" t="s">
        <v>2</v>
      </c>
      <c r="E99" s="12">
        <f t="shared" si="30"/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38"/>
      <c r="L99" s="42"/>
    </row>
    <row r="100" spans="1:12" ht="12.75" customHeight="1" x14ac:dyDescent="0.2">
      <c r="A100" s="50" t="s">
        <v>141</v>
      </c>
      <c r="B100" s="53" t="s">
        <v>142</v>
      </c>
      <c r="C100" s="34" t="s">
        <v>136</v>
      </c>
      <c r="D100" s="23" t="s">
        <v>1</v>
      </c>
      <c r="E100" s="12">
        <f t="shared" ref="E100:J100" si="31">SUM(E101:E104)</f>
        <v>0</v>
      </c>
      <c r="F100" s="12">
        <f t="shared" si="31"/>
        <v>0</v>
      </c>
      <c r="G100" s="12">
        <f t="shared" si="31"/>
        <v>0</v>
      </c>
      <c r="H100" s="12">
        <f t="shared" si="31"/>
        <v>0</v>
      </c>
      <c r="I100" s="12">
        <f t="shared" si="31"/>
        <v>0</v>
      </c>
      <c r="J100" s="12">
        <f t="shared" si="31"/>
        <v>0</v>
      </c>
      <c r="K100" s="38" t="s">
        <v>38</v>
      </c>
      <c r="L100" s="34" t="s">
        <v>231</v>
      </c>
    </row>
    <row r="101" spans="1:12" ht="42.75" customHeight="1" x14ac:dyDescent="0.2">
      <c r="A101" s="51"/>
      <c r="B101" s="37"/>
      <c r="C101" s="34"/>
      <c r="D101" s="23" t="s">
        <v>19</v>
      </c>
      <c r="E101" s="12">
        <f t="shared" ref="E101:E104" si="32">SUM(F101:J101)</f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38"/>
      <c r="L101" s="34"/>
    </row>
    <row r="102" spans="1:12" ht="38.25" customHeight="1" x14ac:dyDescent="0.2">
      <c r="A102" s="51"/>
      <c r="B102" s="37"/>
      <c r="C102" s="34"/>
      <c r="D102" s="23" t="s">
        <v>0</v>
      </c>
      <c r="E102" s="12">
        <f t="shared" si="32"/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38"/>
      <c r="L102" s="34"/>
    </row>
    <row r="103" spans="1:12" ht="52.5" customHeight="1" x14ac:dyDescent="0.2">
      <c r="A103" s="51"/>
      <c r="B103" s="37"/>
      <c r="C103" s="34"/>
      <c r="D103" s="23" t="s">
        <v>27</v>
      </c>
      <c r="E103" s="12">
        <f t="shared" si="32"/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38"/>
      <c r="L103" s="34"/>
    </row>
    <row r="104" spans="1:12" ht="26.25" customHeight="1" x14ac:dyDescent="0.2">
      <c r="A104" s="52"/>
      <c r="B104" s="37"/>
      <c r="C104" s="34"/>
      <c r="D104" s="23" t="s">
        <v>2</v>
      </c>
      <c r="E104" s="12">
        <f t="shared" si="32"/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38"/>
      <c r="L104" s="34"/>
    </row>
    <row r="105" spans="1:12" ht="12.75" customHeight="1" x14ac:dyDescent="0.2">
      <c r="A105" s="50" t="s">
        <v>143</v>
      </c>
      <c r="B105" s="53" t="s">
        <v>144</v>
      </c>
      <c r="C105" s="34" t="s">
        <v>136</v>
      </c>
      <c r="D105" s="23" t="s">
        <v>1</v>
      </c>
      <c r="E105" s="12">
        <f t="shared" ref="E105:J105" si="33">SUM(E106:E109)</f>
        <v>0</v>
      </c>
      <c r="F105" s="12">
        <f t="shared" si="33"/>
        <v>0</v>
      </c>
      <c r="G105" s="12">
        <f t="shared" si="33"/>
        <v>0</v>
      </c>
      <c r="H105" s="12">
        <f t="shared" si="33"/>
        <v>0</v>
      </c>
      <c r="I105" s="12">
        <f t="shared" si="33"/>
        <v>0</v>
      </c>
      <c r="J105" s="12">
        <f t="shared" si="33"/>
        <v>0</v>
      </c>
      <c r="K105" s="38" t="s">
        <v>181</v>
      </c>
      <c r="L105" s="34" t="s">
        <v>215</v>
      </c>
    </row>
    <row r="106" spans="1:12" ht="42.75" customHeight="1" x14ac:dyDescent="0.2">
      <c r="A106" s="51"/>
      <c r="B106" s="37"/>
      <c r="C106" s="34"/>
      <c r="D106" s="23" t="s">
        <v>19</v>
      </c>
      <c r="E106" s="12">
        <f t="shared" ref="E106:E109" si="34">SUM(F106:J106)</f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38"/>
      <c r="L106" s="34"/>
    </row>
    <row r="107" spans="1:12" ht="38.25" customHeight="1" x14ac:dyDescent="0.2">
      <c r="A107" s="51"/>
      <c r="B107" s="37"/>
      <c r="C107" s="34"/>
      <c r="D107" s="23" t="s">
        <v>0</v>
      </c>
      <c r="E107" s="12">
        <f t="shared" si="34"/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38"/>
      <c r="L107" s="34"/>
    </row>
    <row r="108" spans="1:12" ht="52.5" customHeight="1" x14ac:dyDescent="0.2">
      <c r="A108" s="51"/>
      <c r="B108" s="37"/>
      <c r="C108" s="34"/>
      <c r="D108" s="23" t="s">
        <v>27</v>
      </c>
      <c r="E108" s="12">
        <f t="shared" si="34"/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38"/>
      <c r="L108" s="34"/>
    </row>
    <row r="109" spans="1:12" ht="26.25" customHeight="1" x14ac:dyDescent="0.2">
      <c r="A109" s="52"/>
      <c r="B109" s="37"/>
      <c r="C109" s="34"/>
      <c r="D109" s="23" t="s">
        <v>2</v>
      </c>
      <c r="E109" s="12">
        <f t="shared" si="34"/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38"/>
      <c r="L109" s="34"/>
    </row>
    <row r="110" spans="1:12" ht="12.75" customHeight="1" x14ac:dyDescent="0.2">
      <c r="A110" s="50" t="s">
        <v>146</v>
      </c>
      <c r="B110" s="53" t="s">
        <v>147</v>
      </c>
      <c r="C110" s="34" t="s">
        <v>136</v>
      </c>
      <c r="D110" s="23" t="s">
        <v>1</v>
      </c>
      <c r="E110" s="12">
        <f t="shared" ref="E110:J110" si="35">SUM(E111:E114)</f>
        <v>37100</v>
      </c>
      <c r="F110" s="12">
        <f t="shared" si="35"/>
        <v>0</v>
      </c>
      <c r="G110" s="12">
        <f t="shared" si="35"/>
        <v>0</v>
      </c>
      <c r="H110" s="12">
        <f t="shared" si="35"/>
        <v>37100</v>
      </c>
      <c r="I110" s="12">
        <f t="shared" si="35"/>
        <v>0</v>
      </c>
      <c r="J110" s="12">
        <f t="shared" si="35"/>
        <v>0</v>
      </c>
      <c r="K110" s="38" t="s">
        <v>34</v>
      </c>
      <c r="L110" s="34" t="s">
        <v>176</v>
      </c>
    </row>
    <row r="111" spans="1:12" ht="42.75" customHeight="1" x14ac:dyDescent="0.2">
      <c r="A111" s="51"/>
      <c r="B111" s="37"/>
      <c r="C111" s="34"/>
      <c r="D111" s="23" t="s">
        <v>19</v>
      </c>
      <c r="E111" s="12">
        <f t="shared" ref="E111:E114" si="36">SUM(F111:J111)</f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38"/>
      <c r="L111" s="34"/>
    </row>
    <row r="112" spans="1:12" ht="38.25" customHeight="1" x14ac:dyDescent="0.2">
      <c r="A112" s="51"/>
      <c r="B112" s="37"/>
      <c r="C112" s="34"/>
      <c r="D112" s="23" t="s">
        <v>0</v>
      </c>
      <c r="E112" s="12">
        <f t="shared" si="36"/>
        <v>11130</v>
      </c>
      <c r="F112" s="12">
        <v>0</v>
      </c>
      <c r="G112" s="12">
        <v>0</v>
      </c>
      <c r="H112" s="12">
        <v>11130</v>
      </c>
      <c r="I112" s="12">
        <v>0</v>
      </c>
      <c r="J112" s="12">
        <v>0</v>
      </c>
      <c r="K112" s="38"/>
      <c r="L112" s="34"/>
    </row>
    <row r="113" spans="1:12" ht="52.5" customHeight="1" x14ac:dyDescent="0.2">
      <c r="A113" s="51"/>
      <c r="B113" s="37"/>
      <c r="C113" s="34"/>
      <c r="D113" s="23" t="s">
        <v>27</v>
      </c>
      <c r="E113" s="12">
        <f t="shared" si="36"/>
        <v>25970</v>
      </c>
      <c r="F113" s="12">
        <v>0</v>
      </c>
      <c r="G113" s="12">
        <v>0</v>
      </c>
      <c r="H113" s="12">
        <v>25970</v>
      </c>
      <c r="I113" s="12">
        <v>0</v>
      </c>
      <c r="J113" s="12">
        <v>0</v>
      </c>
      <c r="K113" s="38"/>
      <c r="L113" s="34"/>
    </row>
    <row r="114" spans="1:12" ht="26.25" customHeight="1" x14ac:dyDescent="0.2">
      <c r="A114" s="52"/>
      <c r="B114" s="37"/>
      <c r="C114" s="34"/>
      <c r="D114" s="23" t="s">
        <v>2</v>
      </c>
      <c r="E114" s="12">
        <f t="shared" si="36"/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38"/>
      <c r="L114" s="34"/>
    </row>
    <row r="115" spans="1:12" ht="12.75" customHeight="1" x14ac:dyDescent="0.2">
      <c r="A115" s="50" t="s">
        <v>148</v>
      </c>
      <c r="B115" s="53" t="s">
        <v>149</v>
      </c>
      <c r="C115" s="34" t="s">
        <v>136</v>
      </c>
      <c r="D115" s="23" t="s">
        <v>1</v>
      </c>
      <c r="E115" s="12">
        <f t="shared" ref="E115:J115" si="37">SUM(E116:E119)</f>
        <v>204737.72040999998</v>
      </c>
      <c r="F115" s="12">
        <f t="shared" si="37"/>
        <v>0</v>
      </c>
      <c r="G115" s="12">
        <f t="shared" si="37"/>
        <v>0</v>
      </c>
      <c r="H115" s="12">
        <f t="shared" si="37"/>
        <v>203543.72040999998</v>
      </c>
      <c r="I115" s="12">
        <f t="shared" si="37"/>
        <v>597</v>
      </c>
      <c r="J115" s="12">
        <f t="shared" si="37"/>
        <v>597</v>
      </c>
      <c r="K115" s="38" t="s">
        <v>34</v>
      </c>
      <c r="L115" s="34" t="s">
        <v>166</v>
      </c>
    </row>
    <row r="116" spans="1:12" ht="42.75" customHeight="1" x14ac:dyDescent="0.2">
      <c r="A116" s="51"/>
      <c r="B116" s="37"/>
      <c r="C116" s="34"/>
      <c r="D116" s="23" t="s">
        <v>19</v>
      </c>
      <c r="E116" s="12">
        <f t="shared" ref="E116:E119" si="38">SUM(F116:J116)</f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38"/>
      <c r="L116" s="34"/>
    </row>
    <row r="117" spans="1:12" ht="55.5" customHeight="1" x14ac:dyDescent="0.2">
      <c r="A117" s="51"/>
      <c r="B117" s="37"/>
      <c r="C117" s="34"/>
      <c r="D117" s="23" t="s">
        <v>0</v>
      </c>
      <c r="E117" s="12">
        <f t="shared" si="38"/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38"/>
      <c r="L117" s="34"/>
    </row>
    <row r="118" spans="1:12" ht="60" customHeight="1" x14ac:dyDescent="0.2">
      <c r="A118" s="51"/>
      <c r="B118" s="37"/>
      <c r="C118" s="34"/>
      <c r="D118" s="23" t="s">
        <v>27</v>
      </c>
      <c r="E118" s="12">
        <f t="shared" si="38"/>
        <v>204737.72040999998</v>
      </c>
      <c r="F118" s="12">
        <v>0</v>
      </c>
      <c r="G118" s="12">
        <v>0</v>
      </c>
      <c r="H118" s="12">
        <f>597+202746.00681+200.7136</f>
        <v>203543.72040999998</v>
      </c>
      <c r="I118" s="12">
        <v>597</v>
      </c>
      <c r="J118" s="12">
        <v>597</v>
      </c>
      <c r="K118" s="38"/>
      <c r="L118" s="34"/>
    </row>
    <row r="119" spans="1:12" ht="26.25" customHeight="1" x14ac:dyDescent="0.2">
      <c r="A119" s="52"/>
      <c r="B119" s="37"/>
      <c r="C119" s="34"/>
      <c r="D119" s="23" t="s">
        <v>2</v>
      </c>
      <c r="E119" s="12">
        <f t="shared" si="38"/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38"/>
      <c r="L119" s="34"/>
    </row>
    <row r="120" spans="1:12" ht="12.75" customHeight="1" x14ac:dyDescent="0.2">
      <c r="A120" s="50" t="s">
        <v>150</v>
      </c>
      <c r="B120" s="53" t="s">
        <v>151</v>
      </c>
      <c r="C120" s="34" t="s">
        <v>136</v>
      </c>
      <c r="D120" s="23" t="s">
        <v>1</v>
      </c>
      <c r="E120" s="12">
        <f t="shared" ref="E120:J120" si="39">SUM(E121:E124)</f>
        <v>0</v>
      </c>
      <c r="F120" s="12">
        <f t="shared" si="39"/>
        <v>0</v>
      </c>
      <c r="G120" s="12">
        <f t="shared" si="39"/>
        <v>0</v>
      </c>
      <c r="H120" s="12">
        <f t="shared" si="39"/>
        <v>0</v>
      </c>
      <c r="I120" s="12">
        <f t="shared" si="39"/>
        <v>0</v>
      </c>
      <c r="J120" s="12">
        <f t="shared" si="39"/>
        <v>0</v>
      </c>
      <c r="K120" s="38" t="s">
        <v>38</v>
      </c>
      <c r="L120" s="34" t="s">
        <v>168</v>
      </c>
    </row>
    <row r="121" spans="1:12" ht="42.75" customHeight="1" x14ac:dyDescent="0.2">
      <c r="A121" s="51"/>
      <c r="B121" s="37"/>
      <c r="C121" s="34"/>
      <c r="D121" s="23" t="s">
        <v>19</v>
      </c>
      <c r="E121" s="12">
        <f t="shared" ref="E121:E124" si="40">SUM(F121:J121)</f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38"/>
      <c r="L121" s="34"/>
    </row>
    <row r="122" spans="1:12" ht="55.5" customHeight="1" x14ac:dyDescent="0.2">
      <c r="A122" s="51"/>
      <c r="B122" s="37"/>
      <c r="C122" s="34"/>
      <c r="D122" s="23" t="s">
        <v>0</v>
      </c>
      <c r="E122" s="12">
        <f t="shared" si="40"/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38"/>
      <c r="L122" s="34"/>
    </row>
    <row r="123" spans="1:12" ht="56.25" customHeight="1" x14ac:dyDescent="0.2">
      <c r="A123" s="51"/>
      <c r="B123" s="37"/>
      <c r="C123" s="34"/>
      <c r="D123" s="23" t="s">
        <v>27</v>
      </c>
      <c r="E123" s="12">
        <f t="shared" si="40"/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38"/>
      <c r="L123" s="34"/>
    </row>
    <row r="124" spans="1:12" ht="26.25" customHeight="1" x14ac:dyDescent="0.2">
      <c r="A124" s="52"/>
      <c r="B124" s="37"/>
      <c r="C124" s="34"/>
      <c r="D124" s="23" t="s">
        <v>2</v>
      </c>
      <c r="E124" s="12">
        <f t="shared" si="40"/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38"/>
      <c r="L124" s="34"/>
    </row>
    <row r="125" spans="1:12" ht="12.75" customHeight="1" x14ac:dyDescent="0.2">
      <c r="A125" s="50" t="s">
        <v>152</v>
      </c>
      <c r="B125" s="53" t="s">
        <v>153</v>
      </c>
      <c r="C125" s="34" t="s">
        <v>136</v>
      </c>
      <c r="D125" s="23" t="s">
        <v>1</v>
      </c>
      <c r="E125" s="12">
        <f t="shared" ref="E125:J125" si="41">SUM(E126:E129)</f>
        <v>0</v>
      </c>
      <c r="F125" s="12">
        <f t="shared" si="41"/>
        <v>0</v>
      </c>
      <c r="G125" s="12">
        <f t="shared" si="41"/>
        <v>0</v>
      </c>
      <c r="H125" s="12">
        <f t="shared" si="41"/>
        <v>0</v>
      </c>
      <c r="I125" s="12">
        <f t="shared" si="41"/>
        <v>0</v>
      </c>
      <c r="J125" s="12">
        <f t="shared" si="41"/>
        <v>0</v>
      </c>
      <c r="K125" s="38" t="s">
        <v>145</v>
      </c>
      <c r="L125" s="34" t="s">
        <v>168</v>
      </c>
    </row>
    <row r="126" spans="1:12" ht="42.75" customHeight="1" x14ac:dyDescent="0.2">
      <c r="A126" s="51"/>
      <c r="B126" s="37"/>
      <c r="C126" s="34"/>
      <c r="D126" s="23" t="s">
        <v>19</v>
      </c>
      <c r="E126" s="12">
        <f t="shared" ref="E126:E129" si="42">SUM(F126:J126)</f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38"/>
      <c r="L126" s="34"/>
    </row>
    <row r="127" spans="1:12" ht="57.75" customHeight="1" x14ac:dyDescent="0.2">
      <c r="A127" s="51"/>
      <c r="B127" s="37"/>
      <c r="C127" s="34"/>
      <c r="D127" s="23" t="s">
        <v>0</v>
      </c>
      <c r="E127" s="12">
        <f t="shared" si="42"/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38"/>
      <c r="L127" s="34"/>
    </row>
    <row r="128" spans="1:12" ht="60" customHeight="1" x14ac:dyDescent="0.2">
      <c r="A128" s="51"/>
      <c r="B128" s="37"/>
      <c r="C128" s="34"/>
      <c r="D128" s="23" t="s">
        <v>27</v>
      </c>
      <c r="E128" s="12">
        <f t="shared" si="42"/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38"/>
      <c r="L128" s="34"/>
    </row>
    <row r="129" spans="1:12" ht="26.25" customHeight="1" x14ac:dyDescent="0.2">
      <c r="A129" s="52"/>
      <c r="B129" s="37"/>
      <c r="C129" s="34"/>
      <c r="D129" s="23" t="s">
        <v>2</v>
      </c>
      <c r="E129" s="12">
        <f t="shared" si="42"/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38"/>
      <c r="L129" s="34"/>
    </row>
    <row r="130" spans="1:12" ht="12.75" customHeight="1" x14ac:dyDescent="0.2">
      <c r="A130" s="50" t="s">
        <v>155</v>
      </c>
      <c r="B130" s="53" t="s">
        <v>154</v>
      </c>
      <c r="C130" s="34" t="s">
        <v>136</v>
      </c>
      <c r="D130" s="23" t="s">
        <v>1</v>
      </c>
      <c r="E130" s="12">
        <f t="shared" ref="E130:J130" si="43">SUM(E131:E134)</f>
        <v>0</v>
      </c>
      <c r="F130" s="12">
        <f t="shared" si="43"/>
        <v>0</v>
      </c>
      <c r="G130" s="12">
        <f t="shared" si="43"/>
        <v>0</v>
      </c>
      <c r="H130" s="12">
        <f t="shared" si="43"/>
        <v>0</v>
      </c>
      <c r="I130" s="12">
        <f t="shared" si="43"/>
        <v>0</v>
      </c>
      <c r="J130" s="12">
        <f t="shared" si="43"/>
        <v>0</v>
      </c>
      <c r="K130" s="38" t="s">
        <v>34</v>
      </c>
      <c r="L130" s="34" t="s">
        <v>168</v>
      </c>
    </row>
    <row r="131" spans="1:12" ht="42.75" customHeight="1" x14ac:dyDescent="0.2">
      <c r="A131" s="51"/>
      <c r="B131" s="37"/>
      <c r="C131" s="34"/>
      <c r="D131" s="23" t="s">
        <v>19</v>
      </c>
      <c r="E131" s="12">
        <f t="shared" ref="E131:E134" si="44">SUM(F131:J131)</f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38"/>
      <c r="L131" s="34"/>
    </row>
    <row r="132" spans="1:12" ht="38.25" customHeight="1" x14ac:dyDescent="0.2">
      <c r="A132" s="51"/>
      <c r="B132" s="37"/>
      <c r="C132" s="34"/>
      <c r="D132" s="23" t="s">
        <v>0</v>
      </c>
      <c r="E132" s="12">
        <f t="shared" si="44"/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38"/>
      <c r="L132" s="34"/>
    </row>
    <row r="133" spans="1:12" ht="52.5" customHeight="1" x14ac:dyDescent="0.2">
      <c r="A133" s="51"/>
      <c r="B133" s="37"/>
      <c r="C133" s="34"/>
      <c r="D133" s="23" t="s">
        <v>27</v>
      </c>
      <c r="E133" s="12">
        <f t="shared" si="44"/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38"/>
      <c r="L133" s="34"/>
    </row>
    <row r="134" spans="1:12" ht="26.25" customHeight="1" x14ac:dyDescent="0.2">
      <c r="A134" s="52"/>
      <c r="B134" s="37"/>
      <c r="C134" s="34"/>
      <c r="D134" s="23" t="s">
        <v>2</v>
      </c>
      <c r="E134" s="12">
        <f t="shared" si="44"/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38"/>
      <c r="L134" s="34"/>
    </row>
    <row r="135" spans="1:12" ht="51.75" customHeight="1" x14ac:dyDescent="0.2">
      <c r="A135" s="50" t="s">
        <v>155</v>
      </c>
      <c r="B135" s="53" t="s">
        <v>167</v>
      </c>
      <c r="C135" s="34" t="s">
        <v>136</v>
      </c>
      <c r="D135" s="23" t="s">
        <v>1</v>
      </c>
      <c r="E135" s="12">
        <f t="shared" ref="E135:J135" si="45">SUM(E136:E137)</f>
        <v>15258.405913000001</v>
      </c>
      <c r="F135" s="12">
        <f t="shared" si="45"/>
        <v>0</v>
      </c>
      <c r="G135" s="12">
        <f t="shared" si="45"/>
        <v>0</v>
      </c>
      <c r="H135" s="12">
        <f t="shared" si="45"/>
        <v>15258.405913000001</v>
      </c>
      <c r="I135" s="12">
        <f t="shared" si="45"/>
        <v>0</v>
      </c>
      <c r="J135" s="12">
        <f t="shared" si="45"/>
        <v>0</v>
      </c>
      <c r="K135" s="38" t="s">
        <v>34</v>
      </c>
      <c r="L135" s="34" t="s">
        <v>114</v>
      </c>
    </row>
    <row r="136" spans="1:12" ht="66" customHeight="1" x14ac:dyDescent="0.2">
      <c r="A136" s="51"/>
      <c r="B136" s="37"/>
      <c r="C136" s="34"/>
      <c r="D136" s="23" t="s">
        <v>27</v>
      </c>
      <c r="E136" s="12">
        <f t="shared" ref="E136:E137" si="46">SUM(F136:J136)</f>
        <v>13758.405913000001</v>
      </c>
      <c r="F136" s="12">
        <v>0</v>
      </c>
      <c r="G136" s="12">
        <v>0</v>
      </c>
      <c r="H136" s="12">
        <f>9383.333333+2069.57396+2136.6214+168.87722</f>
        <v>13758.405913000001</v>
      </c>
      <c r="I136" s="12">
        <v>0</v>
      </c>
      <c r="J136" s="12">
        <v>0</v>
      </c>
      <c r="K136" s="38"/>
      <c r="L136" s="34"/>
    </row>
    <row r="137" spans="1:12" ht="48" customHeight="1" x14ac:dyDescent="0.2">
      <c r="A137" s="52"/>
      <c r="B137" s="37"/>
      <c r="C137" s="34"/>
      <c r="D137" s="23" t="s">
        <v>2</v>
      </c>
      <c r="E137" s="12">
        <f t="shared" si="46"/>
        <v>1500</v>
      </c>
      <c r="F137" s="12">
        <v>0</v>
      </c>
      <c r="G137" s="12">
        <v>0</v>
      </c>
      <c r="H137" s="12">
        <v>1500</v>
      </c>
      <c r="I137" s="12">
        <v>0</v>
      </c>
      <c r="J137" s="12">
        <v>0</v>
      </c>
      <c r="K137" s="38"/>
      <c r="L137" s="34"/>
    </row>
    <row r="138" spans="1:12" s="11" customFormat="1" ht="26.25" customHeight="1" x14ac:dyDescent="0.2">
      <c r="A138" s="46" t="s">
        <v>7</v>
      </c>
      <c r="B138" s="32" t="s">
        <v>123</v>
      </c>
      <c r="C138" s="29" t="s">
        <v>9</v>
      </c>
      <c r="D138" s="24" t="s">
        <v>1</v>
      </c>
      <c r="E138" s="10">
        <f t="shared" ref="E138:J138" si="47">SUM(E139:E142)</f>
        <v>3829887.0403499999</v>
      </c>
      <c r="F138" s="10">
        <f t="shared" si="47"/>
        <v>641529.6603499999</v>
      </c>
      <c r="G138" s="10">
        <f t="shared" si="47"/>
        <v>1644427.75</v>
      </c>
      <c r="H138" s="10">
        <f t="shared" si="47"/>
        <v>1332058.4099999999</v>
      </c>
      <c r="I138" s="10">
        <f t="shared" si="47"/>
        <v>211871.22</v>
      </c>
      <c r="J138" s="10">
        <f t="shared" si="47"/>
        <v>0</v>
      </c>
      <c r="K138" s="33" t="s">
        <v>156</v>
      </c>
      <c r="L138" s="29"/>
    </row>
    <row r="139" spans="1:12" s="11" customFormat="1" ht="47.25" customHeight="1" x14ac:dyDescent="0.2">
      <c r="A139" s="46"/>
      <c r="B139" s="32"/>
      <c r="C139" s="29"/>
      <c r="D139" s="25" t="s">
        <v>19</v>
      </c>
      <c r="E139" s="10">
        <f>SUM(F139:J139)</f>
        <v>902044.17</v>
      </c>
      <c r="F139" s="10">
        <f t="shared" ref="F139:J141" si="48">F144+F149+F154+F159+F164+F169+F174+F179+F184+F189</f>
        <v>310231.34000000003</v>
      </c>
      <c r="G139" s="10">
        <f t="shared" si="48"/>
        <v>162085.75</v>
      </c>
      <c r="H139" s="10">
        <f t="shared" si="48"/>
        <v>429727.08</v>
      </c>
      <c r="I139" s="10">
        <f t="shared" si="48"/>
        <v>0</v>
      </c>
      <c r="J139" s="10">
        <f t="shared" si="48"/>
        <v>0</v>
      </c>
      <c r="K139" s="33"/>
      <c r="L139" s="29"/>
    </row>
    <row r="140" spans="1:12" s="11" customFormat="1" ht="58.5" customHeight="1" x14ac:dyDescent="0.2">
      <c r="A140" s="46"/>
      <c r="B140" s="32"/>
      <c r="C140" s="29"/>
      <c r="D140" s="25" t="s">
        <v>0</v>
      </c>
      <c r="E140" s="10">
        <f>SUM(F140:J140)</f>
        <v>1727234.16</v>
      </c>
      <c r="F140" s="10">
        <f t="shared" si="48"/>
        <v>262608.56999999995</v>
      </c>
      <c r="G140" s="10">
        <f t="shared" si="48"/>
        <v>866592.78999999992</v>
      </c>
      <c r="H140" s="10">
        <f t="shared" si="48"/>
        <v>465189.55</v>
      </c>
      <c r="I140" s="10">
        <f t="shared" si="48"/>
        <v>132843.25</v>
      </c>
      <c r="J140" s="10">
        <f t="shared" si="48"/>
        <v>0</v>
      </c>
      <c r="K140" s="33"/>
      <c r="L140" s="29"/>
    </row>
    <row r="141" spans="1:12" s="11" customFormat="1" ht="78" customHeight="1" x14ac:dyDescent="0.2">
      <c r="A141" s="46"/>
      <c r="B141" s="32"/>
      <c r="C141" s="29"/>
      <c r="D141" s="25" t="s">
        <v>27</v>
      </c>
      <c r="E141" s="10">
        <f>SUM(F141:J141)</f>
        <v>1130608.7103499998</v>
      </c>
      <c r="F141" s="10">
        <f t="shared" si="48"/>
        <v>68689.750350000002</v>
      </c>
      <c r="G141" s="10">
        <f t="shared" si="48"/>
        <v>545749.21</v>
      </c>
      <c r="H141" s="10">
        <f t="shared" si="48"/>
        <v>437141.77999999997</v>
      </c>
      <c r="I141" s="10">
        <f t="shared" si="48"/>
        <v>79027.97</v>
      </c>
      <c r="J141" s="10">
        <f t="shared" si="48"/>
        <v>0</v>
      </c>
      <c r="K141" s="33"/>
      <c r="L141" s="29"/>
    </row>
    <row r="142" spans="1:12" s="11" customFormat="1" ht="41.25" customHeight="1" x14ac:dyDescent="0.2">
      <c r="A142" s="46"/>
      <c r="B142" s="32"/>
      <c r="C142" s="29"/>
      <c r="D142" s="25" t="s">
        <v>2</v>
      </c>
      <c r="E142" s="10">
        <f>SUM(F142:J142)</f>
        <v>70000</v>
      </c>
      <c r="F142" s="10">
        <f>F147+F152+F157+F162+F167+F172+F177+F182+F187+F192</f>
        <v>0</v>
      </c>
      <c r="G142" s="10">
        <f t="shared" ref="G142:J142" si="49">G147+G152+G157+G162+G167+G172+G177+G182+G187+G192</f>
        <v>70000</v>
      </c>
      <c r="H142" s="10">
        <f t="shared" si="49"/>
        <v>0</v>
      </c>
      <c r="I142" s="10">
        <f t="shared" si="49"/>
        <v>0</v>
      </c>
      <c r="J142" s="10">
        <f t="shared" si="49"/>
        <v>0</v>
      </c>
      <c r="K142" s="33"/>
      <c r="L142" s="29"/>
    </row>
    <row r="143" spans="1:12" ht="12.75" customHeight="1" x14ac:dyDescent="0.2">
      <c r="A143" s="60" t="s">
        <v>14</v>
      </c>
      <c r="B143" s="49" t="s">
        <v>81</v>
      </c>
      <c r="C143" s="34" t="s">
        <v>9</v>
      </c>
      <c r="D143" s="23" t="s">
        <v>1</v>
      </c>
      <c r="E143" s="12">
        <f t="shared" ref="E143:J143" si="50">SUM(E144:E147)</f>
        <v>1469100.8103499999</v>
      </c>
      <c r="F143" s="12">
        <f t="shared" si="50"/>
        <v>435412.41035000002</v>
      </c>
      <c r="G143" s="12">
        <f t="shared" si="50"/>
        <v>196449.6</v>
      </c>
      <c r="H143" s="12">
        <f t="shared" si="50"/>
        <v>837238.79999999993</v>
      </c>
      <c r="I143" s="12">
        <f t="shared" si="50"/>
        <v>0</v>
      </c>
      <c r="J143" s="12">
        <f t="shared" si="50"/>
        <v>0</v>
      </c>
      <c r="K143" s="38" t="s">
        <v>100</v>
      </c>
      <c r="L143" s="34" t="s">
        <v>170</v>
      </c>
    </row>
    <row r="144" spans="1:12" ht="47.25" customHeight="1" x14ac:dyDescent="0.2">
      <c r="A144" s="60"/>
      <c r="B144" s="49"/>
      <c r="C144" s="34"/>
      <c r="D144" s="23" t="s">
        <v>19</v>
      </c>
      <c r="E144" s="12">
        <f>SUM(F144:J144)</f>
        <v>832044.17</v>
      </c>
      <c r="F144" s="12">
        <f>432375-57628.62-64515.04</f>
        <v>310231.34000000003</v>
      </c>
      <c r="G144" s="12">
        <f>37500+57850.94-3265.19</f>
        <v>92085.75</v>
      </c>
      <c r="H144" s="12">
        <v>429727.08</v>
      </c>
      <c r="I144" s="12">
        <v>0</v>
      </c>
      <c r="J144" s="12">
        <v>0</v>
      </c>
      <c r="K144" s="38"/>
      <c r="L144" s="34"/>
    </row>
    <row r="145" spans="1:12" ht="63.75" customHeight="1" x14ac:dyDescent="0.2">
      <c r="A145" s="60"/>
      <c r="B145" s="49"/>
      <c r="C145" s="34"/>
      <c r="D145" s="23" t="s">
        <v>0</v>
      </c>
      <c r="E145" s="12">
        <f>SUM(F145:J145)</f>
        <v>277348.07</v>
      </c>
      <c r="F145" s="12">
        <f>144125-19209.53-21505.02</f>
        <v>103410.45</v>
      </c>
      <c r="G145" s="12">
        <f>12500+19283.65-1088.4</f>
        <v>30695.25</v>
      </c>
      <c r="H145" s="12">
        <v>143242.37</v>
      </c>
      <c r="I145" s="12">
        <v>0</v>
      </c>
      <c r="J145" s="12">
        <v>0</v>
      </c>
      <c r="K145" s="38"/>
      <c r="L145" s="34"/>
    </row>
    <row r="146" spans="1:12" ht="70.5" customHeight="1" x14ac:dyDescent="0.2">
      <c r="A146" s="60"/>
      <c r="B146" s="49"/>
      <c r="C146" s="34"/>
      <c r="D146" s="23" t="s">
        <v>27</v>
      </c>
      <c r="E146" s="12">
        <f>SUM(F146:J146)</f>
        <v>359708.57034999999</v>
      </c>
      <c r="F146" s="12">
        <f>30342.11-4044.11-4527.37965</f>
        <v>21770.620350000001</v>
      </c>
      <c r="G146" s="12">
        <f>30000+46280.76-2612.16</f>
        <v>73668.600000000006</v>
      </c>
      <c r="H146" s="12">
        <v>264269.34999999998</v>
      </c>
      <c r="I146" s="12">
        <v>0</v>
      </c>
      <c r="J146" s="12">
        <v>0</v>
      </c>
      <c r="K146" s="38"/>
      <c r="L146" s="34"/>
    </row>
    <row r="147" spans="1:12" ht="45.75" customHeight="1" x14ac:dyDescent="0.2">
      <c r="A147" s="60"/>
      <c r="B147" s="49"/>
      <c r="C147" s="34"/>
      <c r="D147" s="23" t="s">
        <v>2</v>
      </c>
      <c r="E147" s="12">
        <f>SUM(F147:J147)</f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38"/>
      <c r="L147" s="34"/>
    </row>
    <row r="148" spans="1:12" ht="12.75" customHeight="1" x14ac:dyDescent="0.2">
      <c r="A148" s="50" t="s">
        <v>15</v>
      </c>
      <c r="B148" s="54" t="s">
        <v>82</v>
      </c>
      <c r="C148" s="39" t="s">
        <v>103</v>
      </c>
      <c r="D148" s="23" t="s">
        <v>1</v>
      </c>
      <c r="E148" s="12">
        <f t="shared" ref="E148:J148" si="51">SUM(E149:E152)</f>
        <v>490471.39</v>
      </c>
      <c r="F148" s="12">
        <f t="shared" si="51"/>
        <v>0</v>
      </c>
      <c r="G148" s="12">
        <f t="shared" si="51"/>
        <v>490471.39</v>
      </c>
      <c r="H148" s="12">
        <f t="shared" si="51"/>
        <v>0</v>
      </c>
      <c r="I148" s="12">
        <f t="shared" si="51"/>
        <v>0</v>
      </c>
      <c r="J148" s="12">
        <f t="shared" si="51"/>
        <v>0</v>
      </c>
      <c r="K148" s="57" t="s">
        <v>34</v>
      </c>
      <c r="L148" s="34" t="s">
        <v>115</v>
      </c>
    </row>
    <row r="149" spans="1:12" ht="45" customHeight="1" x14ac:dyDescent="0.2">
      <c r="A149" s="51"/>
      <c r="B149" s="55"/>
      <c r="C149" s="40"/>
      <c r="D149" s="23" t="s">
        <v>19</v>
      </c>
      <c r="E149" s="12">
        <f>SUM(F149:J149)</f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58"/>
      <c r="L149" s="34"/>
    </row>
    <row r="150" spans="1:12" ht="51.75" customHeight="1" x14ac:dyDescent="0.2">
      <c r="A150" s="51"/>
      <c r="B150" s="55"/>
      <c r="C150" s="40"/>
      <c r="D150" s="23" t="s">
        <v>0</v>
      </c>
      <c r="E150" s="12">
        <f>SUM(F150:J150)</f>
        <v>215937.5</v>
      </c>
      <c r="F150" s="12">
        <v>0</v>
      </c>
      <c r="G150" s="12">
        <f>23437.5+192500</f>
        <v>215937.5</v>
      </c>
      <c r="H150" s="12">
        <f>43750-43750</f>
        <v>0</v>
      </c>
      <c r="I150" s="12">
        <v>0</v>
      </c>
      <c r="J150" s="12">
        <v>0</v>
      </c>
      <c r="K150" s="58"/>
      <c r="L150" s="34"/>
    </row>
    <row r="151" spans="1:12" ht="65.25" customHeight="1" x14ac:dyDescent="0.2">
      <c r="A151" s="51"/>
      <c r="B151" s="55"/>
      <c r="C151" s="40"/>
      <c r="D151" s="23" t="s">
        <v>27</v>
      </c>
      <c r="E151" s="12">
        <f>SUM(F151:J151)</f>
        <v>274533.89</v>
      </c>
      <c r="F151" s="12">
        <v>0</v>
      </c>
      <c r="G151" s="12">
        <f>14062.5+260471.39</f>
        <v>274533.89</v>
      </c>
      <c r="H151" s="12">
        <f>26250-26250</f>
        <v>0</v>
      </c>
      <c r="I151" s="12">
        <v>0</v>
      </c>
      <c r="J151" s="12">
        <v>0</v>
      </c>
      <c r="K151" s="58"/>
      <c r="L151" s="34"/>
    </row>
    <row r="152" spans="1:12" ht="33" customHeight="1" x14ac:dyDescent="0.2">
      <c r="A152" s="52"/>
      <c r="B152" s="56"/>
      <c r="C152" s="41"/>
      <c r="D152" s="23" t="s">
        <v>2</v>
      </c>
      <c r="E152" s="12">
        <f>SUM(F152:J152)</f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59"/>
      <c r="L152" s="34"/>
    </row>
    <row r="153" spans="1:12" ht="28.5" customHeight="1" x14ac:dyDescent="0.2">
      <c r="A153" s="50" t="s">
        <v>28</v>
      </c>
      <c r="B153" s="49" t="s">
        <v>84</v>
      </c>
      <c r="C153" s="34" t="s">
        <v>9</v>
      </c>
      <c r="D153" s="23" t="s">
        <v>1</v>
      </c>
      <c r="E153" s="12">
        <f t="shared" ref="E153:J153" si="52">SUM(E154:E157)</f>
        <v>1481744.75</v>
      </c>
      <c r="F153" s="12">
        <f t="shared" si="52"/>
        <v>93461.079999999987</v>
      </c>
      <c r="G153" s="12">
        <f t="shared" si="52"/>
        <v>681592.84</v>
      </c>
      <c r="H153" s="12">
        <f t="shared" si="52"/>
        <v>494819.61</v>
      </c>
      <c r="I153" s="12">
        <f t="shared" si="52"/>
        <v>211871.22</v>
      </c>
      <c r="J153" s="12">
        <f t="shared" si="52"/>
        <v>0</v>
      </c>
      <c r="K153" s="38" t="s">
        <v>100</v>
      </c>
      <c r="L153" s="34" t="s">
        <v>171</v>
      </c>
    </row>
    <row r="154" spans="1:12" ht="43.5" customHeight="1" x14ac:dyDescent="0.2">
      <c r="A154" s="51"/>
      <c r="B154" s="49"/>
      <c r="C154" s="34"/>
      <c r="D154" s="23" t="s">
        <v>19</v>
      </c>
      <c r="E154" s="12">
        <f>SUM(F154:J154)</f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38"/>
      <c r="L154" s="34"/>
    </row>
    <row r="155" spans="1:12" ht="54.75" customHeight="1" x14ac:dyDescent="0.2">
      <c r="A155" s="51"/>
      <c r="B155" s="49"/>
      <c r="C155" s="34"/>
      <c r="D155" s="23" t="s">
        <v>0</v>
      </c>
      <c r="E155" s="12">
        <f>SUM(F155:J155)</f>
        <v>1027005.8899999999</v>
      </c>
      <c r="F155" s="12">
        <f>162367.96-73579.94</f>
        <v>88788.01999999999</v>
      </c>
      <c r="G155" s="12">
        <f>275458.39-74720.55+45812.5+428799.9-233549.5+41626.7</f>
        <v>483427.44</v>
      </c>
      <c r="H155" s="12">
        <f>294432.91+27514.27</f>
        <v>321947.18</v>
      </c>
      <c r="I155" s="12">
        <f>160357.52-27514.27</f>
        <v>132843.25</v>
      </c>
      <c r="J155" s="12">
        <v>0</v>
      </c>
      <c r="K155" s="38"/>
      <c r="L155" s="34"/>
    </row>
    <row r="156" spans="1:12" ht="68.25" customHeight="1" x14ac:dyDescent="0.2">
      <c r="A156" s="51"/>
      <c r="B156" s="49"/>
      <c r="C156" s="34"/>
      <c r="D156" s="23" t="s">
        <v>27</v>
      </c>
      <c r="E156" s="12">
        <f>SUM(F156:J156)</f>
        <v>384738.86</v>
      </c>
      <c r="F156" s="12">
        <f>8545.69-3872.63</f>
        <v>4673.0600000000004</v>
      </c>
      <c r="G156" s="12">
        <f>55397.5-44832.34+27487.5+79515.61+5595.84+15102.5-12292.08+2190.87</f>
        <v>128165.39999999998</v>
      </c>
      <c r="H156" s="12">
        <f>156504.29+23102.03-6733.89</f>
        <v>172872.43</v>
      </c>
      <c r="I156" s="12">
        <f>95396.11-16368.14</f>
        <v>79027.97</v>
      </c>
      <c r="J156" s="12">
        <v>0</v>
      </c>
      <c r="K156" s="38"/>
      <c r="L156" s="34"/>
    </row>
    <row r="157" spans="1:12" ht="34.5" customHeight="1" x14ac:dyDescent="0.2">
      <c r="A157" s="52"/>
      <c r="B157" s="49"/>
      <c r="C157" s="34"/>
      <c r="D157" s="23" t="s">
        <v>2</v>
      </c>
      <c r="E157" s="12">
        <f>SUM(F157:J157)</f>
        <v>70000</v>
      </c>
      <c r="F157" s="12">
        <v>0</v>
      </c>
      <c r="G157" s="12">
        <v>70000</v>
      </c>
      <c r="H157" s="12">
        <v>0</v>
      </c>
      <c r="I157" s="12">
        <v>0</v>
      </c>
      <c r="J157" s="12">
        <v>0</v>
      </c>
      <c r="K157" s="38"/>
      <c r="L157" s="34"/>
    </row>
    <row r="158" spans="1:12" ht="34.5" customHeight="1" x14ac:dyDescent="0.2">
      <c r="A158" s="50" t="s">
        <v>29</v>
      </c>
      <c r="B158" s="49" t="s">
        <v>85</v>
      </c>
      <c r="C158" s="34" t="s">
        <v>133</v>
      </c>
      <c r="D158" s="23" t="s">
        <v>1</v>
      </c>
      <c r="E158" s="12">
        <f t="shared" ref="E158:J158" si="53">SUM(E159:E162)</f>
        <v>216409.91999999998</v>
      </c>
      <c r="F158" s="12">
        <f t="shared" si="53"/>
        <v>112656.17000000001</v>
      </c>
      <c r="G158" s="12">
        <f t="shared" si="53"/>
        <v>103753.75</v>
      </c>
      <c r="H158" s="12">
        <f t="shared" si="53"/>
        <v>0</v>
      </c>
      <c r="I158" s="12">
        <f t="shared" si="53"/>
        <v>0</v>
      </c>
      <c r="J158" s="12">
        <f t="shared" si="53"/>
        <v>0</v>
      </c>
      <c r="K158" s="38" t="s">
        <v>34</v>
      </c>
      <c r="L158" s="34" t="s">
        <v>234</v>
      </c>
    </row>
    <row r="159" spans="1:12" ht="49.5" customHeight="1" x14ac:dyDescent="0.2">
      <c r="A159" s="51"/>
      <c r="B159" s="31"/>
      <c r="C159" s="34"/>
      <c r="D159" s="23" t="s">
        <v>19</v>
      </c>
      <c r="E159" s="12">
        <f>SUM(F159:J159)</f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38"/>
      <c r="L159" s="34"/>
    </row>
    <row r="160" spans="1:12" ht="66.75" customHeight="1" x14ac:dyDescent="0.2">
      <c r="A160" s="51"/>
      <c r="B160" s="31"/>
      <c r="C160" s="34"/>
      <c r="D160" s="23" t="s">
        <v>0</v>
      </c>
      <c r="E160" s="12">
        <f>SUM(F160:J160)</f>
        <v>135256.19</v>
      </c>
      <c r="F160" s="12">
        <f>62465.61+11326.42-3381.93</f>
        <v>70410.100000000006</v>
      </c>
      <c r="G160" s="12">
        <f>21458.71+43999.77-612.39</f>
        <v>64846.09</v>
      </c>
      <c r="H160" s="12">
        <v>0</v>
      </c>
      <c r="I160" s="12">
        <v>0</v>
      </c>
      <c r="J160" s="12">
        <v>0</v>
      </c>
      <c r="K160" s="38"/>
      <c r="L160" s="34"/>
    </row>
    <row r="161" spans="1:12" ht="84" customHeight="1" x14ac:dyDescent="0.2">
      <c r="A161" s="51"/>
      <c r="B161" s="31"/>
      <c r="C161" s="34"/>
      <c r="D161" s="23" t="s">
        <v>27</v>
      </c>
      <c r="E161" s="12">
        <f>SUM(F161:J161)</f>
        <v>81153.73</v>
      </c>
      <c r="F161" s="12">
        <f>37479.38+6795.86-2029.17</f>
        <v>42246.07</v>
      </c>
      <c r="G161" s="12">
        <f>12875.23+26399.86-367.43</f>
        <v>38907.659999999996</v>
      </c>
      <c r="H161" s="12">
        <v>0</v>
      </c>
      <c r="I161" s="12">
        <v>0</v>
      </c>
      <c r="J161" s="12">
        <v>0</v>
      </c>
      <c r="K161" s="38"/>
      <c r="L161" s="34"/>
    </row>
    <row r="162" spans="1:12" ht="44.25" customHeight="1" x14ac:dyDescent="0.2">
      <c r="A162" s="52"/>
      <c r="B162" s="31"/>
      <c r="C162" s="34"/>
      <c r="D162" s="23" t="s">
        <v>2</v>
      </c>
      <c r="E162" s="12">
        <f>SUM(F162:J162)</f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38"/>
      <c r="L162" s="34"/>
    </row>
    <row r="163" spans="1:12" ht="12.75" customHeight="1" x14ac:dyDescent="0.2">
      <c r="A163" s="50" t="s">
        <v>47</v>
      </c>
      <c r="B163" s="49" t="s">
        <v>118</v>
      </c>
      <c r="C163" s="34" t="s">
        <v>133</v>
      </c>
      <c r="D163" s="23" t="s">
        <v>1</v>
      </c>
      <c r="E163" s="12">
        <f t="shared" ref="E163:J163" si="54">SUM(E164:E167)</f>
        <v>22452.639999999999</v>
      </c>
      <c r="F163" s="12">
        <f t="shared" si="54"/>
        <v>0</v>
      </c>
      <c r="G163" s="12">
        <f t="shared" si="54"/>
        <v>22452.639999999999</v>
      </c>
      <c r="H163" s="12">
        <f t="shared" si="54"/>
        <v>0</v>
      </c>
      <c r="I163" s="12">
        <f t="shared" si="54"/>
        <v>0</v>
      </c>
      <c r="J163" s="12">
        <f t="shared" si="54"/>
        <v>0</v>
      </c>
      <c r="K163" s="38" t="s">
        <v>34</v>
      </c>
      <c r="L163" s="34" t="s">
        <v>227</v>
      </c>
    </row>
    <row r="164" spans="1:12" ht="51" customHeight="1" x14ac:dyDescent="0.2">
      <c r="A164" s="61"/>
      <c r="B164" s="49"/>
      <c r="C164" s="34"/>
      <c r="D164" s="23" t="s">
        <v>19</v>
      </c>
      <c r="E164" s="12">
        <f>SUM(F164:J164)</f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38"/>
      <c r="L164" s="34"/>
    </row>
    <row r="165" spans="1:12" ht="51" customHeight="1" x14ac:dyDescent="0.2">
      <c r="A165" s="61"/>
      <c r="B165" s="49"/>
      <c r="C165" s="34"/>
      <c r="D165" s="23" t="s">
        <v>0</v>
      </c>
      <c r="E165" s="12">
        <f>SUM(F165:J165)</f>
        <v>14032.900000000001</v>
      </c>
      <c r="F165" s="12">
        <v>0</v>
      </c>
      <c r="G165" s="12">
        <f>19017.38-4906.78-77.7</f>
        <v>14032.900000000001</v>
      </c>
      <c r="H165" s="12">
        <v>0</v>
      </c>
      <c r="I165" s="12">
        <v>0</v>
      </c>
      <c r="J165" s="12">
        <v>0</v>
      </c>
      <c r="K165" s="38"/>
      <c r="L165" s="34"/>
    </row>
    <row r="166" spans="1:12" ht="72.75" customHeight="1" x14ac:dyDescent="0.2">
      <c r="A166" s="61"/>
      <c r="B166" s="49"/>
      <c r="C166" s="34"/>
      <c r="D166" s="23" t="s">
        <v>27</v>
      </c>
      <c r="E166" s="12">
        <f>SUM(F166:J166)</f>
        <v>8419.74</v>
      </c>
      <c r="F166" s="12">
        <v>0</v>
      </c>
      <c r="G166" s="12">
        <f>11410.44-2944.08-46.62</f>
        <v>8419.74</v>
      </c>
      <c r="H166" s="12">
        <v>0</v>
      </c>
      <c r="I166" s="12">
        <v>0</v>
      </c>
      <c r="J166" s="12">
        <v>0</v>
      </c>
      <c r="K166" s="38"/>
      <c r="L166" s="34"/>
    </row>
    <row r="167" spans="1:12" ht="33.75" customHeight="1" x14ac:dyDescent="0.2">
      <c r="A167" s="62"/>
      <c r="B167" s="49"/>
      <c r="C167" s="34"/>
      <c r="D167" s="23" t="s">
        <v>2</v>
      </c>
      <c r="E167" s="12">
        <f>SUM(F167:J167)</f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38"/>
      <c r="L167" s="34"/>
    </row>
    <row r="168" spans="1:12" ht="12.75" customHeight="1" x14ac:dyDescent="0.2">
      <c r="A168" s="50" t="s">
        <v>48</v>
      </c>
      <c r="B168" s="49" t="s">
        <v>86</v>
      </c>
      <c r="C168" s="34" t="s">
        <v>133</v>
      </c>
      <c r="D168" s="23" t="s">
        <v>1</v>
      </c>
      <c r="E168" s="12">
        <f t="shared" ref="E168:J168" si="55">SUM(E169:E172)</f>
        <v>39900.520000000004</v>
      </c>
      <c r="F168" s="12">
        <f t="shared" si="55"/>
        <v>0</v>
      </c>
      <c r="G168" s="12">
        <f t="shared" si="55"/>
        <v>39900.520000000004</v>
      </c>
      <c r="H168" s="12">
        <f t="shared" si="55"/>
        <v>0</v>
      </c>
      <c r="I168" s="12">
        <f t="shared" si="55"/>
        <v>0</v>
      </c>
      <c r="J168" s="12">
        <f t="shared" si="55"/>
        <v>0</v>
      </c>
      <c r="K168" s="38" t="s">
        <v>34</v>
      </c>
      <c r="L168" s="34" t="s">
        <v>104</v>
      </c>
    </row>
    <row r="169" spans="1:12" ht="42" customHeight="1" x14ac:dyDescent="0.2">
      <c r="A169" s="51"/>
      <c r="B169" s="31"/>
      <c r="C169" s="34"/>
      <c r="D169" s="23" t="s">
        <v>19</v>
      </c>
      <c r="E169" s="12">
        <f>SUM(F169:J169)</f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38"/>
      <c r="L169" s="34"/>
    </row>
    <row r="170" spans="1:12" ht="54.75" customHeight="1" x14ac:dyDescent="0.2">
      <c r="A170" s="51"/>
      <c r="B170" s="31"/>
      <c r="C170" s="34"/>
      <c r="D170" s="23" t="s">
        <v>0</v>
      </c>
      <c r="E170" s="12">
        <f>SUM(F170:J170)</f>
        <v>39501.51</v>
      </c>
      <c r="F170" s="12">
        <v>0</v>
      </c>
      <c r="G170" s="12">
        <f>39700-198.49</f>
        <v>39501.51</v>
      </c>
      <c r="H170" s="12">
        <v>0</v>
      </c>
      <c r="I170" s="12">
        <v>0</v>
      </c>
      <c r="J170" s="12">
        <v>0</v>
      </c>
      <c r="K170" s="38"/>
      <c r="L170" s="34"/>
    </row>
    <row r="171" spans="1:12" ht="69.75" customHeight="1" x14ac:dyDescent="0.2">
      <c r="A171" s="51"/>
      <c r="B171" s="31"/>
      <c r="C171" s="34"/>
      <c r="D171" s="23" t="s">
        <v>27</v>
      </c>
      <c r="E171" s="12">
        <f>SUM(F171:J171)</f>
        <v>399.01</v>
      </c>
      <c r="F171" s="12">
        <v>0</v>
      </c>
      <c r="G171" s="12">
        <f>401.02-2.01</f>
        <v>399.01</v>
      </c>
      <c r="H171" s="12">
        <v>0</v>
      </c>
      <c r="I171" s="12">
        <v>0</v>
      </c>
      <c r="J171" s="12">
        <v>0</v>
      </c>
      <c r="K171" s="38"/>
      <c r="L171" s="34"/>
    </row>
    <row r="172" spans="1:12" ht="31.5" customHeight="1" x14ac:dyDescent="0.2">
      <c r="A172" s="52"/>
      <c r="B172" s="31"/>
      <c r="C172" s="34"/>
      <c r="D172" s="23" t="s">
        <v>2</v>
      </c>
      <c r="E172" s="12">
        <f>SUM(F172:J172)</f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38"/>
      <c r="L172" s="34"/>
    </row>
    <row r="173" spans="1:12" ht="12.75" customHeight="1" x14ac:dyDescent="0.2">
      <c r="A173" s="50" t="s">
        <v>49</v>
      </c>
      <c r="B173" s="54" t="s">
        <v>83</v>
      </c>
      <c r="C173" s="39" t="s">
        <v>113</v>
      </c>
      <c r="D173" s="23" t="s">
        <v>1</v>
      </c>
      <c r="E173" s="12">
        <f t="shared" ref="E173:J173" si="56">SUM(E174:E177)</f>
        <v>70000</v>
      </c>
      <c r="F173" s="12">
        <f t="shared" si="56"/>
        <v>0</v>
      </c>
      <c r="G173" s="12">
        <f t="shared" si="56"/>
        <v>70000</v>
      </c>
      <c r="H173" s="12">
        <f t="shared" si="56"/>
        <v>0</v>
      </c>
      <c r="I173" s="12">
        <f t="shared" si="56"/>
        <v>0</v>
      </c>
      <c r="J173" s="12">
        <f t="shared" si="56"/>
        <v>0</v>
      </c>
      <c r="K173" s="57" t="s">
        <v>34</v>
      </c>
      <c r="L173" s="34" t="s">
        <v>115</v>
      </c>
    </row>
    <row r="174" spans="1:12" ht="39" customHeight="1" x14ac:dyDescent="0.2">
      <c r="A174" s="51"/>
      <c r="B174" s="55"/>
      <c r="C174" s="40"/>
      <c r="D174" s="23" t="s">
        <v>19</v>
      </c>
      <c r="E174" s="12">
        <f>SUM(F174:J174)</f>
        <v>70000</v>
      </c>
      <c r="F174" s="12">
        <v>0</v>
      </c>
      <c r="G174" s="12">
        <v>70000</v>
      </c>
      <c r="H174" s="12">
        <v>0</v>
      </c>
      <c r="I174" s="12">
        <v>0</v>
      </c>
      <c r="J174" s="12">
        <v>0</v>
      </c>
      <c r="K174" s="58"/>
      <c r="L174" s="34"/>
    </row>
    <row r="175" spans="1:12" ht="49.5" customHeight="1" x14ac:dyDescent="0.2">
      <c r="A175" s="51"/>
      <c r="B175" s="55"/>
      <c r="C175" s="40"/>
      <c r="D175" s="23" t="s">
        <v>0</v>
      </c>
      <c r="E175" s="12">
        <f>SUM(F175:J175)</f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58"/>
      <c r="L175" s="34"/>
    </row>
    <row r="176" spans="1:12" ht="65.25" customHeight="1" x14ac:dyDescent="0.2">
      <c r="A176" s="51"/>
      <c r="B176" s="55"/>
      <c r="C176" s="40"/>
      <c r="D176" s="23" t="s">
        <v>27</v>
      </c>
      <c r="E176" s="12">
        <f>SUM(F176:J176)</f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58"/>
      <c r="L176" s="34"/>
    </row>
    <row r="177" spans="1:12" ht="54" customHeight="1" x14ac:dyDescent="0.2">
      <c r="A177" s="52"/>
      <c r="B177" s="56"/>
      <c r="C177" s="41"/>
      <c r="D177" s="23" t="s">
        <v>2</v>
      </c>
      <c r="E177" s="12">
        <f>SUM(F177:J177)</f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59"/>
      <c r="L177" s="34"/>
    </row>
    <row r="178" spans="1:12" ht="30" customHeight="1" x14ac:dyDescent="0.2">
      <c r="A178" s="50" t="s">
        <v>50</v>
      </c>
      <c r="B178" s="49" t="s">
        <v>99</v>
      </c>
      <c r="C178" s="34">
        <v>2021</v>
      </c>
      <c r="D178" s="23" t="s">
        <v>1</v>
      </c>
      <c r="E178" s="12">
        <f t="shared" ref="E178:J178" si="57">SUM(E179:E182)</f>
        <v>30807.010000000002</v>
      </c>
      <c r="F178" s="12">
        <f t="shared" si="57"/>
        <v>0</v>
      </c>
      <c r="G178" s="12">
        <f t="shared" si="57"/>
        <v>30807.010000000002</v>
      </c>
      <c r="H178" s="12">
        <f t="shared" si="57"/>
        <v>0</v>
      </c>
      <c r="I178" s="12">
        <f t="shared" si="57"/>
        <v>0</v>
      </c>
      <c r="J178" s="12">
        <f t="shared" si="57"/>
        <v>0</v>
      </c>
      <c r="K178" s="36" t="s">
        <v>38</v>
      </c>
      <c r="L178" s="34" t="s">
        <v>220</v>
      </c>
    </row>
    <row r="179" spans="1:12" ht="45.75" customHeight="1" x14ac:dyDescent="0.2">
      <c r="A179" s="61"/>
      <c r="B179" s="49"/>
      <c r="C179" s="34"/>
      <c r="D179" s="23" t="s">
        <v>19</v>
      </c>
      <c r="E179" s="12">
        <f>SUM(F179:J179)</f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36"/>
      <c r="L179" s="34"/>
    </row>
    <row r="180" spans="1:12" ht="48" customHeight="1" x14ac:dyDescent="0.2">
      <c r="A180" s="61"/>
      <c r="B180" s="49"/>
      <c r="C180" s="34"/>
      <c r="D180" s="23" t="s">
        <v>0</v>
      </c>
      <c r="E180" s="12">
        <f>SUM(F180:J180)</f>
        <v>9242.1</v>
      </c>
      <c r="F180" s="12">
        <v>0</v>
      </c>
      <c r="G180" s="12">
        <f>12000-2757.9</f>
        <v>9242.1</v>
      </c>
      <c r="H180" s="12">
        <v>0</v>
      </c>
      <c r="I180" s="12">
        <v>0</v>
      </c>
      <c r="J180" s="12">
        <v>0</v>
      </c>
      <c r="K180" s="36"/>
      <c r="L180" s="34"/>
    </row>
    <row r="181" spans="1:12" ht="64.5" customHeight="1" x14ac:dyDescent="0.2">
      <c r="A181" s="61"/>
      <c r="B181" s="49"/>
      <c r="C181" s="34"/>
      <c r="D181" s="23" t="s">
        <v>27</v>
      </c>
      <c r="E181" s="12">
        <f>SUM(F181:J181)</f>
        <v>21564.91</v>
      </c>
      <c r="F181" s="12">
        <v>0</v>
      </c>
      <c r="G181" s="12">
        <f>28000-6435.09</f>
        <v>21564.91</v>
      </c>
      <c r="H181" s="12">
        <v>0</v>
      </c>
      <c r="I181" s="12">
        <v>0</v>
      </c>
      <c r="J181" s="12">
        <v>0</v>
      </c>
      <c r="K181" s="36"/>
      <c r="L181" s="34"/>
    </row>
    <row r="182" spans="1:12" ht="45.75" customHeight="1" x14ac:dyDescent="0.2">
      <c r="A182" s="62"/>
      <c r="B182" s="49"/>
      <c r="C182" s="34"/>
      <c r="D182" s="23" t="s">
        <v>2</v>
      </c>
      <c r="E182" s="12">
        <f>SUM(F182:J182)</f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36"/>
      <c r="L182" s="34"/>
    </row>
    <row r="183" spans="1:12" x14ac:dyDescent="0.2">
      <c r="A183" s="50" t="s">
        <v>51</v>
      </c>
      <c r="B183" s="49" t="s">
        <v>157</v>
      </c>
      <c r="C183" s="34" t="s">
        <v>136</v>
      </c>
      <c r="D183" s="23" t="s">
        <v>1</v>
      </c>
      <c r="E183" s="12">
        <f t="shared" ref="E183:J183" si="58">SUM(E184:E187)</f>
        <v>0</v>
      </c>
      <c r="F183" s="12">
        <f t="shared" si="58"/>
        <v>0</v>
      </c>
      <c r="G183" s="12">
        <f t="shared" si="58"/>
        <v>0</v>
      </c>
      <c r="H183" s="12">
        <f t="shared" si="58"/>
        <v>0</v>
      </c>
      <c r="I183" s="12">
        <f t="shared" si="58"/>
        <v>0</v>
      </c>
      <c r="J183" s="12">
        <f t="shared" si="58"/>
        <v>0</v>
      </c>
      <c r="K183" s="36" t="s">
        <v>38</v>
      </c>
      <c r="L183" s="34" t="s">
        <v>177</v>
      </c>
    </row>
    <row r="184" spans="1:12" ht="45.75" customHeight="1" x14ac:dyDescent="0.2">
      <c r="A184" s="61"/>
      <c r="B184" s="31"/>
      <c r="C184" s="34"/>
      <c r="D184" s="23" t="s">
        <v>19</v>
      </c>
      <c r="E184" s="12">
        <f>SUM(F184:J184)</f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36"/>
      <c r="L184" s="34"/>
    </row>
    <row r="185" spans="1:12" ht="63" customHeight="1" x14ac:dyDescent="0.2">
      <c r="A185" s="61"/>
      <c r="B185" s="31"/>
      <c r="C185" s="34"/>
      <c r="D185" s="23" t="s">
        <v>0</v>
      </c>
      <c r="E185" s="12">
        <f>SUM(F185:J185)</f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36"/>
      <c r="L185" s="34"/>
    </row>
    <row r="186" spans="1:12" ht="65.25" customHeight="1" x14ac:dyDescent="0.2">
      <c r="A186" s="61"/>
      <c r="B186" s="31"/>
      <c r="C186" s="34"/>
      <c r="D186" s="23" t="s">
        <v>27</v>
      </c>
      <c r="E186" s="12">
        <f>SUM(F186:J186)</f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36"/>
      <c r="L186" s="34"/>
    </row>
    <row r="187" spans="1:12" ht="33" customHeight="1" x14ac:dyDescent="0.2">
      <c r="A187" s="62"/>
      <c r="B187" s="31"/>
      <c r="C187" s="34"/>
      <c r="D187" s="23" t="s">
        <v>2</v>
      </c>
      <c r="E187" s="12">
        <f>SUM(F187:J187)</f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36"/>
      <c r="L187" s="34"/>
    </row>
    <row r="188" spans="1:12" x14ac:dyDescent="0.2">
      <c r="A188" s="50" t="s">
        <v>51</v>
      </c>
      <c r="B188" s="49" t="s">
        <v>102</v>
      </c>
      <c r="C188" s="34">
        <v>2021</v>
      </c>
      <c r="D188" s="23" t="s">
        <v>1</v>
      </c>
      <c r="E188" s="12">
        <f t="shared" ref="E188:J188" si="59">SUM(E189:E192)</f>
        <v>9000</v>
      </c>
      <c r="F188" s="12">
        <f t="shared" si="59"/>
        <v>0</v>
      </c>
      <c r="G188" s="12">
        <f t="shared" si="59"/>
        <v>9000</v>
      </c>
      <c r="H188" s="12">
        <f t="shared" si="59"/>
        <v>0</v>
      </c>
      <c r="I188" s="12">
        <f t="shared" si="59"/>
        <v>0</v>
      </c>
      <c r="J188" s="12">
        <f t="shared" si="59"/>
        <v>0</v>
      </c>
      <c r="K188" s="36" t="s">
        <v>38</v>
      </c>
      <c r="L188" s="34" t="s">
        <v>116</v>
      </c>
    </row>
    <row r="189" spans="1:12" ht="45.75" customHeight="1" x14ac:dyDescent="0.2">
      <c r="A189" s="61"/>
      <c r="B189" s="31"/>
      <c r="C189" s="34"/>
      <c r="D189" s="23" t="s">
        <v>19</v>
      </c>
      <c r="E189" s="12">
        <f>SUM(F189:J189)</f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36"/>
      <c r="L189" s="34"/>
    </row>
    <row r="190" spans="1:12" ht="63" customHeight="1" x14ac:dyDescent="0.2">
      <c r="A190" s="61"/>
      <c r="B190" s="31"/>
      <c r="C190" s="34"/>
      <c r="D190" s="23" t="s">
        <v>0</v>
      </c>
      <c r="E190" s="12">
        <f>SUM(F190:J190)</f>
        <v>8910</v>
      </c>
      <c r="F190" s="12">
        <v>0</v>
      </c>
      <c r="G190" s="12">
        <v>8910</v>
      </c>
      <c r="H190" s="12">
        <v>0</v>
      </c>
      <c r="I190" s="12">
        <v>0</v>
      </c>
      <c r="J190" s="12">
        <v>0</v>
      </c>
      <c r="K190" s="36"/>
      <c r="L190" s="34"/>
    </row>
    <row r="191" spans="1:12" ht="65.25" customHeight="1" x14ac:dyDescent="0.2">
      <c r="A191" s="61"/>
      <c r="B191" s="31"/>
      <c r="C191" s="34"/>
      <c r="D191" s="23" t="s">
        <v>27</v>
      </c>
      <c r="E191" s="12">
        <f>SUM(F191:J191)</f>
        <v>90</v>
      </c>
      <c r="F191" s="12">
        <v>0</v>
      </c>
      <c r="G191" s="12">
        <v>90</v>
      </c>
      <c r="H191" s="12">
        <v>0</v>
      </c>
      <c r="I191" s="12">
        <v>0</v>
      </c>
      <c r="J191" s="12">
        <v>0</v>
      </c>
      <c r="K191" s="36"/>
      <c r="L191" s="34"/>
    </row>
    <row r="192" spans="1:12" ht="33" customHeight="1" x14ac:dyDescent="0.2">
      <c r="A192" s="62"/>
      <c r="B192" s="31"/>
      <c r="C192" s="34"/>
      <c r="D192" s="23" t="s">
        <v>2</v>
      </c>
      <c r="E192" s="12">
        <f>SUM(F192:J192)</f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36"/>
      <c r="L192" s="34"/>
    </row>
    <row r="193" spans="1:12" ht="24" customHeight="1" x14ac:dyDescent="0.2">
      <c r="A193" s="29" t="s">
        <v>62</v>
      </c>
      <c r="B193" s="30"/>
      <c r="C193" s="30"/>
      <c r="D193" s="24" t="s">
        <v>1</v>
      </c>
      <c r="E193" s="10">
        <f t="shared" ref="E193:J193" si="60">SUM(E194:E197)</f>
        <v>5577258.3448629994</v>
      </c>
      <c r="F193" s="10">
        <f t="shared" si="60"/>
        <v>652523.70720999991</v>
      </c>
      <c r="G193" s="10">
        <f t="shared" si="60"/>
        <v>2382698.7007800001</v>
      </c>
      <c r="H193" s="10">
        <f t="shared" si="60"/>
        <v>2174280.1268730001</v>
      </c>
      <c r="I193" s="10">
        <f t="shared" si="60"/>
        <v>266511.13</v>
      </c>
      <c r="J193" s="10">
        <f t="shared" si="60"/>
        <v>101244.68</v>
      </c>
      <c r="K193" s="18"/>
      <c r="L193" s="18"/>
    </row>
    <row r="194" spans="1:12" ht="48" customHeight="1" x14ac:dyDescent="0.2">
      <c r="A194" s="30"/>
      <c r="B194" s="30"/>
      <c r="C194" s="30"/>
      <c r="D194" s="25" t="s">
        <v>19</v>
      </c>
      <c r="E194" s="10">
        <f>SUM(F194:J194)</f>
        <v>902044.17</v>
      </c>
      <c r="F194" s="2">
        <f t="shared" ref="F194:J197" si="61">F139+F11</f>
        <v>310231.34000000003</v>
      </c>
      <c r="G194" s="2">
        <f t="shared" si="61"/>
        <v>162085.75</v>
      </c>
      <c r="H194" s="2">
        <f t="shared" si="61"/>
        <v>429727.08</v>
      </c>
      <c r="I194" s="2">
        <f t="shared" si="61"/>
        <v>0</v>
      </c>
      <c r="J194" s="2">
        <f t="shared" si="61"/>
        <v>0</v>
      </c>
      <c r="K194" s="18"/>
      <c r="L194" s="18"/>
    </row>
    <row r="195" spans="1:12" ht="59.25" customHeight="1" x14ac:dyDescent="0.2">
      <c r="A195" s="30"/>
      <c r="B195" s="30"/>
      <c r="C195" s="30"/>
      <c r="D195" s="25" t="s">
        <v>0</v>
      </c>
      <c r="E195" s="10">
        <f>SUM(F195:J195)</f>
        <v>2029086.96</v>
      </c>
      <c r="F195" s="2">
        <f t="shared" si="61"/>
        <v>262608.56999999995</v>
      </c>
      <c r="G195" s="2">
        <f t="shared" si="61"/>
        <v>1136086.83</v>
      </c>
      <c r="H195" s="2">
        <f t="shared" si="61"/>
        <v>483621.52999999997</v>
      </c>
      <c r="I195" s="2">
        <f t="shared" si="61"/>
        <v>132843.25</v>
      </c>
      <c r="J195" s="2">
        <f t="shared" si="61"/>
        <v>13926.78</v>
      </c>
      <c r="K195" s="18"/>
      <c r="L195" s="18"/>
    </row>
    <row r="196" spans="1:12" ht="57.75" customHeight="1" x14ac:dyDescent="0.2">
      <c r="A196" s="30"/>
      <c r="B196" s="30"/>
      <c r="C196" s="30"/>
      <c r="D196" s="25" t="s">
        <v>27</v>
      </c>
      <c r="E196" s="10">
        <f>SUM(F196:J196)</f>
        <v>2574627.214863</v>
      </c>
      <c r="F196" s="2">
        <f t="shared" si="61"/>
        <v>79683.797210000004</v>
      </c>
      <c r="G196" s="2">
        <f t="shared" si="61"/>
        <v>1014526.12078</v>
      </c>
      <c r="H196" s="2">
        <f t="shared" si="61"/>
        <v>1259431.516873</v>
      </c>
      <c r="I196" s="2">
        <f t="shared" si="61"/>
        <v>133667.88</v>
      </c>
      <c r="J196" s="2">
        <f t="shared" si="61"/>
        <v>87317.9</v>
      </c>
      <c r="K196" s="18"/>
      <c r="L196" s="18"/>
    </row>
    <row r="197" spans="1:12" ht="33.75" customHeight="1" x14ac:dyDescent="0.2">
      <c r="A197" s="30"/>
      <c r="B197" s="30"/>
      <c r="C197" s="30"/>
      <c r="D197" s="25" t="s">
        <v>2</v>
      </c>
      <c r="E197" s="10">
        <f>SUM(F197:J197)</f>
        <v>71500</v>
      </c>
      <c r="F197" s="2">
        <f t="shared" si="61"/>
        <v>0</v>
      </c>
      <c r="G197" s="2">
        <f t="shared" si="61"/>
        <v>70000</v>
      </c>
      <c r="H197" s="2">
        <f t="shared" si="61"/>
        <v>1500</v>
      </c>
      <c r="I197" s="2">
        <f t="shared" si="61"/>
        <v>0</v>
      </c>
      <c r="J197" s="2">
        <f t="shared" si="61"/>
        <v>0</v>
      </c>
      <c r="K197" s="18"/>
      <c r="L197" s="18"/>
    </row>
    <row r="198" spans="1:12" s="3" customFormat="1" ht="27.75" customHeight="1" x14ac:dyDescent="0.3">
      <c r="A198" s="29" t="s">
        <v>119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1:12" s="11" customFormat="1" ht="12.75" customHeight="1" x14ac:dyDescent="0.2">
      <c r="A199" s="46">
        <v>1</v>
      </c>
      <c r="B199" s="32" t="s">
        <v>41</v>
      </c>
      <c r="C199" s="29" t="s">
        <v>9</v>
      </c>
      <c r="D199" s="24" t="s">
        <v>1</v>
      </c>
      <c r="E199" s="10">
        <f t="shared" ref="E199:J199" si="62">SUM(E200:E203)</f>
        <v>12268620.82161</v>
      </c>
      <c r="F199" s="10">
        <f t="shared" si="62"/>
        <v>2118600.20841</v>
      </c>
      <c r="G199" s="10">
        <f t="shared" si="62"/>
        <v>2517963.8606699998</v>
      </c>
      <c r="H199" s="10">
        <f t="shared" si="62"/>
        <v>2769069.0385499997</v>
      </c>
      <c r="I199" s="10">
        <f t="shared" si="62"/>
        <v>2431493.8569899998</v>
      </c>
      <c r="J199" s="10">
        <f t="shared" si="62"/>
        <v>2431493.8569899998</v>
      </c>
      <c r="K199" s="33" t="s">
        <v>156</v>
      </c>
      <c r="L199" s="29"/>
    </row>
    <row r="200" spans="1:12" s="11" customFormat="1" ht="47.25" customHeight="1" x14ac:dyDescent="0.2">
      <c r="A200" s="46"/>
      <c r="B200" s="32"/>
      <c r="C200" s="29"/>
      <c r="D200" s="25" t="s">
        <v>19</v>
      </c>
      <c r="E200" s="10">
        <f>SUM(F200:J200)</f>
        <v>0</v>
      </c>
      <c r="F200" s="10">
        <f>F222+F227</f>
        <v>0</v>
      </c>
      <c r="G200" s="10">
        <f t="shared" ref="G200:J201" si="63">G222+G227</f>
        <v>0</v>
      </c>
      <c r="H200" s="10">
        <f>H222+H227+H233</f>
        <v>0</v>
      </c>
      <c r="I200" s="10">
        <f t="shared" si="63"/>
        <v>0</v>
      </c>
      <c r="J200" s="10">
        <f t="shared" si="63"/>
        <v>0</v>
      </c>
      <c r="K200" s="33"/>
      <c r="L200" s="29"/>
    </row>
    <row r="201" spans="1:12" s="11" customFormat="1" ht="58.5" customHeight="1" x14ac:dyDescent="0.2">
      <c r="A201" s="46"/>
      <c r="B201" s="32"/>
      <c r="C201" s="29"/>
      <c r="D201" s="25" t="s">
        <v>0</v>
      </c>
      <c r="E201" s="10">
        <f>SUM(F201:J201)</f>
        <v>63456.03</v>
      </c>
      <c r="F201" s="10">
        <f>F223+F228</f>
        <v>0</v>
      </c>
      <c r="G201" s="10">
        <f t="shared" si="63"/>
        <v>0</v>
      </c>
      <c r="H201" s="10">
        <f>H223+H228+H234</f>
        <v>63456.03</v>
      </c>
      <c r="I201" s="10">
        <f t="shared" si="63"/>
        <v>0</v>
      </c>
      <c r="J201" s="10">
        <f t="shared" si="63"/>
        <v>0</v>
      </c>
      <c r="K201" s="33"/>
      <c r="L201" s="29"/>
    </row>
    <row r="202" spans="1:12" s="11" customFormat="1" ht="78" customHeight="1" x14ac:dyDescent="0.2">
      <c r="A202" s="46"/>
      <c r="B202" s="32"/>
      <c r="C202" s="29"/>
      <c r="D202" s="25" t="s">
        <v>27</v>
      </c>
      <c r="E202" s="10">
        <f>SUM(F202:J202)</f>
        <v>12205164.791610001</v>
      </c>
      <c r="F202" s="10">
        <f>F204+F205+F206+F207+F208+F209+F210+F211+F212+F213+F214+F215+F216+F217+F218+F219+F220+F224+F229+F231+F237</f>
        <v>2118600.20841</v>
      </c>
      <c r="G202" s="10">
        <f t="shared" ref="G202:J202" si="64">G204+G205+G206+G207+G208+G209+G210+G211+G212+G213+G214+G215+G216+G217+G218+G219+G220+G224+G229+G231+G237</f>
        <v>2517963.8606699998</v>
      </c>
      <c r="H202" s="10">
        <f>H204+H205+H206+H207+H208+H209+H210+H211+H212+H213+H214+H215+H216+H217+H218+H219+H220+H224+H229+H231+H237+H235</f>
        <v>2705613.0085499999</v>
      </c>
      <c r="I202" s="10">
        <f t="shared" si="64"/>
        <v>2431493.8569899998</v>
      </c>
      <c r="J202" s="10">
        <f t="shared" si="64"/>
        <v>2431493.8569899998</v>
      </c>
      <c r="K202" s="33"/>
      <c r="L202" s="29"/>
    </row>
    <row r="203" spans="1:12" s="11" customFormat="1" ht="41.25" customHeight="1" x14ac:dyDescent="0.2">
      <c r="A203" s="46"/>
      <c r="B203" s="32"/>
      <c r="C203" s="29"/>
      <c r="D203" s="25" t="s">
        <v>2</v>
      </c>
      <c r="E203" s="10">
        <f>SUM(F203:J203)</f>
        <v>0</v>
      </c>
      <c r="F203" s="10">
        <f>F225+F230</f>
        <v>0</v>
      </c>
      <c r="G203" s="10">
        <f t="shared" ref="G203:J203" si="65">G225+G230</f>
        <v>0</v>
      </c>
      <c r="H203" s="10">
        <f t="shared" si="65"/>
        <v>0</v>
      </c>
      <c r="I203" s="10">
        <f t="shared" si="65"/>
        <v>0</v>
      </c>
      <c r="J203" s="10">
        <f t="shared" si="65"/>
        <v>0</v>
      </c>
      <c r="K203" s="33"/>
      <c r="L203" s="29"/>
    </row>
    <row r="204" spans="1:12" ht="99" customHeight="1" x14ac:dyDescent="0.2">
      <c r="A204" s="20" t="s">
        <v>183</v>
      </c>
      <c r="B204" s="27" t="s">
        <v>87</v>
      </c>
      <c r="C204" s="22" t="s">
        <v>133</v>
      </c>
      <c r="D204" s="23" t="s">
        <v>27</v>
      </c>
      <c r="E204" s="12">
        <f t="shared" ref="E204" si="66">SUM(F204:J204)</f>
        <v>580693.55693999981</v>
      </c>
      <c r="F204" s="12">
        <f>250382.96558+32985.72985-10422.87-28669.6087-1768.52118-5000-0.01+400+400+4340.38817+13900+1956-1500.99221</f>
        <v>257003.08150999993</v>
      </c>
      <c r="G204" s="12">
        <f>10.504+238346.24426+390.632+6598.97916+7000+8.94166+24466.42429+5107+141.1535+975.44339+33037.49213+1078.15194+599.49139+548.4621-93.837+21687.5886-3648.99832-13926.18382+6963.76582-15368.47299+9811.59306-43.89974</f>
        <v>323690.47542999993</v>
      </c>
      <c r="H204" s="12">
        <v>0</v>
      </c>
      <c r="I204" s="12">
        <v>0</v>
      </c>
      <c r="J204" s="12">
        <v>0</v>
      </c>
      <c r="K204" s="21" t="s">
        <v>34</v>
      </c>
      <c r="L204" s="22" t="s">
        <v>32</v>
      </c>
    </row>
    <row r="205" spans="1:12" ht="216.75" customHeight="1" x14ac:dyDescent="0.2">
      <c r="A205" s="20" t="s">
        <v>184</v>
      </c>
      <c r="B205" s="27" t="s">
        <v>88</v>
      </c>
      <c r="C205" s="22" t="s">
        <v>133</v>
      </c>
      <c r="D205" s="23" t="s">
        <v>27</v>
      </c>
      <c r="E205" s="12">
        <f t="shared" ref="E205" si="67">SUM(F205:J205)</f>
        <v>664342.32088000001</v>
      </c>
      <c r="F205" s="12">
        <f>269882.39209+1768.52118+42000-13900+3990.8906</f>
        <v>303741.80386999995</v>
      </c>
      <c r="G205" s="12">
        <f>133676.91174+151404.482-24466.42429-6200+24466.42429+6200+25726.47941+1562.8044+48229.83946</f>
        <v>360600.51701000001</v>
      </c>
      <c r="H205" s="12">
        <v>0</v>
      </c>
      <c r="I205" s="12">
        <v>0</v>
      </c>
      <c r="J205" s="12">
        <v>0</v>
      </c>
      <c r="K205" s="21" t="s">
        <v>34</v>
      </c>
      <c r="L205" s="22" t="s">
        <v>36</v>
      </c>
    </row>
    <row r="206" spans="1:12" ht="117" customHeight="1" x14ac:dyDescent="0.2">
      <c r="A206" s="20" t="s">
        <v>185</v>
      </c>
      <c r="B206" s="27" t="s">
        <v>89</v>
      </c>
      <c r="C206" s="22" t="s">
        <v>133</v>
      </c>
      <c r="D206" s="23" t="s">
        <v>27</v>
      </c>
      <c r="E206" s="12">
        <f t="shared" ref="E206:E207" si="68">SUM(F206:J206)</f>
        <v>27229.125209999998</v>
      </c>
      <c r="F206" s="12">
        <f>5404.32-400-600-400-2222.74216</f>
        <v>1781.5778399999999</v>
      </c>
      <c r="G206" s="12">
        <f>4035.49639+6315.014+1878.29983+1078.15194-2178.73531-1078.15194+15557.16039-159.68793</f>
        <v>25447.54737</v>
      </c>
      <c r="H206" s="12">
        <v>0</v>
      </c>
      <c r="I206" s="12">
        <v>0</v>
      </c>
      <c r="J206" s="12">
        <v>0</v>
      </c>
      <c r="K206" s="21" t="s">
        <v>34</v>
      </c>
      <c r="L206" s="22" t="s">
        <v>33</v>
      </c>
    </row>
    <row r="207" spans="1:12" ht="161.25" customHeight="1" x14ac:dyDescent="0.2">
      <c r="A207" s="20" t="s">
        <v>186</v>
      </c>
      <c r="B207" s="27" t="s">
        <v>90</v>
      </c>
      <c r="C207" s="22" t="s">
        <v>133</v>
      </c>
      <c r="D207" s="23" t="s">
        <v>27</v>
      </c>
      <c r="E207" s="12">
        <f t="shared" si="68"/>
        <v>3297312.74493</v>
      </c>
      <c r="F207" s="12">
        <f>1504338.79291-2415-204+4571.18676+6925.65508</f>
        <v>1513216.63475</v>
      </c>
      <c r="G207" s="12">
        <f>1514752.777-90.01+511.104+13800+16200-2827.051+30000+1429.42006-12212.68755-6536.67-7809.30437+150000+2699.51916+12292.08-9600+60000+41844.26496-545.90681+3545.90681-17316.29028-6041.0418</f>
        <v>1784096.1101800001</v>
      </c>
      <c r="H207" s="12">
        <v>0</v>
      </c>
      <c r="I207" s="12">
        <v>0</v>
      </c>
      <c r="J207" s="12">
        <v>0</v>
      </c>
      <c r="K207" s="21" t="s">
        <v>37</v>
      </c>
      <c r="L207" s="22" t="s">
        <v>69</v>
      </c>
    </row>
    <row r="208" spans="1:12" ht="152.25" customHeight="1" x14ac:dyDescent="0.2">
      <c r="A208" s="20" t="s">
        <v>187</v>
      </c>
      <c r="B208" s="27" t="s">
        <v>178</v>
      </c>
      <c r="C208" s="22" t="s">
        <v>9</v>
      </c>
      <c r="D208" s="23" t="s">
        <v>27</v>
      </c>
      <c r="E208" s="12">
        <f t="shared" ref="E208" si="69">SUM(F208:J208)</f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21" t="s">
        <v>34</v>
      </c>
      <c r="L208" s="22" t="s">
        <v>32</v>
      </c>
    </row>
    <row r="209" spans="1:12" ht="147" customHeight="1" x14ac:dyDescent="0.2">
      <c r="A209" s="20" t="s">
        <v>188</v>
      </c>
      <c r="B209" s="27" t="s">
        <v>91</v>
      </c>
      <c r="C209" s="22" t="s">
        <v>133</v>
      </c>
      <c r="D209" s="23" t="s">
        <v>27</v>
      </c>
      <c r="E209" s="12">
        <f t="shared" ref="E209" si="70">SUM(F209:J209)</f>
        <v>17449.835999999999</v>
      </c>
      <c r="F209" s="12">
        <f>20250-10250</f>
        <v>10000</v>
      </c>
      <c r="G209" s="12">
        <f>3495.693+3999.836-45.693</f>
        <v>7449.8360000000002</v>
      </c>
      <c r="H209" s="12">
        <v>0</v>
      </c>
      <c r="I209" s="12">
        <v>0</v>
      </c>
      <c r="J209" s="12">
        <v>0</v>
      </c>
      <c r="K209" s="21" t="s">
        <v>34</v>
      </c>
      <c r="L209" s="22" t="s">
        <v>32</v>
      </c>
    </row>
    <row r="210" spans="1:12" ht="161.25" customHeight="1" x14ac:dyDescent="0.2">
      <c r="A210" s="20" t="s">
        <v>189</v>
      </c>
      <c r="B210" s="27" t="s">
        <v>179</v>
      </c>
      <c r="C210" s="22" t="s">
        <v>136</v>
      </c>
      <c r="D210" s="23" t="s">
        <v>27</v>
      </c>
      <c r="E210" s="12">
        <f t="shared" ref="E210" si="71">SUM(F210:J210)</f>
        <v>531400.8960200001</v>
      </c>
      <c r="F210" s="12">
        <v>0</v>
      </c>
      <c r="G210" s="12">
        <v>0</v>
      </c>
      <c r="H210" s="12">
        <f>171960.6336+15518.99522</f>
        <v>187479.62882000001</v>
      </c>
      <c r="I210" s="12">
        <v>171960.6336</v>
      </c>
      <c r="J210" s="12">
        <v>171960.6336</v>
      </c>
      <c r="K210" s="21" t="s">
        <v>34</v>
      </c>
      <c r="L210" s="22" t="s">
        <v>175</v>
      </c>
    </row>
    <row r="211" spans="1:12" ht="161.25" customHeight="1" x14ac:dyDescent="0.2">
      <c r="A211" s="20" t="s">
        <v>190</v>
      </c>
      <c r="B211" s="24" t="s">
        <v>158</v>
      </c>
      <c r="C211" s="22" t="s">
        <v>136</v>
      </c>
      <c r="D211" s="23" t="s">
        <v>27</v>
      </c>
      <c r="E211" s="12">
        <f t="shared" ref="E211" si="72">SUM(F211:J211)</f>
        <v>2385631.4503499996</v>
      </c>
      <c r="F211" s="12">
        <v>0</v>
      </c>
      <c r="G211" s="12">
        <v>0</v>
      </c>
      <c r="H211" s="12">
        <f>727395.3391+74643.5332+11780.4-7965.07024-254.1-298.62775-49834.30307+15615.65956-9270.28137-463.18524+599.75628+19604.5852799999</f>
        <v>781553.70574999973</v>
      </c>
      <c r="I211" s="12">
        <f t="shared" ref="I211:J211" si="73">727395.3391+74643.5332</f>
        <v>802038.87229999993</v>
      </c>
      <c r="J211" s="12">
        <f t="shared" si="73"/>
        <v>802038.87229999993</v>
      </c>
      <c r="K211" s="21" t="s">
        <v>37</v>
      </c>
      <c r="L211" s="22" t="s">
        <v>175</v>
      </c>
    </row>
    <row r="212" spans="1:12" ht="161.25" customHeight="1" x14ac:dyDescent="0.2">
      <c r="A212" s="20" t="s">
        <v>191</v>
      </c>
      <c r="B212" s="24" t="s">
        <v>159</v>
      </c>
      <c r="C212" s="22" t="s">
        <v>136</v>
      </c>
      <c r="D212" s="23" t="s">
        <v>27</v>
      </c>
      <c r="E212" s="12">
        <f t="shared" ref="E212" si="74">SUM(F212:J212)</f>
        <v>197341.11192</v>
      </c>
      <c r="F212" s="12">
        <v>0</v>
      </c>
      <c r="G212" s="12">
        <v>0</v>
      </c>
      <c r="H212" s="12">
        <f>63892.62281-0.33459+494+2401.01237+2768.56571</f>
        <v>69555.866299999994</v>
      </c>
      <c r="I212" s="12">
        <v>63892.622810000001</v>
      </c>
      <c r="J212" s="12">
        <v>63892.622810000001</v>
      </c>
      <c r="K212" s="21" t="s">
        <v>34</v>
      </c>
      <c r="L212" s="22" t="s">
        <v>175</v>
      </c>
    </row>
    <row r="213" spans="1:12" ht="161.25" customHeight="1" x14ac:dyDescent="0.2">
      <c r="A213" s="20" t="s">
        <v>192</v>
      </c>
      <c r="B213" s="24" t="s">
        <v>160</v>
      </c>
      <c r="C213" s="22" t="s">
        <v>136</v>
      </c>
      <c r="D213" s="23" t="s">
        <v>27</v>
      </c>
      <c r="E213" s="12">
        <f t="shared" ref="E213" si="75">SUM(F213:J213)</f>
        <v>101824.89492999998</v>
      </c>
      <c r="F213" s="12">
        <v>0</v>
      </c>
      <c r="G213" s="12">
        <v>0</v>
      </c>
      <c r="H213" s="12">
        <f>33396.54734-199.12309+1834.376</f>
        <v>35031.800249999993</v>
      </c>
      <c r="I213" s="12">
        <v>33396.547339999997</v>
      </c>
      <c r="J213" s="12">
        <v>33396.547339999997</v>
      </c>
      <c r="K213" s="21" t="s">
        <v>34</v>
      </c>
      <c r="L213" s="22" t="s">
        <v>175</v>
      </c>
    </row>
    <row r="214" spans="1:12" ht="161.25" customHeight="1" x14ac:dyDescent="0.2">
      <c r="A214" s="20" t="s">
        <v>193</v>
      </c>
      <c r="B214" s="24" t="s">
        <v>161</v>
      </c>
      <c r="C214" s="22" t="s">
        <v>136</v>
      </c>
      <c r="D214" s="23" t="s">
        <v>27</v>
      </c>
      <c r="E214" s="12">
        <f t="shared" ref="E214" si="76">SUM(F214:J214)</f>
        <v>2243264.3612500001</v>
      </c>
      <c r="F214" s="12">
        <v>0</v>
      </c>
      <c r="G214" s="12">
        <v>0</v>
      </c>
      <c r="H214" s="12">
        <f>621889.26683+50384.39242+82751.64481+1.71894-5985.71839+298.62775+254.09919+7965.07024+598.60418+39183.62019-39732.47242+29709.56155+9270.28137-463.18524+2953.85749+34903.16906</f>
        <v>833982.53796999995</v>
      </c>
      <c r="I214" s="12">
        <f>621889.26683+82751.64481</f>
        <v>704640.91163999995</v>
      </c>
      <c r="J214" s="12">
        <f>621889.26683+82751.64481</f>
        <v>704640.91163999995</v>
      </c>
      <c r="K214" s="21" t="s">
        <v>37</v>
      </c>
      <c r="L214" s="22" t="s">
        <v>175</v>
      </c>
    </row>
    <row r="215" spans="1:12" ht="161.25" customHeight="1" x14ac:dyDescent="0.2">
      <c r="A215" s="20" t="s">
        <v>194</v>
      </c>
      <c r="B215" s="24" t="s">
        <v>162</v>
      </c>
      <c r="C215" s="22" t="s">
        <v>136</v>
      </c>
      <c r="D215" s="23" t="s">
        <v>27</v>
      </c>
      <c r="E215" s="12">
        <f t="shared" ref="E215" si="77">SUM(F215:J215)</f>
        <v>616352.24845999992</v>
      </c>
      <c r="F215" s="12">
        <v>0</v>
      </c>
      <c r="G215" s="12">
        <v>0</v>
      </c>
      <c r="H215" s="12">
        <f>151722.08844+51068.72845+5985.71839+0.22304+159.48036+1834.376</f>
        <v>210770.61467999997</v>
      </c>
      <c r="I215" s="12">
        <v>202790.81688999999</v>
      </c>
      <c r="J215" s="12">
        <v>202790.81688999999</v>
      </c>
      <c r="K215" s="21" t="s">
        <v>37</v>
      </c>
      <c r="L215" s="22" t="s">
        <v>175</v>
      </c>
    </row>
    <row r="216" spans="1:12" ht="161.25" customHeight="1" x14ac:dyDescent="0.2">
      <c r="A216" s="20" t="s">
        <v>195</v>
      </c>
      <c r="B216" s="24" t="s">
        <v>163</v>
      </c>
      <c r="C216" s="22" t="s">
        <v>136</v>
      </c>
      <c r="D216" s="23" t="s">
        <v>27</v>
      </c>
      <c r="E216" s="12">
        <f t="shared" ref="E216:E219" si="78">SUM(F216:J216)</f>
        <v>999353.34632000001</v>
      </c>
      <c r="F216" s="12">
        <v>0</v>
      </c>
      <c r="G216" s="12">
        <v>0</v>
      </c>
      <c r="H216" s="12">
        <f>309342.18786+25415.3022-4564.63762-354.48624</f>
        <v>329838.36619999999</v>
      </c>
      <c r="I216" s="12">
        <v>334757.49005999998</v>
      </c>
      <c r="J216" s="12">
        <v>334757.49005999998</v>
      </c>
      <c r="K216" s="21" t="s">
        <v>37</v>
      </c>
      <c r="L216" s="22" t="s">
        <v>175</v>
      </c>
    </row>
    <row r="217" spans="1:12" ht="161.25" customHeight="1" x14ac:dyDescent="0.2">
      <c r="A217" s="20" t="s">
        <v>196</v>
      </c>
      <c r="B217" s="24" t="s">
        <v>164</v>
      </c>
      <c r="C217" s="22" t="s">
        <v>136</v>
      </c>
      <c r="D217" s="23" t="s">
        <v>27</v>
      </c>
      <c r="E217" s="12">
        <f t="shared" si="78"/>
        <v>127381.76802</v>
      </c>
      <c r="F217" s="12">
        <v>0</v>
      </c>
      <c r="G217" s="12">
        <v>0</v>
      </c>
      <c r="H217" s="12">
        <f>11120.59934+94019.97</f>
        <v>105140.56934</v>
      </c>
      <c r="I217" s="12">
        <v>11120.599340000001</v>
      </c>
      <c r="J217" s="12">
        <v>11120.599340000001</v>
      </c>
      <c r="K217" s="21" t="s">
        <v>34</v>
      </c>
      <c r="L217" s="22" t="s">
        <v>173</v>
      </c>
    </row>
    <row r="218" spans="1:12" ht="161.25" customHeight="1" x14ac:dyDescent="0.2">
      <c r="A218" s="20" t="s">
        <v>197</v>
      </c>
      <c r="B218" s="24" t="s">
        <v>209</v>
      </c>
      <c r="C218" s="22" t="s">
        <v>136</v>
      </c>
      <c r="D218" s="23" t="s">
        <v>27</v>
      </c>
      <c r="E218" s="12">
        <f t="shared" ref="E218" si="79">SUM(F218:J218)</f>
        <v>183018.95628000001</v>
      </c>
      <c r="F218" s="12">
        <v>0</v>
      </c>
      <c r="G218" s="12">
        <v>0</v>
      </c>
      <c r="H218" s="12">
        <f>59594.61952+198.74833+4036.34939</f>
        <v>63829.717240000005</v>
      </c>
      <c r="I218" s="12">
        <v>59594.61952</v>
      </c>
      <c r="J218" s="12">
        <v>59594.61952</v>
      </c>
      <c r="K218" s="21" t="s">
        <v>34</v>
      </c>
      <c r="L218" s="22" t="s">
        <v>174</v>
      </c>
    </row>
    <row r="219" spans="1:12" ht="161.25" customHeight="1" x14ac:dyDescent="0.2">
      <c r="A219" s="20" t="s">
        <v>198</v>
      </c>
      <c r="B219" s="24" t="s">
        <v>208</v>
      </c>
      <c r="C219" s="22" t="s">
        <v>136</v>
      </c>
      <c r="D219" s="23" t="s">
        <v>27</v>
      </c>
      <c r="E219" s="12">
        <f t="shared" si="78"/>
        <v>49169.112979999991</v>
      </c>
      <c r="F219" s="12">
        <v>0</v>
      </c>
      <c r="G219" s="12">
        <v>0</v>
      </c>
      <c r="H219" s="12">
        <f>17065.53333-2027.48701</f>
        <v>15038.046319999998</v>
      </c>
      <c r="I219" s="12">
        <v>17065.533329999998</v>
      </c>
      <c r="J219" s="12">
        <v>17065.533329999998</v>
      </c>
      <c r="K219" s="21" t="s">
        <v>37</v>
      </c>
      <c r="L219" s="22" t="s">
        <v>175</v>
      </c>
    </row>
    <row r="220" spans="1:12" ht="161.25" customHeight="1" x14ac:dyDescent="0.2">
      <c r="A220" s="20" t="s">
        <v>199</v>
      </c>
      <c r="B220" s="24" t="s">
        <v>207</v>
      </c>
      <c r="C220" s="22" t="s">
        <v>136</v>
      </c>
      <c r="D220" s="23" t="s">
        <v>27</v>
      </c>
      <c r="E220" s="12">
        <f t="shared" ref="E220" si="80">SUM(F220:J220)</f>
        <v>90705.630479999993</v>
      </c>
      <c r="F220" s="12">
        <v>0</v>
      </c>
      <c r="G220" s="12">
        <v>0</v>
      </c>
      <c r="H220" s="12">
        <f>27589.92416+2645.286</f>
        <v>30235.210159999999</v>
      </c>
      <c r="I220" s="12">
        <f t="shared" ref="I220:J220" si="81">27589.92416+2645.286</f>
        <v>30235.210159999999</v>
      </c>
      <c r="J220" s="12">
        <f t="shared" si="81"/>
        <v>30235.210159999999</v>
      </c>
      <c r="K220" s="21" t="s">
        <v>37</v>
      </c>
      <c r="L220" s="22" t="s">
        <v>175</v>
      </c>
    </row>
    <row r="221" spans="1:12" ht="12.75" customHeight="1" x14ac:dyDescent="0.2">
      <c r="A221" s="43" t="s">
        <v>200</v>
      </c>
      <c r="B221" s="36" t="s">
        <v>201</v>
      </c>
      <c r="C221" s="34" t="s">
        <v>136</v>
      </c>
      <c r="D221" s="23" t="s">
        <v>1</v>
      </c>
      <c r="E221" s="12">
        <f t="shared" ref="E221:J221" si="82">SUM(E222:E225)</f>
        <v>53437.867169999998</v>
      </c>
      <c r="F221" s="12">
        <f t="shared" si="82"/>
        <v>0</v>
      </c>
      <c r="G221" s="12">
        <f t="shared" si="82"/>
        <v>0</v>
      </c>
      <c r="H221" s="12">
        <f t="shared" si="82"/>
        <v>53437.867169999998</v>
      </c>
      <c r="I221" s="12">
        <f t="shared" si="82"/>
        <v>0</v>
      </c>
      <c r="J221" s="12">
        <f t="shared" si="82"/>
        <v>0</v>
      </c>
      <c r="K221" s="38" t="s">
        <v>34</v>
      </c>
      <c r="L221" s="42" t="s">
        <v>60</v>
      </c>
    </row>
    <row r="222" spans="1:12" ht="46.5" customHeight="1" x14ac:dyDescent="0.2">
      <c r="A222" s="44"/>
      <c r="B222" s="37"/>
      <c r="C222" s="34"/>
      <c r="D222" s="23" t="s">
        <v>19</v>
      </c>
      <c r="E222" s="12">
        <f>SUM(F222:J222)</f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38"/>
      <c r="L222" s="42"/>
    </row>
    <row r="223" spans="1:12" ht="54.75" customHeight="1" x14ac:dyDescent="0.2">
      <c r="A223" s="44"/>
      <c r="B223" s="37"/>
      <c r="C223" s="34"/>
      <c r="D223" s="23" t="s">
        <v>0</v>
      </c>
      <c r="E223" s="12">
        <f>SUM(F223:J223)</f>
        <v>32435.7</v>
      </c>
      <c r="F223" s="12">
        <v>0</v>
      </c>
      <c r="G223" s="12">
        <v>0</v>
      </c>
      <c r="H223" s="12">
        <v>32435.7</v>
      </c>
      <c r="I223" s="12">
        <v>0</v>
      </c>
      <c r="J223" s="12">
        <v>0</v>
      </c>
      <c r="K223" s="38"/>
      <c r="L223" s="42"/>
    </row>
    <row r="224" spans="1:12" ht="61.5" customHeight="1" x14ac:dyDescent="0.2">
      <c r="A224" s="44"/>
      <c r="B224" s="37"/>
      <c r="C224" s="34"/>
      <c r="D224" s="23" t="s">
        <v>27</v>
      </c>
      <c r="E224" s="12">
        <f>SUM(F224:J224)</f>
        <v>21002.167170000001</v>
      </c>
      <c r="F224" s="12">
        <v>0</v>
      </c>
      <c r="G224" s="12">
        <v>0</v>
      </c>
      <c r="H224" s="12">
        <f>19295.88+1107.05582+599.23135</f>
        <v>21002.167170000001</v>
      </c>
      <c r="I224" s="12">
        <v>0</v>
      </c>
      <c r="J224" s="12">
        <v>0</v>
      </c>
      <c r="K224" s="38"/>
      <c r="L224" s="42"/>
    </row>
    <row r="225" spans="1:12" ht="35.25" customHeight="1" x14ac:dyDescent="0.2">
      <c r="A225" s="45"/>
      <c r="B225" s="37"/>
      <c r="C225" s="34"/>
      <c r="D225" s="23" t="s">
        <v>2</v>
      </c>
      <c r="E225" s="12">
        <f>SUM(F225:J225)</f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38"/>
      <c r="L225" s="42"/>
    </row>
    <row r="226" spans="1:12" ht="12.75" customHeight="1" x14ac:dyDescent="0.2">
      <c r="A226" s="43" t="s">
        <v>219</v>
      </c>
      <c r="B226" s="36" t="s">
        <v>202</v>
      </c>
      <c r="C226" s="34" t="s">
        <v>136</v>
      </c>
      <c r="D226" s="23" t="s">
        <v>1</v>
      </c>
      <c r="E226" s="12">
        <f t="shared" ref="E226:J226" si="83">SUM(E227:E230)</f>
        <v>47269.42</v>
      </c>
      <c r="F226" s="12">
        <f t="shared" si="83"/>
        <v>0</v>
      </c>
      <c r="G226" s="12">
        <f t="shared" si="83"/>
        <v>0</v>
      </c>
      <c r="H226" s="12">
        <f t="shared" si="83"/>
        <v>47269.42</v>
      </c>
      <c r="I226" s="12">
        <f t="shared" si="83"/>
        <v>0</v>
      </c>
      <c r="J226" s="12">
        <f t="shared" si="83"/>
        <v>0</v>
      </c>
      <c r="K226" s="38" t="s">
        <v>34</v>
      </c>
      <c r="L226" s="34" t="s">
        <v>216</v>
      </c>
    </row>
    <row r="227" spans="1:12" ht="39.75" customHeight="1" x14ac:dyDescent="0.2">
      <c r="A227" s="44"/>
      <c r="B227" s="37"/>
      <c r="C227" s="34"/>
      <c r="D227" s="23" t="s">
        <v>19</v>
      </c>
      <c r="E227" s="12">
        <f t="shared" ref="E227:E231" si="84">SUM(F227:J227)</f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38"/>
      <c r="L227" s="34"/>
    </row>
    <row r="228" spans="1:12" ht="54.75" customHeight="1" x14ac:dyDescent="0.2">
      <c r="A228" s="44"/>
      <c r="B228" s="37"/>
      <c r="C228" s="34"/>
      <c r="D228" s="23" t="s">
        <v>0</v>
      </c>
      <c r="E228" s="12">
        <f t="shared" si="84"/>
        <v>29637.8</v>
      </c>
      <c r="F228" s="12">
        <v>0</v>
      </c>
      <c r="G228" s="12">
        <v>0</v>
      </c>
      <c r="H228" s="12">
        <f>8344.7+21293.1</f>
        <v>29637.8</v>
      </c>
      <c r="I228" s="12">
        <v>0</v>
      </c>
      <c r="J228" s="12">
        <v>0</v>
      </c>
      <c r="K228" s="38"/>
      <c r="L228" s="34"/>
    </row>
    <row r="229" spans="1:12" ht="70.5" customHeight="1" x14ac:dyDescent="0.2">
      <c r="A229" s="44"/>
      <c r="B229" s="37"/>
      <c r="C229" s="34"/>
      <c r="D229" s="23" t="s">
        <v>27</v>
      </c>
      <c r="E229" s="12">
        <f t="shared" si="84"/>
        <v>17631.620000000003</v>
      </c>
      <c r="F229" s="12">
        <v>0</v>
      </c>
      <c r="G229" s="12">
        <v>0</v>
      </c>
      <c r="H229" s="12">
        <f>4964.24+12667.2+0.18</f>
        <v>17631.620000000003</v>
      </c>
      <c r="I229" s="12">
        <v>0</v>
      </c>
      <c r="J229" s="12">
        <v>0</v>
      </c>
      <c r="K229" s="38"/>
      <c r="L229" s="34"/>
    </row>
    <row r="230" spans="1:12" ht="30" customHeight="1" x14ac:dyDescent="0.2">
      <c r="A230" s="45"/>
      <c r="B230" s="37"/>
      <c r="C230" s="34"/>
      <c r="D230" s="23" t="s">
        <v>2</v>
      </c>
      <c r="E230" s="12">
        <f t="shared" si="84"/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38"/>
      <c r="L230" s="34"/>
    </row>
    <row r="231" spans="1:12" ht="147" customHeight="1" x14ac:dyDescent="0.2">
      <c r="A231" s="20" t="s">
        <v>217</v>
      </c>
      <c r="B231" s="27" t="s">
        <v>203</v>
      </c>
      <c r="C231" s="22" t="s">
        <v>136</v>
      </c>
      <c r="D231" s="23" t="s">
        <v>27</v>
      </c>
      <c r="E231" s="12">
        <f t="shared" si="84"/>
        <v>3133.89</v>
      </c>
      <c r="F231" s="12">
        <v>0</v>
      </c>
      <c r="G231" s="12">
        <v>0</v>
      </c>
      <c r="H231" s="12">
        <v>3133.89</v>
      </c>
      <c r="I231" s="12">
        <v>0</v>
      </c>
      <c r="J231" s="12">
        <v>0</v>
      </c>
      <c r="K231" s="21" t="s">
        <v>34</v>
      </c>
      <c r="L231" s="22" t="s">
        <v>175</v>
      </c>
    </row>
    <row r="232" spans="1:12" ht="12.75" customHeight="1" x14ac:dyDescent="0.2">
      <c r="A232" s="43" t="s">
        <v>218</v>
      </c>
      <c r="B232" s="36" t="s">
        <v>224</v>
      </c>
      <c r="C232" s="34" t="s">
        <v>136</v>
      </c>
      <c r="D232" s="23" t="s">
        <v>1</v>
      </c>
      <c r="E232" s="12">
        <f t="shared" ref="E232:J232" si="85">SUM(E233:E236)</f>
        <v>2771.79835</v>
      </c>
      <c r="F232" s="12">
        <f t="shared" si="85"/>
        <v>0</v>
      </c>
      <c r="G232" s="12">
        <f t="shared" si="85"/>
        <v>0</v>
      </c>
      <c r="H232" s="12">
        <f t="shared" si="85"/>
        <v>2771.79835</v>
      </c>
      <c r="I232" s="12">
        <f t="shared" si="85"/>
        <v>0</v>
      </c>
      <c r="J232" s="12">
        <f t="shared" si="85"/>
        <v>0</v>
      </c>
      <c r="K232" s="38" t="s">
        <v>30</v>
      </c>
      <c r="L232" s="34" t="s">
        <v>175</v>
      </c>
    </row>
    <row r="233" spans="1:12" ht="46.5" customHeight="1" x14ac:dyDescent="0.2">
      <c r="A233" s="44"/>
      <c r="B233" s="37"/>
      <c r="C233" s="34"/>
      <c r="D233" s="23" t="s">
        <v>19</v>
      </c>
      <c r="E233" s="12">
        <f t="shared" ref="E233:E236" si="86">SUM(F233:J233)</f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38"/>
      <c r="L233" s="34"/>
    </row>
    <row r="234" spans="1:12" ht="54.75" customHeight="1" x14ac:dyDescent="0.2">
      <c r="A234" s="44"/>
      <c r="B234" s="37"/>
      <c r="C234" s="34"/>
      <c r="D234" s="23" t="s">
        <v>0</v>
      </c>
      <c r="E234" s="12">
        <f t="shared" si="86"/>
        <v>1382.53</v>
      </c>
      <c r="F234" s="12">
        <v>0</v>
      </c>
      <c r="G234" s="12">
        <v>0</v>
      </c>
      <c r="H234" s="12">
        <v>1382.53</v>
      </c>
      <c r="I234" s="12">
        <v>0</v>
      </c>
      <c r="J234" s="12">
        <v>0</v>
      </c>
      <c r="K234" s="38"/>
      <c r="L234" s="34"/>
    </row>
    <row r="235" spans="1:12" ht="70.5" customHeight="1" x14ac:dyDescent="0.2">
      <c r="A235" s="44"/>
      <c r="B235" s="37"/>
      <c r="C235" s="34"/>
      <c r="D235" s="23" t="s">
        <v>27</v>
      </c>
      <c r="E235" s="12">
        <f t="shared" si="86"/>
        <v>1389.2683500000001</v>
      </c>
      <c r="F235" s="12">
        <v>0</v>
      </c>
      <c r="G235" s="12">
        <v>0</v>
      </c>
      <c r="H235" s="12">
        <f>822.47+566.79835</f>
        <v>1389.2683500000001</v>
      </c>
      <c r="I235" s="12">
        <v>0</v>
      </c>
      <c r="J235" s="12">
        <v>0</v>
      </c>
      <c r="K235" s="38"/>
      <c r="L235" s="34"/>
    </row>
    <row r="236" spans="1:12" ht="35.25" customHeight="1" x14ac:dyDescent="0.2">
      <c r="A236" s="45"/>
      <c r="B236" s="37"/>
      <c r="C236" s="34"/>
      <c r="D236" s="23" t="s">
        <v>2</v>
      </c>
      <c r="E236" s="12">
        <f t="shared" si="86"/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38"/>
      <c r="L236" s="34"/>
    </row>
    <row r="237" spans="1:12" ht="147" customHeight="1" x14ac:dyDescent="0.2">
      <c r="A237" s="20" t="s">
        <v>223</v>
      </c>
      <c r="B237" s="27" t="s">
        <v>92</v>
      </c>
      <c r="C237" s="22" t="s">
        <v>9</v>
      </c>
      <c r="D237" s="23" t="s">
        <v>27</v>
      </c>
      <c r="E237" s="12">
        <f t="shared" ref="E237" si="87">SUM(F237:J237)</f>
        <v>49536.485119999998</v>
      </c>
      <c r="F237" s="12">
        <f>41873.14824-111.12-4255-1956-2693.9178</f>
        <v>32857.110439999997</v>
      </c>
      <c r="G237" s="12">
        <f>27489.15-1446.8307-9362.94462</f>
        <v>16679.374680000001</v>
      </c>
      <c r="H237" s="12">
        <v>0</v>
      </c>
      <c r="I237" s="12">
        <v>0</v>
      </c>
      <c r="J237" s="12">
        <v>0</v>
      </c>
      <c r="K237" s="21" t="s">
        <v>34</v>
      </c>
      <c r="L237" s="22" t="s">
        <v>175</v>
      </c>
    </row>
    <row r="238" spans="1:12" s="11" customFormat="1" ht="12.75" customHeight="1" x14ac:dyDescent="0.2">
      <c r="A238" s="46" t="s">
        <v>7</v>
      </c>
      <c r="B238" s="32" t="s">
        <v>123</v>
      </c>
      <c r="C238" s="29" t="s">
        <v>136</v>
      </c>
      <c r="D238" s="24" t="s">
        <v>1</v>
      </c>
      <c r="E238" s="10">
        <f t="shared" ref="E238:J238" si="88">SUM(E239:E242)</f>
        <v>563746.86</v>
      </c>
      <c r="F238" s="10">
        <f t="shared" si="88"/>
        <v>0</v>
      </c>
      <c r="G238" s="10">
        <f t="shared" si="88"/>
        <v>0</v>
      </c>
      <c r="H238" s="10">
        <f t="shared" si="88"/>
        <v>123284.84</v>
      </c>
      <c r="I238" s="10">
        <f t="shared" si="88"/>
        <v>440462.01999999996</v>
      </c>
      <c r="J238" s="10">
        <f t="shared" si="88"/>
        <v>0</v>
      </c>
      <c r="K238" s="33" t="s">
        <v>204</v>
      </c>
      <c r="L238" s="29"/>
    </row>
    <row r="239" spans="1:12" s="11" customFormat="1" ht="47.25" customHeight="1" x14ac:dyDescent="0.2">
      <c r="A239" s="46"/>
      <c r="B239" s="32"/>
      <c r="C239" s="29"/>
      <c r="D239" s="25" t="s">
        <v>19</v>
      </c>
      <c r="E239" s="10">
        <f>SUM(F239:J239)</f>
        <v>0</v>
      </c>
      <c r="F239" s="10">
        <f t="shared" ref="F239:J239" si="89">F244</f>
        <v>0</v>
      </c>
      <c r="G239" s="10">
        <f t="shared" si="89"/>
        <v>0</v>
      </c>
      <c r="H239" s="10">
        <f t="shared" si="89"/>
        <v>0</v>
      </c>
      <c r="I239" s="10">
        <f t="shared" si="89"/>
        <v>0</v>
      </c>
      <c r="J239" s="10">
        <f t="shared" si="89"/>
        <v>0</v>
      </c>
      <c r="K239" s="33"/>
      <c r="L239" s="29"/>
    </row>
    <row r="240" spans="1:12" s="11" customFormat="1" ht="58.5" customHeight="1" x14ac:dyDescent="0.2">
      <c r="A240" s="46"/>
      <c r="B240" s="32"/>
      <c r="C240" s="29"/>
      <c r="D240" s="25" t="s">
        <v>0</v>
      </c>
      <c r="E240" s="10">
        <f>SUM(F240:J240)</f>
        <v>353469.16</v>
      </c>
      <c r="F240" s="10">
        <f t="shared" ref="F240:J240" si="90">F245</f>
        <v>0</v>
      </c>
      <c r="G240" s="10">
        <f t="shared" si="90"/>
        <v>0</v>
      </c>
      <c r="H240" s="10">
        <f t="shared" si="90"/>
        <v>77299.58</v>
      </c>
      <c r="I240" s="10">
        <f t="shared" si="90"/>
        <v>276169.57999999996</v>
      </c>
      <c r="J240" s="10">
        <f t="shared" si="90"/>
        <v>0</v>
      </c>
      <c r="K240" s="33"/>
      <c r="L240" s="29"/>
    </row>
    <row r="241" spans="1:12" s="11" customFormat="1" ht="78" customHeight="1" x14ac:dyDescent="0.2">
      <c r="A241" s="46"/>
      <c r="B241" s="32"/>
      <c r="C241" s="29"/>
      <c r="D241" s="25" t="s">
        <v>27</v>
      </c>
      <c r="E241" s="10">
        <f>SUM(F241:J241)</f>
        <v>210277.7</v>
      </c>
      <c r="F241" s="10">
        <f t="shared" ref="F241:J241" si="91">F246</f>
        <v>0</v>
      </c>
      <c r="G241" s="10">
        <f t="shared" si="91"/>
        <v>0</v>
      </c>
      <c r="H241" s="10">
        <f t="shared" si="91"/>
        <v>45985.259999999995</v>
      </c>
      <c r="I241" s="10">
        <f t="shared" si="91"/>
        <v>164292.44</v>
      </c>
      <c r="J241" s="10">
        <f t="shared" si="91"/>
        <v>0</v>
      </c>
      <c r="K241" s="33"/>
      <c r="L241" s="29"/>
    </row>
    <row r="242" spans="1:12" s="11" customFormat="1" ht="41.25" customHeight="1" x14ac:dyDescent="0.2">
      <c r="A242" s="46"/>
      <c r="B242" s="32"/>
      <c r="C242" s="29"/>
      <c r="D242" s="25" t="s">
        <v>2</v>
      </c>
      <c r="E242" s="10">
        <f>SUM(F242:J242)</f>
        <v>0</v>
      </c>
      <c r="F242" s="10">
        <f>F247</f>
        <v>0</v>
      </c>
      <c r="G242" s="10">
        <f t="shared" ref="G242:J242" si="92">G247</f>
        <v>0</v>
      </c>
      <c r="H242" s="10">
        <f t="shared" si="92"/>
        <v>0</v>
      </c>
      <c r="I242" s="10">
        <f t="shared" si="92"/>
        <v>0</v>
      </c>
      <c r="J242" s="10">
        <f t="shared" si="92"/>
        <v>0</v>
      </c>
      <c r="K242" s="33"/>
      <c r="L242" s="29"/>
    </row>
    <row r="243" spans="1:12" ht="34.5" customHeight="1" x14ac:dyDescent="0.2">
      <c r="A243" s="43" t="s">
        <v>206</v>
      </c>
      <c r="B243" s="49" t="s">
        <v>205</v>
      </c>
      <c r="C243" s="34" t="s">
        <v>136</v>
      </c>
      <c r="D243" s="23" t="s">
        <v>1</v>
      </c>
      <c r="E243" s="12">
        <f t="shared" ref="E243:J243" si="93">SUM(E244:E247)</f>
        <v>563746.86</v>
      </c>
      <c r="F243" s="12">
        <f t="shared" si="93"/>
        <v>0</v>
      </c>
      <c r="G243" s="12">
        <f t="shared" si="93"/>
        <v>0</v>
      </c>
      <c r="H243" s="12">
        <f t="shared" si="93"/>
        <v>123284.84</v>
      </c>
      <c r="I243" s="12">
        <f t="shared" si="93"/>
        <v>440462.01999999996</v>
      </c>
      <c r="J243" s="12">
        <f t="shared" si="93"/>
        <v>0</v>
      </c>
      <c r="K243" s="38" t="s">
        <v>34</v>
      </c>
      <c r="L243" s="34" t="s">
        <v>172</v>
      </c>
    </row>
    <row r="244" spans="1:12" ht="49.5" customHeight="1" x14ac:dyDescent="0.2">
      <c r="A244" s="44"/>
      <c r="B244" s="31"/>
      <c r="C244" s="34"/>
      <c r="D244" s="23" t="s">
        <v>19</v>
      </c>
      <c r="E244" s="12">
        <f>SUM(F244:J244)</f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38"/>
      <c r="L244" s="34"/>
    </row>
    <row r="245" spans="1:12" ht="66.75" customHeight="1" x14ac:dyDescent="0.2">
      <c r="A245" s="44"/>
      <c r="B245" s="31"/>
      <c r="C245" s="34"/>
      <c r="D245" s="23" t="s">
        <v>0</v>
      </c>
      <c r="E245" s="12">
        <f>SUM(F245:J245)</f>
        <v>353469.16</v>
      </c>
      <c r="F245" s="12">
        <v>0</v>
      </c>
      <c r="G245" s="12">
        <v>0</v>
      </c>
      <c r="H245" s="12">
        <f>59394.06+17905.52</f>
        <v>77299.58</v>
      </c>
      <c r="I245" s="12">
        <f>275863.67+305.91</f>
        <v>276169.57999999996</v>
      </c>
      <c r="J245" s="12">
        <v>0</v>
      </c>
      <c r="K245" s="38"/>
      <c r="L245" s="34"/>
    </row>
    <row r="246" spans="1:12" ht="84" customHeight="1" x14ac:dyDescent="0.2">
      <c r="A246" s="44"/>
      <c r="B246" s="31"/>
      <c r="C246" s="34"/>
      <c r="D246" s="23" t="s">
        <v>27</v>
      </c>
      <c r="E246" s="12">
        <f>SUM(F246:J246)</f>
        <v>210277.7</v>
      </c>
      <c r="F246" s="12">
        <v>0</v>
      </c>
      <c r="G246" s="12">
        <v>0</v>
      </c>
      <c r="H246" s="12">
        <f>35333.34+10651.92</f>
        <v>45985.259999999995</v>
      </c>
      <c r="I246" s="12">
        <f>164110.41+182.03</f>
        <v>164292.44</v>
      </c>
      <c r="J246" s="12">
        <v>0</v>
      </c>
      <c r="K246" s="38"/>
      <c r="L246" s="34"/>
    </row>
    <row r="247" spans="1:12" ht="44.25" customHeight="1" x14ac:dyDescent="0.2">
      <c r="A247" s="45"/>
      <c r="B247" s="31"/>
      <c r="C247" s="34"/>
      <c r="D247" s="23" t="s">
        <v>2</v>
      </c>
      <c r="E247" s="12">
        <f>SUM(F247:J247)</f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38"/>
      <c r="L247" s="34"/>
    </row>
    <row r="248" spans="1:12" ht="24" customHeight="1" x14ac:dyDescent="0.2">
      <c r="A248" s="29" t="s">
        <v>128</v>
      </c>
      <c r="B248" s="30"/>
      <c r="C248" s="30"/>
      <c r="D248" s="24" t="s">
        <v>1</v>
      </c>
      <c r="E248" s="10">
        <f t="shared" ref="E248:J248" si="94">SUM(E249:E252)</f>
        <v>12832367.681609999</v>
      </c>
      <c r="F248" s="10">
        <f t="shared" si="94"/>
        <v>2118600.20841</v>
      </c>
      <c r="G248" s="10">
        <f t="shared" si="94"/>
        <v>2517963.8606699998</v>
      </c>
      <c r="H248" s="10">
        <f t="shared" si="94"/>
        <v>2892353.8785499996</v>
      </c>
      <c r="I248" s="10">
        <f t="shared" si="94"/>
        <v>2871955.8769899998</v>
      </c>
      <c r="J248" s="10">
        <f t="shared" si="94"/>
        <v>2431493.8569899998</v>
      </c>
      <c r="K248" s="18"/>
      <c r="L248" s="18"/>
    </row>
    <row r="249" spans="1:12" ht="48" customHeight="1" x14ac:dyDescent="0.2">
      <c r="A249" s="30"/>
      <c r="B249" s="30"/>
      <c r="C249" s="30"/>
      <c r="D249" s="25" t="s">
        <v>19</v>
      </c>
      <c r="E249" s="10">
        <f>SUM(F249:J249)</f>
        <v>0</v>
      </c>
      <c r="F249" s="2">
        <f>F200+F239</f>
        <v>0</v>
      </c>
      <c r="G249" s="2">
        <f t="shared" ref="G249:J249" si="95">G200+G239</f>
        <v>0</v>
      </c>
      <c r="H249" s="2">
        <f t="shared" si="95"/>
        <v>0</v>
      </c>
      <c r="I249" s="2">
        <f t="shared" si="95"/>
        <v>0</v>
      </c>
      <c r="J249" s="2">
        <f t="shared" si="95"/>
        <v>0</v>
      </c>
      <c r="K249" s="18"/>
      <c r="L249" s="18"/>
    </row>
    <row r="250" spans="1:12" ht="59.25" customHeight="1" x14ac:dyDescent="0.2">
      <c r="A250" s="30"/>
      <c r="B250" s="30"/>
      <c r="C250" s="30"/>
      <c r="D250" s="25" t="s">
        <v>0</v>
      </c>
      <c r="E250" s="10">
        <f>SUM(F250:J250)</f>
        <v>416925.18999999994</v>
      </c>
      <c r="F250" s="2">
        <f t="shared" ref="F250:J250" si="96">F201+F240</f>
        <v>0</v>
      </c>
      <c r="G250" s="2">
        <f t="shared" si="96"/>
        <v>0</v>
      </c>
      <c r="H250" s="2">
        <f t="shared" si="96"/>
        <v>140755.60999999999</v>
      </c>
      <c r="I250" s="2">
        <f t="shared" si="96"/>
        <v>276169.57999999996</v>
      </c>
      <c r="J250" s="2">
        <f t="shared" si="96"/>
        <v>0</v>
      </c>
      <c r="K250" s="18"/>
      <c r="L250" s="18"/>
    </row>
    <row r="251" spans="1:12" ht="57" customHeight="1" x14ac:dyDescent="0.2">
      <c r="A251" s="30"/>
      <c r="B251" s="30"/>
      <c r="C251" s="30"/>
      <c r="D251" s="25" t="s">
        <v>27</v>
      </c>
      <c r="E251" s="10">
        <f>SUM(F251:J251)</f>
        <v>12415442.49161</v>
      </c>
      <c r="F251" s="2">
        <f t="shared" ref="F251:J251" si="97">F202+F241</f>
        <v>2118600.20841</v>
      </c>
      <c r="G251" s="2">
        <f t="shared" si="97"/>
        <v>2517963.8606699998</v>
      </c>
      <c r="H251" s="2">
        <f t="shared" si="97"/>
        <v>2751598.2685499997</v>
      </c>
      <c r="I251" s="2">
        <f t="shared" si="97"/>
        <v>2595786.2969899997</v>
      </c>
      <c r="J251" s="2">
        <f t="shared" si="97"/>
        <v>2431493.8569899998</v>
      </c>
      <c r="K251" s="18"/>
      <c r="L251" s="18"/>
    </row>
    <row r="252" spans="1:12" ht="33" customHeight="1" x14ac:dyDescent="0.2">
      <c r="A252" s="30"/>
      <c r="B252" s="30"/>
      <c r="C252" s="30"/>
      <c r="D252" s="25" t="s">
        <v>2</v>
      </c>
      <c r="E252" s="10">
        <f>SUM(F252:J252)</f>
        <v>0</v>
      </c>
      <c r="F252" s="2">
        <f t="shared" ref="F252:J252" si="98">F203+F242</f>
        <v>0</v>
      </c>
      <c r="G252" s="2">
        <f t="shared" si="98"/>
        <v>0</v>
      </c>
      <c r="H252" s="2">
        <f t="shared" si="98"/>
        <v>0</v>
      </c>
      <c r="I252" s="2">
        <f t="shared" si="98"/>
        <v>0</v>
      </c>
      <c r="J252" s="2">
        <f t="shared" si="98"/>
        <v>0</v>
      </c>
      <c r="K252" s="18"/>
      <c r="L252" s="18"/>
    </row>
    <row r="253" spans="1:12" s="3" customFormat="1" ht="25.5" customHeight="1" x14ac:dyDescent="0.3">
      <c r="A253" s="29" t="s">
        <v>101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s="11" customFormat="1" x14ac:dyDescent="0.2">
      <c r="A254" s="29" t="s">
        <v>4</v>
      </c>
      <c r="B254" s="32" t="s">
        <v>42</v>
      </c>
      <c r="C254" s="29" t="s">
        <v>9</v>
      </c>
      <c r="D254" s="24" t="s">
        <v>1</v>
      </c>
      <c r="E254" s="10">
        <f t="shared" ref="E254:J254" si="99">SUM(E255:E258)</f>
        <v>228560.15</v>
      </c>
      <c r="F254" s="10">
        <f t="shared" si="99"/>
        <v>0</v>
      </c>
      <c r="G254" s="10">
        <f t="shared" si="99"/>
        <v>100320.15</v>
      </c>
      <c r="H254" s="10">
        <f t="shared" si="99"/>
        <v>11360</v>
      </c>
      <c r="I254" s="10">
        <f t="shared" si="99"/>
        <v>58200</v>
      </c>
      <c r="J254" s="10">
        <f t="shared" si="99"/>
        <v>58680</v>
      </c>
      <c r="K254" s="33" t="s">
        <v>30</v>
      </c>
      <c r="L254" s="34"/>
    </row>
    <row r="255" spans="1:12" s="11" customFormat="1" ht="45.75" customHeight="1" x14ac:dyDescent="0.2">
      <c r="A255" s="31"/>
      <c r="B255" s="32"/>
      <c r="C255" s="29"/>
      <c r="D255" s="25" t="s">
        <v>19</v>
      </c>
      <c r="E255" s="10">
        <f>SUM(F255:J255)</f>
        <v>0</v>
      </c>
      <c r="F255" s="10">
        <f t="shared" ref="F255:J255" si="100">F260</f>
        <v>0</v>
      </c>
      <c r="G255" s="10">
        <f t="shared" si="100"/>
        <v>0</v>
      </c>
      <c r="H255" s="10">
        <f t="shared" si="100"/>
        <v>0</v>
      </c>
      <c r="I255" s="10">
        <f t="shared" si="100"/>
        <v>0</v>
      </c>
      <c r="J255" s="10">
        <f t="shared" si="100"/>
        <v>0</v>
      </c>
      <c r="K255" s="33"/>
      <c r="L255" s="34"/>
    </row>
    <row r="256" spans="1:12" s="11" customFormat="1" ht="56.25" customHeight="1" x14ac:dyDescent="0.2">
      <c r="A256" s="31"/>
      <c r="B256" s="32"/>
      <c r="C256" s="29"/>
      <c r="D256" s="25" t="s">
        <v>0</v>
      </c>
      <c r="E256" s="10">
        <f>SUM(F256:J256)</f>
        <v>67862.429999999993</v>
      </c>
      <c r="F256" s="10">
        <f t="shared" ref="F256:J256" si="101">F261</f>
        <v>0</v>
      </c>
      <c r="G256" s="10">
        <f t="shared" si="101"/>
        <v>29782.54</v>
      </c>
      <c r="H256" s="10">
        <f t="shared" si="101"/>
        <v>3270.11</v>
      </c>
      <c r="I256" s="10">
        <f t="shared" si="101"/>
        <v>17333.41</v>
      </c>
      <c r="J256" s="10">
        <f t="shared" si="101"/>
        <v>17476.37</v>
      </c>
      <c r="K256" s="33"/>
      <c r="L256" s="34"/>
    </row>
    <row r="257" spans="1:12" s="11" customFormat="1" ht="66.75" customHeight="1" x14ac:dyDescent="0.2">
      <c r="A257" s="31"/>
      <c r="B257" s="32"/>
      <c r="C257" s="29"/>
      <c r="D257" s="25" t="s">
        <v>27</v>
      </c>
      <c r="E257" s="10">
        <f>SUM(F257:J257)</f>
        <v>40903.14</v>
      </c>
      <c r="F257" s="10">
        <f t="shared" ref="F257:J257" si="102">F262+F264</f>
        <v>0</v>
      </c>
      <c r="G257" s="10">
        <f t="shared" si="102"/>
        <v>17869.53</v>
      </c>
      <c r="H257" s="10">
        <f t="shared" si="102"/>
        <v>2325.3900000000003</v>
      </c>
      <c r="I257" s="10">
        <f t="shared" si="102"/>
        <v>10311.59</v>
      </c>
      <c r="J257" s="10">
        <f t="shared" si="102"/>
        <v>10396.629999999999</v>
      </c>
      <c r="K257" s="33"/>
      <c r="L257" s="34"/>
    </row>
    <row r="258" spans="1:12" s="11" customFormat="1" ht="33.75" customHeight="1" x14ac:dyDescent="0.2">
      <c r="A258" s="31"/>
      <c r="B258" s="32"/>
      <c r="C258" s="29"/>
      <c r="D258" s="25" t="s">
        <v>2</v>
      </c>
      <c r="E258" s="10">
        <f>SUM(F258:J258)</f>
        <v>119794.58</v>
      </c>
      <c r="F258" s="10">
        <f t="shared" ref="F258:J258" si="103">F263</f>
        <v>0</v>
      </c>
      <c r="G258" s="10">
        <f t="shared" si="103"/>
        <v>52668.08</v>
      </c>
      <c r="H258" s="10">
        <f t="shared" si="103"/>
        <v>5764.5</v>
      </c>
      <c r="I258" s="10">
        <f t="shared" si="103"/>
        <v>30555</v>
      </c>
      <c r="J258" s="10">
        <f t="shared" si="103"/>
        <v>30807</v>
      </c>
      <c r="K258" s="33"/>
      <c r="L258" s="34"/>
    </row>
    <row r="259" spans="1:12" x14ac:dyDescent="0.2">
      <c r="A259" s="35" t="s">
        <v>5</v>
      </c>
      <c r="B259" s="36" t="s">
        <v>93</v>
      </c>
      <c r="C259" s="34" t="s">
        <v>9</v>
      </c>
      <c r="D259" s="23" t="s">
        <v>1</v>
      </c>
      <c r="E259" s="12">
        <f t="shared" ref="E259:J259" si="104">SUM(E260:E263)</f>
        <v>228560.15</v>
      </c>
      <c r="F259" s="12">
        <f t="shared" si="104"/>
        <v>0</v>
      </c>
      <c r="G259" s="12">
        <f t="shared" si="104"/>
        <v>100320.15</v>
      </c>
      <c r="H259" s="12">
        <f t="shared" si="104"/>
        <v>11360</v>
      </c>
      <c r="I259" s="12">
        <f t="shared" si="104"/>
        <v>58200</v>
      </c>
      <c r="J259" s="12">
        <f t="shared" si="104"/>
        <v>58680</v>
      </c>
      <c r="K259" s="38" t="s">
        <v>30</v>
      </c>
      <c r="L259" s="34" t="s">
        <v>127</v>
      </c>
    </row>
    <row r="260" spans="1:12" ht="48.75" customHeight="1" x14ac:dyDescent="0.2">
      <c r="A260" s="35"/>
      <c r="B260" s="37"/>
      <c r="C260" s="34"/>
      <c r="D260" s="23" t="s">
        <v>19</v>
      </c>
      <c r="E260" s="12">
        <f>SUM(F260:J260)</f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38"/>
      <c r="L260" s="34"/>
    </row>
    <row r="261" spans="1:12" ht="61.5" customHeight="1" x14ac:dyDescent="0.2">
      <c r="A261" s="35"/>
      <c r="B261" s="37"/>
      <c r="C261" s="34"/>
      <c r="D261" s="23" t="s">
        <v>0</v>
      </c>
      <c r="E261" s="12">
        <f>SUM(F261:J261)</f>
        <v>67862.429999999993</v>
      </c>
      <c r="F261" s="12">
        <v>0</v>
      </c>
      <c r="G261" s="12">
        <f>27273.89+2508.65</f>
        <v>29782.54</v>
      </c>
      <c r="H261" s="12">
        <v>3270.11</v>
      </c>
      <c r="I261" s="12">
        <v>17333.41</v>
      </c>
      <c r="J261" s="12">
        <v>17476.37</v>
      </c>
      <c r="K261" s="38"/>
      <c r="L261" s="34"/>
    </row>
    <row r="262" spans="1:12" ht="69.75" customHeight="1" x14ac:dyDescent="0.2">
      <c r="A262" s="35"/>
      <c r="B262" s="37"/>
      <c r="C262" s="34"/>
      <c r="D262" s="23" t="s">
        <v>27</v>
      </c>
      <c r="E262" s="12">
        <f>SUM(F262:J262)</f>
        <v>40903.14</v>
      </c>
      <c r="F262" s="12">
        <v>0</v>
      </c>
      <c r="G262" s="12">
        <f>16364.36+1505.17</f>
        <v>17869.53</v>
      </c>
      <c r="H262" s="12">
        <f>1945.39+380</f>
        <v>2325.3900000000003</v>
      </c>
      <c r="I262" s="12">
        <v>10311.59</v>
      </c>
      <c r="J262" s="12">
        <v>10396.629999999999</v>
      </c>
      <c r="K262" s="38"/>
      <c r="L262" s="34"/>
    </row>
    <row r="263" spans="1:12" ht="31.5" customHeight="1" x14ac:dyDescent="0.2">
      <c r="A263" s="35"/>
      <c r="B263" s="37"/>
      <c r="C263" s="34"/>
      <c r="D263" s="23" t="s">
        <v>2</v>
      </c>
      <c r="E263" s="12">
        <f>SUM(F263:J263)</f>
        <v>119794.58</v>
      </c>
      <c r="F263" s="12">
        <v>0</v>
      </c>
      <c r="G263" s="12">
        <f>48231.75+4436.33</f>
        <v>52668.08</v>
      </c>
      <c r="H263" s="12">
        <v>5764.5</v>
      </c>
      <c r="I263" s="12">
        <v>30555</v>
      </c>
      <c r="J263" s="12">
        <v>30807</v>
      </c>
      <c r="K263" s="38"/>
      <c r="L263" s="34"/>
    </row>
    <row r="264" spans="1:12" ht="132.75" customHeight="1" x14ac:dyDescent="0.2">
      <c r="A264" s="28" t="s">
        <v>6</v>
      </c>
      <c r="B264" s="23" t="s">
        <v>94</v>
      </c>
      <c r="C264" s="22" t="s">
        <v>9</v>
      </c>
      <c r="D264" s="23" t="s">
        <v>27</v>
      </c>
      <c r="E264" s="12">
        <f>SUM(F264:J264)</f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21" t="s">
        <v>30</v>
      </c>
      <c r="L264" s="22" t="s">
        <v>232</v>
      </c>
    </row>
    <row r="265" spans="1:12" s="11" customFormat="1" x14ac:dyDescent="0.2">
      <c r="A265" s="29" t="s">
        <v>7</v>
      </c>
      <c r="B265" s="53" t="s">
        <v>43</v>
      </c>
      <c r="C265" s="29" t="s">
        <v>9</v>
      </c>
      <c r="D265" s="24" t="s">
        <v>1</v>
      </c>
      <c r="E265" s="10">
        <f t="shared" ref="E265:J265" si="105">SUM(E266:E269)</f>
        <v>12956.241709999998</v>
      </c>
      <c r="F265" s="10">
        <f t="shared" si="105"/>
        <v>4253.68</v>
      </c>
      <c r="G265" s="10">
        <f t="shared" si="105"/>
        <v>0</v>
      </c>
      <c r="H265" s="10">
        <f t="shared" si="105"/>
        <v>8702.5617099999999</v>
      </c>
      <c r="I265" s="10">
        <f t="shared" si="105"/>
        <v>0</v>
      </c>
      <c r="J265" s="10">
        <f t="shared" si="105"/>
        <v>0</v>
      </c>
      <c r="K265" s="38" t="s">
        <v>30</v>
      </c>
      <c r="L265" s="34"/>
    </row>
    <row r="266" spans="1:12" s="11" customFormat="1" ht="46.5" customHeight="1" x14ac:dyDescent="0.2">
      <c r="A266" s="64"/>
      <c r="B266" s="53"/>
      <c r="C266" s="29"/>
      <c r="D266" s="25" t="s">
        <v>19</v>
      </c>
      <c r="E266" s="10">
        <f>SUM(F266:J266)</f>
        <v>0</v>
      </c>
      <c r="F266" s="10">
        <f>F271</f>
        <v>0</v>
      </c>
      <c r="G266" s="10">
        <f>G271</f>
        <v>0</v>
      </c>
      <c r="H266" s="10">
        <f>H271</f>
        <v>0</v>
      </c>
      <c r="I266" s="10">
        <f>I271</f>
        <v>0</v>
      </c>
      <c r="J266" s="10">
        <f>J271</f>
        <v>0</v>
      </c>
      <c r="K266" s="38"/>
      <c r="L266" s="34"/>
    </row>
    <row r="267" spans="1:12" s="11" customFormat="1" ht="50.25" customHeight="1" x14ac:dyDescent="0.2">
      <c r="A267" s="64"/>
      <c r="B267" s="53"/>
      <c r="C267" s="29"/>
      <c r="D267" s="25" t="s">
        <v>0</v>
      </c>
      <c r="E267" s="10">
        <f>SUM(F267:J267)</f>
        <v>1631.05</v>
      </c>
      <c r="F267" s="10">
        <f>F272+F277</f>
        <v>1631.05</v>
      </c>
      <c r="G267" s="10">
        <f t="shared" ref="F267:J269" si="106">G272</f>
        <v>0</v>
      </c>
      <c r="H267" s="10">
        <f t="shared" si="106"/>
        <v>0</v>
      </c>
      <c r="I267" s="10">
        <f t="shared" si="106"/>
        <v>0</v>
      </c>
      <c r="J267" s="10">
        <f t="shared" si="106"/>
        <v>0</v>
      </c>
      <c r="K267" s="38"/>
      <c r="L267" s="34"/>
    </row>
    <row r="268" spans="1:12" s="11" customFormat="1" ht="54.75" customHeight="1" x14ac:dyDescent="0.2">
      <c r="A268" s="64"/>
      <c r="B268" s="53"/>
      <c r="C268" s="29"/>
      <c r="D268" s="25" t="s">
        <v>27</v>
      </c>
      <c r="E268" s="10">
        <f>SUM(F268:J268)</f>
        <v>11325.191709999999</v>
      </c>
      <c r="F268" s="10">
        <f>F273+F278</f>
        <v>2622.63</v>
      </c>
      <c r="G268" s="10">
        <f t="shared" si="106"/>
        <v>0</v>
      </c>
      <c r="H268" s="10">
        <f t="shared" si="106"/>
        <v>8702.5617099999999</v>
      </c>
      <c r="I268" s="10">
        <f t="shared" si="106"/>
        <v>0</v>
      </c>
      <c r="J268" s="10">
        <f t="shared" si="106"/>
        <v>0</v>
      </c>
      <c r="K268" s="38"/>
      <c r="L268" s="34"/>
    </row>
    <row r="269" spans="1:12" s="11" customFormat="1" ht="30" customHeight="1" x14ac:dyDescent="0.2">
      <c r="A269" s="64"/>
      <c r="B269" s="53"/>
      <c r="C269" s="29"/>
      <c r="D269" s="25" t="s">
        <v>2</v>
      </c>
      <c r="E269" s="10">
        <f>SUM(F269:J269)</f>
        <v>0</v>
      </c>
      <c r="F269" s="10">
        <f t="shared" si="106"/>
        <v>0</v>
      </c>
      <c r="G269" s="10">
        <f t="shared" si="106"/>
        <v>0</v>
      </c>
      <c r="H269" s="10">
        <f t="shared" si="106"/>
        <v>0</v>
      </c>
      <c r="I269" s="10">
        <f t="shared" si="106"/>
        <v>0</v>
      </c>
      <c r="J269" s="10">
        <f t="shared" si="106"/>
        <v>0</v>
      </c>
      <c r="K269" s="38"/>
      <c r="L269" s="34"/>
    </row>
    <row r="270" spans="1:12" ht="12.75" customHeight="1" x14ac:dyDescent="0.2">
      <c r="A270" s="39" t="s">
        <v>14</v>
      </c>
      <c r="B270" s="65" t="s">
        <v>95</v>
      </c>
      <c r="C270" s="39" t="s">
        <v>9</v>
      </c>
      <c r="D270" s="23" t="s">
        <v>1</v>
      </c>
      <c r="E270" s="12">
        <f t="shared" ref="E270:J270" si="107">SUM(E271:E274)</f>
        <v>10346.56171</v>
      </c>
      <c r="F270" s="12">
        <f t="shared" si="107"/>
        <v>1644</v>
      </c>
      <c r="G270" s="12">
        <f t="shared" si="107"/>
        <v>0</v>
      </c>
      <c r="H270" s="12">
        <f t="shared" si="107"/>
        <v>8702.5617099999999</v>
      </c>
      <c r="I270" s="12">
        <f t="shared" si="107"/>
        <v>0</v>
      </c>
      <c r="J270" s="12">
        <f t="shared" si="107"/>
        <v>0</v>
      </c>
      <c r="K270" s="57" t="s">
        <v>30</v>
      </c>
      <c r="L270" s="34" t="s">
        <v>70</v>
      </c>
    </row>
    <row r="271" spans="1:12" ht="42.75" customHeight="1" x14ac:dyDescent="0.2">
      <c r="A271" s="40"/>
      <c r="B271" s="66"/>
      <c r="C271" s="40"/>
      <c r="D271" s="23" t="s">
        <v>19</v>
      </c>
      <c r="E271" s="12">
        <f>SUM(F271:J271)</f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58"/>
      <c r="L271" s="34"/>
    </row>
    <row r="272" spans="1:12" ht="60" customHeight="1" x14ac:dyDescent="0.2">
      <c r="A272" s="40"/>
      <c r="B272" s="66"/>
      <c r="C272" s="40"/>
      <c r="D272" s="23" t="s">
        <v>0</v>
      </c>
      <c r="E272" s="12">
        <f>SUM(F272:J272)</f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58"/>
      <c r="L272" s="34"/>
    </row>
    <row r="273" spans="1:12" ht="68.25" customHeight="1" x14ac:dyDescent="0.2">
      <c r="A273" s="40"/>
      <c r="B273" s="66"/>
      <c r="C273" s="40"/>
      <c r="D273" s="23" t="s">
        <v>27</v>
      </c>
      <c r="E273" s="12">
        <f>SUM(F273:J273)</f>
        <v>10346.56171</v>
      </c>
      <c r="F273" s="12">
        <f>1800-156</f>
        <v>1644</v>
      </c>
      <c r="G273" s="12">
        <v>0</v>
      </c>
      <c r="H273" s="12">
        <f>3749.09288+4953.46883</f>
        <v>8702.5617099999999</v>
      </c>
      <c r="I273" s="12">
        <v>0</v>
      </c>
      <c r="J273" s="12">
        <v>0</v>
      </c>
      <c r="K273" s="58"/>
      <c r="L273" s="34"/>
    </row>
    <row r="274" spans="1:12" ht="36" customHeight="1" x14ac:dyDescent="0.2">
      <c r="A274" s="41"/>
      <c r="B274" s="67"/>
      <c r="C274" s="41"/>
      <c r="D274" s="23" t="s">
        <v>2</v>
      </c>
      <c r="E274" s="12">
        <f>SUM(F274:J274)</f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59"/>
      <c r="L274" s="34"/>
    </row>
    <row r="275" spans="1:12" ht="20.25" customHeight="1" x14ac:dyDescent="0.2">
      <c r="A275" s="39" t="s">
        <v>15</v>
      </c>
      <c r="B275" s="65" t="s">
        <v>96</v>
      </c>
      <c r="C275" s="39" t="s">
        <v>9</v>
      </c>
      <c r="D275" s="23" t="s">
        <v>1</v>
      </c>
      <c r="E275" s="12">
        <f>SUM(E276:E279)</f>
        <v>2609.6799999999998</v>
      </c>
      <c r="F275" s="12">
        <f>F276+F277+F278+F279</f>
        <v>2609.6799999999998</v>
      </c>
      <c r="G275" s="12">
        <v>0</v>
      </c>
      <c r="H275" s="12">
        <v>0</v>
      </c>
      <c r="I275" s="12">
        <v>0</v>
      </c>
      <c r="J275" s="12">
        <v>0</v>
      </c>
      <c r="K275" s="65" t="s">
        <v>30</v>
      </c>
      <c r="L275" s="39" t="s">
        <v>64</v>
      </c>
    </row>
    <row r="276" spans="1:12" ht="36" customHeight="1" x14ac:dyDescent="0.2">
      <c r="A276" s="40"/>
      <c r="B276" s="66"/>
      <c r="C276" s="40"/>
      <c r="D276" s="23" t="s">
        <v>19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66"/>
      <c r="L276" s="40"/>
    </row>
    <row r="277" spans="1:12" ht="50.25" customHeight="1" x14ac:dyDescent="0.2">
      <c r="A277" s="40"/>
      <c r="B277" s="66"/>
      <c r="C277" s="40"/>
      <c r="D277" s="23" t="s">
        <v>0</v>
      </c>
      <c r="E277" s="12">
        <f>SUM(F277:J277)</f>
        <v>1631.05</v>
      </c>
      <c r="F277" s="12">
        <v>1631.05</v>
      </c>
      <c r="G277" s="12">
        <v>0</v>
      </c>
      <c r="H277" s="12">
        <v>0</v>
      </c>
      <c r="I277" s="12">
        <v>0</v>
      </c>
      <c r="J277" s="12">
        <v>0</v>
      </c>
      <c r="K277" s="66"/>
      <c r="L277" s="40"/>
    </row>
    <row r="278" spans="1:12" ht="66.75" customHeight="1" x14ac:dyDescent="0.2">
      <c r="A278" s="40"/>
      <c r="B278" s="66"/>
      <c r="C278" s="40"/>
      <c r="D278" s="23" t="s">
        <v>27</v>
      </c>
      <c r="E278" s="12">
        <f>SUM(F278:J278)</f>
        <v>978.63</v>
      </c>
      <c r="F278" s="12">
        <v>978.63</v>
      </c>
      <c r="G278" s="12">
        <v>0</v>
      </c>
      <c r="H278" s="12">
        <v>0</v>
      </c>
      <c r="I278" s="12">
        <v>0</v>
      </c>
      <c r="J278" s="12">
        <v>0</v>
      </c>
      <c r="K278" s="66"/>
      <c r="L278" s="40"/>
    </row>
    <row r="279" spans="1:12" ht="40.5" customHeight="1" x14ac:dyDescent="0.2">
      <c r="A279" s="41"/>
      <c r="B279" s="67"/>
      <c r="C279" s="41"/>
      <c r="D279" s="23" t="s">
        <v>2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67"/>
      <c r="L279" s="41"/>
    </row>
    <row r="280" spans="1:12" ht="24" customHeight="1" x14ac:dyDescent="0.2">
      <c r="A280" s="29" t="s">
        <v>63</v>
      </c>
      <c r="B280" s="30"/>
      <c r="C280" s="30"/>
      <c r="D280" s="24" t="s">
        <v>1</v>
      </c>
      <c r="E280" s="10">
        <f t="shared" ref="E280:J280" si="108">SUM(E281:E284)</f>
        <v>241516.39171</v>
      </c>
      <c r="F280" s="10">
        <f>SUM(F281:F284)</f>
        <v>4253.68</v>
      </c>
      <c r="G280" s="10">
        <f t="shared" si="108"/>
        <v>100320.15</v>
      </c>
      <c r="H280" s="10">
        <f t="shared" si="108"/>
        <v>20062.561710000002</v>
      </c>
      <c r="I280" s="10">
        <f t="shared" si="108"/>
        <v>58200</v>
      </c>
      <c r="J280" s="10">
        <f t="shared" si="108"/>
        <v>58680</v>
      </c>
      <c r="K280" s="18"/>
      <c r="L280" s="18"/>
    </row>
    <row r="281" spans="1:12" ht="41.25" customHeight="1" x14ac:dyDescent="0.2">
      <c r="A281" s="30"/>
      <c r="B281" s="30"/>
      <c r="C281" s="30"/>
      <c r="D281" s="25" t="s">
        <v>19</v>
      </c>
      <c r="E281" s="10">
        <f>SUM(F281:J281)</f>
        <v>0</v>
      </c>
      <c r="F281" s="2">
        <f t="shared" ref="F281:J284" si="109">F255+F266</f>
        <v>0</v>
      </c>
      <c r="G281" s="2">
        <f t="shared" si="109"/>
        <v>0</v>
      </c>
      <c r="H281" s="2">
        <f t="shared" si="109"/>
        <v>0</v>
      </c>
      <c r="I281" s="2">
        <f t="shared" si="109"/>
        <v>0</v>
      </c>
      <c r="J281" s="2">
        <f t="shared" si="109"/>
        <v>0</v>
      </c>
      <c r="K281" s="18"/>
      <c r="L281" s="18"/>
    </row>
    <row r="282" spans="1:12" ht="56.25" customHeight="1" x14ac:dyDescent="0.2">
      <c r="A282" s="30"/>
      <c r="B282" s="30"/>
      <c r="C282" s="30"/>
      <c r="D282" s="25" t="s">
        <v>0</v>
      </c>
      <c r="E282" s="10">
        <f>SUM(F282:J282)</f>
        <v>69493.48</v>
      </c>
      <c r="F282" s="2">
        <f>F256+F267</f>
        <v>1631.05</v>
      </c>
      <c r="G282" s="2">
        <f t="shared" si="109"/>
        <v>29782.54</v>
      </c>
      <c r="H282" s="2">
        <f t="shared" si="109"/>
        <v>3270.11</v>
      </c>
      <c r="I282" s="2">
        <f t="shared" si="109"/>
        <v>17333.41</v>
      </c>
      <c r="J282" s="2">
        <f t="shared" si="109"/>
        <v>17476.37</v>
      </c>
      <c r="K282" s="18"/>
      <c r="L282" s="18"/>
    </row>
    <row r="283" spans="1:12" ht="69.75" customHeight="1" x14ac:dyDescent="0.2">
      <c r="A283" s="30"/>
      <c r="B283" s="30"/>
      <c r="C283" s="30"/>
      <c r="D283" s="25" t="s">
        <v>27</v>
      </c>
      <c r="E283" s="10">
        <f>SUM(F283:J283)</f>
        <v>52228.331709999999</v>
      </c>
      <c r="F283" s="2">
        <f t="shared" si="109"/>
        <v>2622.63</v>
      </c>
      <c r="G283" s="2">
        <f t="shared" si="109"/>
        <v>17869.53</v>
      </c>
      <c r="H283" s="2">
        <f t="shared" si="109"/>
        <v>11027.951710000001</v>
      </c>
      <c r="I283" s="2">
        <f t="shared" si="109"/>
        <v>10311.59</v>
      </c>
      <c r="J283" s="2">
        <f t="shared" si="109"/>
        <v>10396.629999999999</v>
      </c>
      <c r="K283" s="18"/>
      <c r="L283" s="18"/>
    </row>
    <row r="284" spans="1:12" ht="33" customHeight="1" x14ac:dyDescent="0.2">
      <c r="A284" s="30"/>
      <c r="B284" s="30"/>
      <c r="C284" s="30"/>
      <c r="D284" s="25" t="s">
        <v>2</v>
      </c>
      <c r="E284" s="10">
        <f>SUM(F284:J284)</f>
        <v>119794.58</v>
      </c>
      <c r="F284" s="2">
        <f t="shared" si="109"/>
        <v>0</v>
      </c>
      <c r="G284" s="2">
        <f t="shared" si="109"/>
        <v>52668.08</v>
      </c>
      <c r="H284" s="2">
        <f t="shared" si="109"/>
        <v>5764.5</v>
      </c>
      <c r="I284" s="2">
        <f t="shared" si="109"/>
        <v>30555</v>
      </c>
      <c r="J284" s="2">
        <f t="shared" si="109"/>
        <v>30807</v>
      </c>
      <c r="K284" s="18"/>
      <c r="L284" s="18"/>
    </row>
    <row r="285" spans="1:12" s="3" customFormat="1" ht="25.5" customHeight="1" x14ac:dyDescent="0.3">
      <c r="A285" s="29" t="s">
        <v>210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s="11" customFormat="1" x14ac:dyDescent="0.2">
      <c r="A286" s="29" t="s">
        <v>4</v>
      </c>
      <c r="B286" s="32" t="s">
        <v>211</v>
      </c>
      <c r="C286" s="29" t="s">
        <v>9</v>
      </c>
      <c r="D286" s="24" t="s">
        <v>1</v>
      </c>
      <c r="E286" s="10">
        <f>SUM(E287:E290)</f>
        <v>4500.8160000000007</v>
      </c>
      <c r="F286" s="10">
        <f t="shared" ref="F286:J286" si="110">SUM(F287:F290)</f>
        <v>0</v>
      </c>
      <c r="G286" s="10">
        <f t="shared" si="110"/>
        <v>0</v>
      </c>
      <c r="H286" s="10">
        <f>SUM(H287:H290)</f>
        <v>1500.2719999999999</v>
      </c>
      <c r="I286" s="10">
        <f t="shared" si="110"/>
        <v>1500.2719999999999</v>
      </c>
      <c r="J286" s="10">
        <f t="shared" si="110"/>
        <v>1500.2719999999999</v>
      </c>
      <c r="K286" s="33" t="s">
        <v>34</v>
      </c>
      <c r="L286" s="34"/>
    </row>
    <row r="287" spans="1:12" s="11" customFormat="1" ht="45.75" customHeight="1" x14ac:dyDescent="0.2">
      <c r="A287" s="31"/>
      <c r="B287" s="32"/>
      <c r="C287" s="29"/>
      <c r="D287" s="25" t="s">
        <v>19</v>
      </c>
      <c r="E287" s="10">
        <f>SUM(F287:J287)</f>
        <v>0</v>
      </c>
      <c r="F287" s="10">
        <f>F292</f>
        <v>0</v>
      </c>
      <c r="G287" s="10">
        <f t="shared" ref="G287:J287" si="111">G292</f>
        <v>0</v>
      </c>
      <c r="H287" s="10">
        <f t="shared" si="111"/>
        <v>0</v>
      </c>
      <c r="I287" s="10">
        <f t="shared" si="111"/>
        <v>0</v>
      </c>
      <c r="J287" s="10">
        <f t="shared" si="111"/>
        <v>0</v>
      </c>
      <c r="K287" s="33"/>
      <c r="L287" s="34"/>
    </row>
    <row r="288" spans="1:12" s="11" customFormat="1" ht="56.25" customHeight="1" x14ac:dyDescent="0.2">
      <c r="A288" s="31"/>
      <c r="B288" s="32"/>
      <c r="C288" s="29"/>
      <c r="D288" s="25" t="s">
        <v>0</v>
      </c>
      <c r="E288" s="10">
        <f>SUM(F288:J288)</f>
        <v>2124</v>
      </c>
      <c r="F288" s="10">
        <f t="shared" ref="F288:J288" si="112">F293</f>
        <v>0</v>
      </c>
      <c r="G288" s="10">
        <f t="shared" si="112"/>
        <v>0</v>
      </c>
      <c r="H288" s="10">
        <f>H293</f>
        <v>708</v>
      </c>
      <c r="I288" s="10">
        <f t="shared" si="112"/>
        <v>708</v>
      </c>
      <c r="J288" s="10">
        <f t="shared" si="112"/>
        <v>708</v>
      </c>
      <c r="K288" s="33"/>
      <c r="L288" s="34"/>
    </row>
    <row r="289" spans="1:12" s="11" customFormat="1" ht="66.75" customHeight="1" x14ac:dyDescent="0.2">
      <c r="A289" s="31"/>
      <c r="B289" s="32"/>
      <c r="C289" s="29"/>
      <c r="D289" s="25" t="s">
        <v>27</v>
      </c>
      <c r="E289" s="10">
        <f>SUM(F289:J289)</f>
        <v>2376.8160000000003</v>
      </c>
      <c r="F289" s="10">
        <f t="shared" ref="F289:J289" si="113">F294</f>
        <v>0</v>
      </c>
      <c r="G289" s="10">
        <f t="shared" si="113"/>
        <v>0</v>
      </c>
      <c r="H289" s="10">
        <f t="shared" si="113"/>
        <v>792.27200000000005</v>
      </c>
      <c r="I289" s="10">
        <f t="shared" si="113"/>
        <v>792.27200000000005</v>
      </c>
      <c r="J289" s="10">
        <f t="shared" si="113"/>
        <v>792.27200000000005</v>
      </c>
      <c r="K289" s="33"/>
      <c r="L289" s="34"/>
    </row>
    <row r="290" spans="1:12" s="11" customFormat="1" ht="33.75" customHeight="1" x14ac:dyDescent="0.2">
      <c r="A290" s="31"/>
      <c r="B290" s="32"/>
      <c r="C290" s="29"/>
      <c r="D290" s="25" t="s">
        <v>2</v>
      </c>
      <c r="E290" s="10">
        <f>SUM(F290:J290)</f>
        <v>0</v>
      </c>
      <c r="F290" s="10">
        <f t="shared" ref="F290:J290" si="114">F295</f>
        <v>0</v>
      </c>
      <c r="G290" s="10">
        <f t="shared" si="114"/>
        <v>0</v>
      </c>
      <c r="H290" s="10">
        <f t="shared" si="114"/>
        <v>0</v>
      </c>
      <c r="I290" s="10">
        <f t="shared" si="114"/>
        <v>0</v>
      </c>
      <c r="J290" s="10">
        <f t="shared" si="114"/>
        <v>0</v>
      </c>
      <c r="K290" s="33"/>
      <c r="L290" s="34"/>
    </row>
    <row r="291" spans="1:12" x14ac:dyDescent="0.2">
      <c r="A291" s="35" t="s">
        <v>5</v>
      </c>
      <c r="B291" s="36" t="s">
        <v>212</v>
      </c>
      <c r="C291" s="34" t="s">
        <v>136</v>
      </c>
      <c r="D291" s="23" t="s">
        <v>1</v>
      </c>
      <c r="E291" s="12">
        <f t="shared" ref="E291:J291" si="115">SUM(E292:E295)</f>
        <v>4500.8160000000007</v>
      </c>
      <c r="F291" s="12">
        <f t="shared" si="115"/>
        <v>0</v>
      </c>
      <c r="G291" s="12">
        <f t="shared" si="115"/>
        <v>0</v>
      </c>
      <c r="H291" s="12">
        <f t="shared" si="115"/>
        <v>1500.2719999999999</v>
      </c>
      <c r="I291" s="12">
        <f t="shared" si="115"/>
        <v>1500.2719999999999</v>
      </c>
      <c r="J291" s="12">
        <f t="shared" si="115"/>
        <v>1500.2719999999999</v>
      </c>
      <c r="K291" s="38" t="s">
        <v>34</v>
      </c>
      <c r="L291" s="34" t="s">
        <v>222</v>
      </c>
    </row>
    <row r="292" spans="1:12" ht="48.75" customHeight="1" x14ac:dyDescent="0.2">
      <c r="A292" s="35"/>
      <c r="B292" s="37"/>
      <c r="C292" s="34"/>
      <c r="D292" s="23" t="s">
        <v>19</v>
      </c>
      <c r="E292" s="12">
        <f>SUM(F292:J292)</f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38"/>
      <c r="L292" s="34"/>
    </row>
    <row r="293" spans="1:12" ht="61.5" customHeight="1" x14ac:dyDescent="0.2">
      <c r="A293" s="35"/>
      <c r="B293" s="37"/>
      <c r="C293" s="34"/>
      <c r="D293" s="23" t="s">
        <v>0</v>
      </c>
      <c r="E293" s="12">
        <f>SUM(F293:J293)</f>
        <v>2124</v>
      </c>
      <c r="F293" s="12">
        <v>0</v>
      </c>
      <c r="G293" s="12">
        <v>0</v>
      </c>
      <c r="H293" s="12">
        <v>708</v>
      </c>
      <c r="I293" s="12">
        <v>708</v>
      </c>
      <c r="J293" s="12">
        <v>708</v>
      </c>
      <c r="K293" s="38"/>
      <c r="L293" s="34"/>
    </row>
    <row r="294" spans="1:12" ht="69.75" customHeight="1" x14ac:dyDescent="0.2">
      <c r="A294" s="35"/>
      <c r="B294" s="37"/>
      <c r="C294" s="34"/>
      <c r="D294" s="23" t="s">
        <v>27</v>
      </c>
      <c r="E294" s="12">
        <f>SUM(F294:J294)</f>
        <v>2376.8160000000003</v>
      </c>
      <c r="F294" s="12">
        <v>0</v>
      </c>
      <c r="G294" s="12">
        <v>0</v>
      </c>
      <c r="H294" s="12">
        <v>792.27200000000005</v>
      </c>
      <c r="I294" s="12">
        <v>792.27200000000005</v>
      </c>
      <c r="J294" s="12">
        <v>792.27200000000005</v>
      </c>
      <c r="K294" s="38"/>
      <c r="L294" s="34"/>
    </row>
    <row r="295" spans="1:12" ht="31.5" customHeight="1" x14ac:dyDescent="0.2">
      <c r="A295" s="35"/>
      <c r="B295" s="37"/>
      <c r="C295" s="34"/>
      <c r="D295" s="23" t="s">
        <v>2</v>
      </c>
      <c r="E295" s="12">
        <f>SUM(F295:J295)</f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38"/>
      <c r="L295" s="34"/>
    </row>
    <row r="296" spans="1:12" ht="24" customHeight="1" x14ac:dyDescent="0.2">
      <c r="A296" s="29" t="s">
        <v>213</v>
      </c>
      <c r="B296" s="30"/>
      <c r="C296" s="30"/>
      <c r="D296" s="24" t="s">
        <v>1</v>
      </c>
      <c r="E296" s="10">
        <f t="shared" ref="E296" si="116">SUM(E297:E300)</f>
        <v>4500.8160000000007</v>
      </c>
      <c r="F296" s="10">
        <f>SUM(F297:F300)</f>
        <v>0</v>
      </c>
      <c r="G296" s="10">
        <f t="shared" ref="G296:J296" si="117">SUM(G297:G300)</f>
        <v>0</v>
      </c>
      <c r="H296" s="10">
        <f t="shared" si="117"/>
        <v>1500.2719999999999</v>
      </c>
      <c r="I296" s="10">
        <f t="shared" si="117"/>
        <v>1500.2719999999999</v>
      </c>
      <c r="J296" s="10">
        <f t="shared" si="117"/>
        <v>1500.2719999999999</v>
      </c>
      <c r="K296" s="18"/>
      <c r="L296" s="18"/>
    </row>
    <row r="297" spans="1:12" ht="41.25" customHeight="1" x14ac:dyDescent="0.2">
      <c r="A297" s="30"/>
      <c r="B297" s="30"/>
      <c r="C297" s="30"/>
      <c r="D297" s="25" t="s">
        <v>19</v>
      </c>
      <c r="E297" s="10">
        <f>SUM(F297:J297)</f>
        <v>0</v>
      </c>
      <c r="F297" s="2">
        <f>F287</f>
        <v>0</v>
      </c>
      <c r="G297" s="2">
        <f t="shared" ref="G297:J297" si="118">G287</f>
        <v>0</v>
      </c>
      <c r="H297" s="2">
        <f t="shared" si="118"/>
        <v>0</v>
      </c>
      <c r="I297" s="2">
        <f t="shared" si="118"/>
        <v>0</v>
      </c>
      <c r="J297" s="2">
        <f t="shared" si="118"/>
        <v>0</v>
      </c>
      <c r="K297" s="18"/>
      <c r="L297" s="18"/>
    </row>
    <row r="298" spans="1:12" ht="56.25" customHeight="1" x14ac:dyDescent="0.2">
      <c r="A298" s="30"/>
      <c r="B298" s="30"/>
      <c r="C298" s="30"/>
      <c r="D298" s="25" t="s">
        <v>0</v>
      </c>
      <c r="E298" s="10">
        <f>SUM(F298:J298)</f>
        <v>2124</v>
      </c>
      <c r="F298" s="2">
        <f t="shared" ref="F298:J298" si="119">F288</f>
        <v>0</v>
      </c>
      <c r="G298" s="2">
        <f t="shared" si="119"/>
        <v>0</v>
      </c>
      <c r="H298" s="2">
        <f>H288</f>
        <v>708</v>
      </c>
      <c r="I298" s="2">
        <f t="shared" si="119"/>
        <v>708</v>
      </c>
      <c r="J298" s="2">
        <f t="shared" si="119"/>
        <v>708</v>
      </c>
      <c r="K298" s="18"/>
      <c r="L298" s="18"/>
    </row>
    <row r="299" spans="1:12" ht="69.75" customHeight="1" x14ac:dyDescent="0.2">
      <c r="A299" s="30"/>
      <c r="B299" s="30"/>
      <c r="C299" s="30"/>
      <c r="D299" s="25" t="s">
        <v>27</v>
      </c>
      <c r="E299" s="10">
        <f>SUM(F299:J299)</f>
        <v>2376.8160000000003</v>
      </c>
      <c r="F299" s="2">
        <f t="shared" ref="F299:J299" si="120">F289</f>
        <v>0</v>
      </c>
      <c r="G299" s="2">
        <f t="shared" si="120"/>
        <v>0</v>
      </c>
      <c r="H299" s="2">
        <f t="shared" si="120"/>
        <v>792.27200000000005</v>
      </c>
      <c r="I299" s="2">
        <f t="shared" si="120"/>
        <v>792.27200000000005</v>
      </c>
      <c r="J299" s="2">
        <f t="shared" si="120"/>
        <v>792.27200000000005</v>
      </c>
      <c r="K299" s="18"/>
      <c r="L299" s="18"/>
    </row>
    <row r="300" spans="1:12" ht="33" customHeight="1" x14ac:dyDescent="0.2">
      <c r="A300" s="30"/>
      <c r="B300" s="30"/>
      <c r="C300" s="30"/>
      <c r="D300" s="25" t="s">
        <v>2</v>
      </c>
      <c r="E300" s="10">
        <f>SUM(F300:J300)</f>
        <v>0</v>
      </c>
      <c r="F300" s="2">
        <f t="shared" ref="F300:J300" si="121">F290</f>
        <v>0</v>
      </c>
      <c r="G300" s="2">
        <f t="shared" si="121"/>
        <v>0</v>
      </c>
      <c r="H300" s="2">
        <f t="shared" si="121"/>
        <v>0</v>
      </c>
      <c r="I300" s="2">
        <f t="shared" si="121"/>
        <v>0</v>
      </c>
      <c r="J300" s="2">
        <f t="shared" si="121"/>
        <v>0</v>
      </c>
      <c r="K300" s="18"/>
      <c r="L300" s="18"/>
    </row>
    <row r="301" spans="1:12" ht="19.5" customHeight="1" x14ac:dyDescent="0.2">
      <c r="A301" s="29" t="s">
        <v>8</v>
      </c>
      <c r="B301" s="63"/>
      <c r="C301" s="63"/>
      <c r="D301" s="24" t="s">
        <v>1</v>
      </c>
      <c r="E301" s="10">
        <f t="shared" ref="E301:J301" si="122">SUM(E302:E305)</f>
        <v>18655643.234182999</v>
      </c>
      <c r="F301" s="10">
        <f>SUM(F302:F305)</f>
        <v>2775377.5956199998</v>
      </c>
      <c r="G301" s="10">
        <f t="shared" si="122"/>
        <v>5000982.7114499994</v>
      </c>
      <c r="H301" s="10">
        <f t="shared" si="122"/>
        <v>5088196.8391329991</v>
      </c>
      <c r="I301" s="10">
        <f t="shared" si="122"/>
        <v>3198167.2789899991</v>
      </c>
      <c r="J301" s="10">
        <f t="shared" si="122"/>
        <v>2592918.8089899994</v>
      </c>
      <c r="K301" s="4"/>
      <c r="L301" s="5"/>
    </row>
    <row r="302" spans="1:12" ht="49.5" customHeight="1" x14ac:dyDescent="0.2">
      <c r="A302" s="63"/>
      <c r="B302" s="63"/>
      <c r="C302" s="63"/>
      <c r="D302" s="25" t="s">
        <v>19</v>
      </c>
      <c r="E302" s="10">
        <f>SUM(F302:J302)</f>
        <v>902044.17</v>
      </c>
      <c r="F302" s="2">
        <f>F194+F249+F281+F297</f>
        <v>310231.34000000003</v>
      </c>
      <c r="G302" s="2">
        <f t="shared" ref="G302:J302" si="123">G194+G249+G281+G297</f>
        <v>162085.75</v>
      </c>
      <c r="H302" s="2">
        <f t="shared" si="123"/>
        <v>429727.08</v>
      </c>
      <c r="I302" s="2">
        <f t="shared" si="123"/>
        <v>0</v>
      </c>
      <c r="J302" s="2">
        <f t="shared" si="123"/>
        <v>0</v>
      </c>
      <c r="K302" s="4"/>
      <c r="L302" s="5"/>
    </row>
    <row r="303" spans="1:12" ht="66" customHeight="1" x14ac:dyDescent="0.2">
      <c r="A303" s="63"/>
      <c r="B303" s="63"/>
      <c r="C303" s="63"/>
      <c r="D303" s="25" t="s">
        <v>0</v>
      </c>
      <c r="E303" s="10">
        <f>SUM(F303:J303)</f>
        <v>2517629.6299999994</v>
      </c>
      <c r="F303" s="2">
        <f t="shared" ref="F303:J303" si="124">F195+F250+F282+F298</f>
        <v>264239.61999999994</v>
      </c>
      <c r="G303" s="2">
        <f t="shared" si="124"/>
        <v>1165869.3700000001</v>
      </c>
      <c r="H303" s="2">
        <f t="shared" si="124"/>
        <v>628355.24999999988</v>
      </c>
      <c r="I303" s="2">
        <f t="shared" si="124"/>
        <v>427054.23999999993</v>
      </c>
      <c r="J303" s="2">
        <f t="shared" si="124"/>
        <v>32111.15</v>
      </c>
      <c r="K303" s="4"/>
      <c r="L303" s="6"/>
    </row>
    <row r="304" spans="1:12" ht="75.75" customHeight="1" x14ac:dyDescent="0.2">
      <c r="A304" s="63"/>
      <c r="B304" s="63"/>
      <c r="C304" s="63"/>
      <c r="D304" s="25" t="s">
        <v>27</v>
      </c>
      <c r="E304" s="10">
        <f>SUM(F304:J304)</f>
        <v>15044674.854183</v>
      </c>
      <c r="F304" s="2">
        <f t="shared" ref="F304:J304" si="125">F196+F251+F283+F299</f>
        <v>2200906.6356199998</v>
      </c>
      <c r="G304" s="2">
        <f t="shared" si="125"/>
        <v>3550359.5114499996</v>
      </c>
      <c r="H304" s="2">
        <f t="shared" si="125"/>
        <v>4022850.0091329995</v>
      </c>
      <c r="I304" s="2">
        <f t="shared" si="125"/>
        <v>2740558.0389899993</v>
      </c>
      <c r="J304" s="2">
        <f t="shared" si="125"/>
        <v>2530000.6589899994</v>
      </c>
      <c r="K304" s="7"/>
      <c r="L304" s="6"/>
    </row>
    <row r="305" spans="1:12" ht="27" customHeight="1" x14ac:dyDescent="0.2">
      <c r="A305" s="63"/>
      <c r="B305" s="63"/>
      <c r="C305" s="63"/>
      <c r="D305" s="25" t="s">
        <v>2</v>
      </c>
      <c r="E305" s="10">
        <f>SUM(F305:J305)</f>
        <v>191294.58000000002</v>
      </c>
      <c r="F305" s="2">
        <f t="shared" ref="F305:J305" si="126">F197+F252+F284+F300</f>
        <v>0</v>
      </c>
      <c r="G305" s="2">
        <f t="shared" si="126"/>
        <v>122668.08</v>
      </c>
      <c r="H305" s="2">
        <f t="shared" si="126"/>
        <v>7264.5</v>
      </c>
      <c r="I305" s="2">
        <f t="shared" si="126"/>
        <v>30555</v>
      </c>
      <c r="J305" s="2">
        <f t="shared" si="126"/>
        <v>30807</v>
      </c>
      <c r="K305" s="6"/>
      <c r="L305" s="6"/>
    </row>
    <row r="306" spans="1:12" ht="17.25" customHeight="1" x14ac:dyDescent="0.3">
      <c r="A306" s="13"/>
      <c r="B306" s="13"/>
      <c r="C306" s="13"/>
      <c r="D306" s="14"/>
      <c r="E306" s="15"/>
      <c r="F306" s="8"/>
      <c r="G306" s="8"/>
      <c r="H306" s="8"/>
      <c r="I306" s="8"/>
      <c r="J306" s="8"/>
      <c r="K306" s="9"/>
      <c r="L306" s="19"/>
    </row>
    <row r="307" spans="1:12" s="16" customFormat="1" ht="17.25" customHeight="1" x14ac:dyDescent="0.3"/>
    <row r="308" spans="1:12" s="16" customFormat="1" ht="17.25" customHeight="1" x14ac:dyDescent="0.3"/>
    <row r="309" spans="1:12" s="16" customFormat="1" ht="18.75" x14ac:dyDescent="0.3">
      <c r="A309" s="16" t="s">
        <v>65</v>
      </c>
      <c r="L309" s="17" t="s">
        <v>66</v>
      </c>
    </row>
    <row r="310" spans="1:12" s="16" customFormat="1" ht="22.5" customHeight="1" x14ac:dyDescent="0.3"/>
    <row r="311" spans="1:12" s="16" customFormat="1" ht="18.75" x14ac:dyDescent="0.3">
      <c r="A311" s="16" t="s">
        <v>46</v>
      </c>
      <c r="L311" s="17" t="s">
        <v>44</v>
      </c>
    </row>
    <row r="312" spans="1:12" s="16" customFormat="1" ht="18.75" x14ac:dyDescent="0.3"/>
  </sheetData>
  <autoFilter ref="A8:L8"/>
  <mergeCells count="270">
    <mergeCell ref="K59:K63"/>
    <mergeCell ref="L59:L63"/>
    <mergeCell ref="L100:L104"/>
    <mergeCell ref="L105:L109"/>
    <mergeCell ref="L143:L147"/>
    <mergeCell ref="L79:L83"/>
    <mergeCell ref="K97:K99"/>
    <mergeCell ref="K178:K182"/>
    <mergeCell ref="C74:C78"/>
    <mergeCell ref="B69:B73"/>
    <mergeCell ref="B64:B68"/>
    <mergeCell ref="A69:A73"/>
    <mergeCell ref="K54:K58"/>
    <mergeCell ref="L54:L58"/>
    <mergeCell ref="C69:C73"/>
    <mergeCell ref="K69:K73"/>
    <mergeCell ref="L69:L73"/>
    <mergeCell ref="C54:C58"/>
    <mergeCell ref="J2:L2"/>
    <mergeCell ref="A9:L9"/>
    <mergeCell ref="B10:B14"/>
    <mergeCell ref="C10:C14"/>
    <mergeCell ref="K10:K14"/>
    <mergeCell ref="A4:L4"/>
    <mergeCell ref="A6:A7"/>
    <mergeCell ref="B6:B7"/>
    <mergeCell ref="L10:L14"/>
    <mergeCell ref="A10:A14"/>
    <mergeCell ref="C6:C7"/>
    <mergeCell ref="D6:D7"/>
    <mergeCell ref="E6:E7"/>
    <mergeCell ref="F6:J6"/>
    <mergeCell ref="K6:K7"/>
    <mergeCell ref="L6:L7"/>
    <mergeCell ref="A97:A99"/>
    <mergeCell ref="B97:B99"/>
    <mergeCell ref="C97:C99"/>
    <mergeCell ref="B89:B93"/>
    <mergeCell ref="B44:B48"/>
    <mergeCell ref="A49:A53"/>
    <mergeCell ref="B84:B88"/>
    <mergeCell ref="C84:C88"/>
    <mergeCell ref="A15:A19"/>
    <mergeCell ref="A54:A58"/>
    <mergeCell ref="B49:B53"/>
    <mergeCell ref="C49:C53"/>
    <mergeCell ref="A25:A29"/>
    <mergeCell ref="B25:B29"/>
    <mergeCell ref="C25:C29"/>
    <mergeCell ref="A36:A38"/>
    <mergeCell ref="B36:B38"/>
    <mergeCell ref="C36:C38"/>
    <mergeCell ref="A44:A48"/>
    <mergeCell ref="B54:B58"/>
    <mergeCell ref="A74:A78"/>
    <mergeCell ref="A64:A68"/>
    <mergeCell ref="C64:C68"/>
    <mergeCell ref="B74:B78"/>
    <mergeCell ref="A148:A152"/>
    <mergeCell ref="B148:B152"/>
    <mergeCell ref="C148:C152"/>
    <mergeCell ref="L148:L152"/>
    <mergeCell ref="K148:K152"/>
    <mergeCell ref="A138:A142"/>
    <mergeCell ref="B138:B142"/>
    <mergeCell ref="C15:C19"/>
    <mergeCell ref="C59:C63"/>
    <mergeCell ref="A20:A24"/>
    <mergeCell ref="B20:B24"/>
    <mergeCell ref="A100:A104"/>
    <mergeCell ref="B100:B104"/>
    <mergeCell ref="C100:C104"/>
    <mergeCell ref="K100:K104"/>
    <mergeCell ref="A105:A109"/>
    <mergeCell ref="B105:B109"/>
    <mergeCell ref="C105:C109"/>
    <mergeCell ref="K105:K109"/>
    <mergeCell ref="A110:A114"/>
    <mergeCell ref="B110:B114"/>
    <mergeCell ref="C110:C114"/>
    <mergeCell ref="K110:K114"/>
    <mergeCell ref="B143:B147"/>
    <mergeCell ref="A243:A247"/>
    <mergeCell ref="B243:B247"/>
    <mergeCell ref="A199:A203"/>
    <mergeCell ref="B199:B203"/>
    <mergeCell ref="C199:C203"/>
    <mergeCell ref="K199:K203"/>
    <mergeCell ref="L199:L203"/>
    <mergeCell ref="A221:A225"/>
    <mergeCell ref="L97:L99"/>
    <mergeCell ref="L110:L114"/>
    <mergeCell ref="A115:A119"/>
    <mergeCell ref="C243:C247"/>
    <mergeCell ref="K243:K247"/>
    <mergeCell ref="L243:L247"/>
    <mergeCell ref="L178:L182"/>
    <mergeCell ref="A183:A187"/>
    <mergeCell ref="B183:B187"/>
    <mergeCell ref="C183:C187"/>
    <mergeCell ref="K183:K187"/>
    <mergeCell ref="L183:L187"/>
    <mergeCell ref="A198:L198"/>
    <mergeCell ref="C178:C182"/>
    <mergeCell ref="A158:A162"/>
    <mergeCell ref="A178:A182"/>
    <mergeCell ref="A301:C305"/>
    <mergeCell ref="A265:A269"/>
    <mergeCell ref="B265:B269"/>
    <mergeCell ref="C265:C269"/>
    <mergeCell ref="K265:K269"/>
    <mergeCell ref="A254:A258"/>
    <mergeCell ref="B254:B258"/>
    <mergeCell ref="C254:C258"/>
    <mergeCell ref="K254:K258"/>
    <mergeCell ref="A275:A279"/>
    <mergeCell ref="B275:B279"/>
    <mergeCell ref="C275:C279"/>
    <mergeCell ref="K275:K279"/>
    <mergeCell ref="K270:K274"/>
    <mergeCell ref="A270:A274"/>
    <mergeCell ref="A280:C284"/>
    <mergeCell ref="A259:A263"/>
    <mergeCell ref="B259:B263"/>
    <mergeCell ref="C259:C263"/>
    <mergeCell ref="K259:K263"/>
    <mergeCell ref="B270:B274"/>
    <mergeCell ref="C270:C274"/>
    <mergeCell ref="A296:C300"/>
    <mergeCell ref="B153:B157"/>
    <mergeCell ref="C158:C162"/>
    <mergeCell ref="K158:K162"/>
    <mergeCell ref="L158:L162"/>
    <mergeCell ref="A153:A157"/>
    <mergeCell ref="K153:K157"/>
    <mergeCell ref="L153:L157"/>
    <mergeCell ref="B158:B162"/>
    <mergeCell ref="A193:C197"/>
    <mergeCell ref="B178:B182"/>
    <mergeCell ref="B188:B192"/>
    <mergeCell ref="C188:C192"/>
    <mergeCell ref="K188:K192"/>
    <mergeCell ref="L188:L192"/>
    <mergeCell ref="A188:A192"/>
    <mergeCell ref="A168:A172"/>
    <mergeCell ref="K163:K167"/>
    <mergeCell ref="A163:A167"/>
    <mergeCell ref="A94:A96"/>
    <mergeCell ref="B94:B96"/>
    <mergeCell ref="C94:C96"/>
    <mergeCell ref="K94:K96"/>
    <mergeCell ref="L94:L96"/>
    <mergeCell ref="A59:A63"/>
    <mergeCell ref="B59:B63"/>
    <mergeCell ref="L49:L53"/>
    <mergeCell ref="A79:A83"/>
    <mergeCell ref="B79:B83"/>
    <mergeCell ref="C89:C93"/>
    <mergeCell ref="A89:A93"/>
    <mergeCell ref="A84:A88"/>
    <mergeCell ref="K89:K93"/>
    <mergeCell ref="L89:L93"/>
    <mergeCell ref="K84:K88"/>
    <mergeCell ref="L84:L88"/>
    <mergeCell ref="C79:C83"/>
    <mergeCell ref="K79:K83"/>
    <mergeCell ref="K49:K53"/>
    <mergeCell ref="K74:K78"/>
    <mergeCell ref="L74:L78"/>
    <mergeCell ref="K64:K68"/>
    <mergeCell ref="L64:L68"/>
    <mergeCell ref="K15:K19"/>
    <mergeCell ref="K36:K38"/>
    <mergeCell ref="K44:K48"/>
    <mergeCell ref="C39:C43"/>
    <mergeCell ref="K39:K43"/>
    <mergeCell ref="L25:L29"/>
    <mergeCell ref="A39:A43"/>
    <mergeCell ref="B39:B43"/>
    <mergeCell ref="L39:L43"/>
    <mergeCell ref="C44:C48"/>
    <mergeCell ref="L36:L38"/>
    <mergeCell ref="B15:B19"/>
    <mergeCell ref="C20:C24"/>
    <mergeCell ref="L44:L48"/>
    <mergeCell ref="K20:K24"/>
    <mergeCell ref="L20:L24"/>
    <mergeCell ref="K25:K29"/>
    <mergeCell ref="L15:L19"/>
    <mergeCell ref="C143:C147"/>
    <mergeCell ref="K143:K147"/>
    <mergeCell ref="L138:L142"/>
    <mergeCell ref="A135:A137"/>
    <mergeCell ref="C115:C119"/>
    <mergeCell ref="K115:K119"/>
    <mergeCell ref="L115:L119"/>
    <mergeCell ref="A120:A124"/>
    <mergeCell ref="B120:B124"/>
    <mergeCell ref="C120:C124"/>
    <mergeCell ref="K120:K124"/>
    <mergeCell ref="L120:L124"/>
    <mergeCell ref="C138:C142"/>
    <mergeCell ref="K138:K142"/>
    <mergeCell ref="A143:A147"/>
    <mergeCell ref="B115:B119"/>
    <mergeCell ref="B135:B137"/>
    <mergeCell ref="C135:C137"/>
    <mergeCell ref="K135:K137"/>
    <mergeCell ref="L135:L137"/>
    <mergeCell ref="J1:L1"/>
    <mergeCell ref="L173:L177"/>
    <mergeCell ref="L163:L167"/>
    <mergeCell ref="B163:B167"/>
    <mergeCell ref="C153:C157"/>
    <mergeCell ref="L168:L172"/>
    <mergeCell ref="C168:C172"/>
    <mergeCell ref="A125:A129"/>
    <mergeCell ref="B125:B129"/>
    <mergeCell ref="C125:C129"/>
    <mergeCell ref="K125:K129"/>
    <mergeCell ref="L125:L129"/>
    <mergeCell ref="A130:A134"/>
    <mergeCell ref="B130:B134"/>
    <mergeCell ref="C130:C134"/>
    <mergeCell ref="K130:K134"/>
    <mergeCell ref="L130:L134"/>
    <mergeCell ref="K168:K172"/>
    <mergeCell ref="B168:B172"/>
    <mergeCell ref="C163:C167"/>
    <mergeCell ref="A173:A177"/>
    <mergeCell ref="B173:B177"/>
    <mergeCell ref="C173:C177"/>
    <mergeCell ref="K173:K177"/>
    <mergeCell ref="C221:C225"/>
    <mergeCell ref="K221:K225"/>
    <mergeCell ref="L221:L225"/>
    <mergeCell ref="A226:A230"/>
    <mergeCell ref="B226:B230"/>
    <mergeCell ref="C226:C230"/>
    <mergeCell ref="K226:K230"/>
    <mergeCell ref="L226:L230"/>
    <mergeCell ref="A238:A242"/>
    <mergeCell ref="B238:B242"/>
    <mergeCell ref="C238:C242"/>
    <mergeCell ref="K238:K242"/>
    <mergeCell ref="L238:L242"/>
    <mergeCell ref="B221:B225"/>
    <mergeCell ref="A232:A236"/>
    <mergeCell ref="B232:B236"/>
    <mergeCell ref="C232:C236"/>
    <mergeCell ref="K232:K236"/>
    <mergeCell ref="L232:L236"/>
    <mergeCell ref="A248:C252"/>
    <mergeCell ref="A285:L285"/>
    <mergeCell ref="A286:A290"/>
    <mergeCell ref="B286:B290"/>
    <mergeCell ref="C286:C290"/>
    <mergeCell ref="K286:K290"/>
    <mergeCell ref="L286:L290"/>
    <mergeCell ref="A291:A295"/>
    <mergeCell ref="B291:B295"/>
    <mergeCell ref="C291:C295"/>
    <mergeCell ref="K291:K295"/>
    <mergeCell ref="L291:L295"/>
    <mergeCell ref="L275:L279"/>
    <mergeCell ref="L270:L274"/>
    <mergeCell ref="L259:L263"/>
    <mergeCell ref="L254:L258"/>
    <mergeCell ref="L265:L269"/>
    <mergeCell ref="A253:L253"/>
  </mergeCells>
  <printOptions horizontalCentered="1"/>
  <pageMargins left="0.59055118110236227" right="0.59055118110236227" top="0.74803149606299213" bottom="0.39370078740157483" header="0.31496062992125984" footer="0.31496062992125984"/>
  <pageSetup paperSize="9" scale="70" fitToHeight="0" orientation="landscape" r:id="rId1"/>
  <headerFooter differentFirst="1">
    <oddHeader>Страница &amp;P</oddHeader>
  </headerFooter>
  <rowBreaks count="21" manualBreakCount="21">
    <brk id="19" max="11" man="1"/>
    <brk id="30" max="11" man="1"/>
    <brk id="34" max="11" man="1"/>
    <brk id="43" max="11" man="1"/>
    <brk id="58" max="11" man="1"/>
    <brk id="88" max="11" man="1"/>
    <brk id="99" max="11" man="1"/>
    <brk id="114" max="11" man="1"/>
    <brk id="129" max="11" man="1"/>
    <brk id="142" max="11" man="1"/>
    <brk id="156" max="11" man="1"/>
    <brk id="167" max="11" man="1"/>
    <brk id="182" max="11" man="1"/>
    <brk id="197" max="11" man="1"/>
    <brk id="220" max="11" man="1"/>
    <brk id="231" max="11" man="1"/>
    <brk id="242" max="11" man="1"/>
    <brk id="252" max="11" man="1"/>
    <brk id="264" max="11" man="1"/>
    <brk id="279" max="11" man="1"/>
    <brk id="2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мероприятий</vt:lpstr>
      <vt:lpstr>'Перечень мероприятий'!Заголовки_для_печати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User</cp:lastModifiedBy>
  <cp:lastPrinted>2022-06-24T08:56:28Z</cp:lastPrinted>
  <dcterms:created xsi:type="dcterms:W3CDTF">2014-09-12T06:18:21Z</dcterms:created>
  <dcterms:modified xsi:type="dcterms:W3CDTF">2022-06-29T06:48:28Z</dcterms:modified>
</cp:coreProperties>
</file>