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10\общая\БЕЛОГЛАЗОВА-ГУБЕРНСКАЯ\ПРОГРАММА 2020-2024\2022\5 вариант от №\"/>
    </mc:Choice>
  </mc:AlternateContent>
  <bookViews>
    <workbookView xWindow="0" yWindow="0" windowWidth="28800" windowHeight="11835" tabRatio="792" activeTab="1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1'!$A$34:$M$66</definedName>
    <definedName name="_xlnm._FilterDatabase" localSheetId="1" hidden="1">'Подпрограмма 2'!$A$14:$N$109</definedName>
    <definedName name="_xlnm._FilterDatabase" localSheetId="2" hidden="1">'Подпрограмма 3'!$A$7:$X$79</definedName>
    <definedName name="_xlnm.Print_Titles" localSheetId="0">'Подпрограмма 1'!$10:$14</definedName>
    <definedName name="_xlnm.Print_Titles" localSheetId="1">'Подпрограмма 2'!$2:$5</definedName>
    <definedName name="_xlnm.Print_Titles" localSheetId="2">'Подпрограмма 3'!$2:$5</definedName>
    <definedName name="_xlnm.Print_Titles" localSheetId="3">'Подпрограмма 4'!$3:$5</definedName>
    <definedName name="_xlnm.Print_Titles" localSheetId="4">'Подпрограмма 5'!$1:$3</definedName>
    <definedName name="_xlnm.Print_Area" localSheetId="0">'Подпрограмма 1'!$A$1:$M$66</definedName>
    <definedName name="_xlnm.Print_Area" localSheetId="1">'Подпрограмма 2'!$A$1:$M$109</definedName>
    <definedName name="_xlnm.Print_Area" localSheetId="2">'Подпрограмма 3'!$A$1:$M$79</definedName>
    <definedName name="_xlnm.Print_Area" localSheetId="3">'Подпрограмма 4'!$A$1:$M$15</definedName>
    <definedName name="_xlnm.Print_Area" localSheetId="4">'Подпрограмма 5'!$A$1:$Q$30</definedName>
  </definedNames>
  <calcPr calcId="152511"/>
</workbook>
</file>

<file path=xl/calcChain.xml><?xml version="1.0" encoding="utf-8"?>
<calcChain xmlns="http://schemas.openxmlformats.org/spreadsheetml/2006/main">
  <c r="I20" i="2" l="1"/>
  <c r="I14" i="3"/>
  <c r="I112" i="2"/>
  <c r="I74" i="1"/>
  <c r="I76" i="1"/>
  <c r="K13" i="9"/>
  <c r="J13" i="9"/>
  <c r="I13" i="9"/>
  <c r="I11" i="9"/>
  <c r="I10" i="9"/>
  <c r="I35" i="2" l="1"/>
  <c r="I48" i="1" l="1"/>
  <c r="J38" i="2" l="1"/>
  <c r="G40" i="2"/>
  <c r="H40" i="2"/>
  <c r="I40" i="2"/>
  <c r="G41" i="2"/>
  <c r="H41" i="2"/>
  <c r="I41" i="2"/>
  <c r="K40" i="2"/>
  <c r="K41" i="2"/>
  <c r="J41" i="2"/>
  <c r="J40" i="2"/>
  <c r="F64" i="2"/>
  <c r="F63" i="2"/>
  <c r="I36" i="2" l="1"/>
  <c r="I24" i="2" l="1"/>
  <c r="I23" i="2"/>
  <c r="I18" i="2"/>
  <c r="I47" i="1"/>
  <c r="I56" i="1"/>
  <c r="I55" i="1"/>
  <c r="J48" i="1" l="1"/>
  <c r="G21" i="3" l="1"/>
  <c r="H21" i="3"/>
  <c r="G22" i="3"/>
  <c r="H22" i="3"/>
  <c r="J21" i="3"/>
  <c r="K21" i="3"/>
  <c r="J22" i="3"/>
  <c r="K22" i="3"/>
  <c r="I22" i="3"/>
  <c r="I21" i="3"/>
  <c r="I27" i="3"/>
  <c r="P26" i="3"/>
  <c r="F26" i="3"/>
  <c r="P25" i="3"/>
  <c r="F25" i="3"/>
  <c r="H70" i="2"/>
  <c r="I70" i="2"/>
  <c r="J70" i="2"/>
  <c r="K70" i="2"/>
  <c r="H71" i="2"/>
  <c r="I71" i="2"/>
  <c r="J71" i="2"/>
  <c r="K71" i="2"/>
  <c r="G71" i="2"/>
  <c r="G70" i="2"/>
  <c r="F81" i="2"/>
  <c r="F80" i="2"/>
  <c r="J105" i="2" l="1"/>
  <c r="K105" i="2"/>
  <c r="I12" i="9" l="1"/>
  <c r="J78" i="2" l="1"/>
  <c r="J76" i="2"/>
  <c r="J73" i="2"/>
  <c r="J77" i="2"/>
  <c r="I74" i="2"/>
  <c r="J74" i="2"/>
  <c r="I39" i="2"/>
  <c r="F62" i="2" l="1"/>
  <c r="F61" i="2"/>
  <c r="J47" i="1" l="1"/>
  <c r="I73" i="2" l="1"/>
  <c r="I77" i="2" l="1"/>
  <c r="I57" i="2"/>
  <c r="I46" i="2"/>
  <c r="J112" i="2"/>
  <c r="I34" i="2"/>
  <c r="E17" i="9" l="1"/>
  <c r="H8" i="9"/>
  <c r="H17" i="9" s="1"/>
  <c r="I8" i="9"/>
  <c r="I17" i="9" s="1"/>
  <c r="J8" i="9"/>
  <c r="J17" i="9" s="1"/>
  <c r="K8" i="9"/>
  <c r="K17" i="9" s="1"/>
  <c r="G8" i="9"/>
  <c r="G17" i="9" s="1"/>
  <c r="F12" i="9"/>
  <c r="K20" i="2"/>
  <c r="J20" i="2"/>
  <c r="F17" i="9" l="1"/>
  <c r="F8" i="9"/>
  <c r="I41" i="1"/>
  <c r="I40" i="1"/>
  <c r="I19" i="2"/>
  <c r="I83" i="3" l="1"/>
  <c r="I94" i="2"/>
  <c r="I93" i="2"/>
  <c r="I13" i="3" l="1"/>
  <c r="I55" i="2"/>
  <c r="I53" i="2"/>
  <c r="I54" i="2"/>
  <c r="I76" i="2" l="1"/>
  <c r="I75" i="2"/>
  <c r="I56" i="2" l="1"/>
  <c r="J24" i="2" l="1"/>
  <c r="J18" i="2"/>
  <c r="K112" i="2" l="1"/>
  <c r="J23" i="2"/>
  <c r="K23" i="2"/>
  <c r="G104" i="2" l="1"/>
  <c r="H104" i="2"/>
  <c r="J104" i="2"/>
  <c r="K104" i="2"/>
  <c r="J94" i="2"/>
  <c r="J93" i="2"/>
  <c r="K68" i="2"/>
  <c r="H69" i="2"/>
  <c r="I69" i="2"/>
  <c r="J69" i="2"/>
  <c r="K69" i="2"/>
  <c r="G69" i="2"/>
  <c r="F75" i="2"/>
  <c r="F72" i="2"/>
  <c r="F69" i="2" l="1"/>
  <c r="K87" i="2"/>
  <c r="K86" i="2"/>
  <c r="H36" i="1" l="1"/>
  <c r="H34" i="2"/>
  <c r="H13" i="9" l="1"/>
  <c r="H10" i="9"/>
  <c r="H31" i="3"/>
  <c r="H16" i="3"/>
  <c r="H13" i="3"/>
  <c r="H112" i="2" l="1"/>
  <c r="H67" i="2"/>
  <c r="H57" i="2"/>
  <c r="H55" i="2"/>
  <c r="H23" i="2"/>
  <c r="H15" i="2"/>
  <c r="H19" i="2"/>
  <c r="H18" i="2"/>
  <c r="H68" i="1"/>
  <c r="H72" i="1"/>
  <c r="H24" i="2"/>
  <c r="H22" i="2"/>
  <c r="H39" i="1" l="1"/>
  <c r="H41" i="1"/>
  <c r="H40" i="1"/>
  <c r="H48" i="1"/>
  <c r="H45" i="1"/>
  <c r="H44" i="1"/>
  <c r="H84" i="2" l="1"/>
  <c r="I84" i="2"/>
  <c r="J84" i="2"/>
  <c r="K84" i="2"/>
  <c r="H85" i="2"/>
  <c r="I85" i="2"/>
  <c r="J85" i="2"/>
  <c r="K85" i="2"/>
  <c r="G85" i="2"/>
  <c r="G84" i="2"/>
  <c r="H56" i="1" l="1"/>
  <c r="H55" i="1"/>
  <c r="H28" i="2"/>
  <c r="H37" i="1"/>
  <c r="H54" i="2"/>
  <c r="H53" i="2"/>
  <c r="H16" i="2"/>
  <c r="H38" i="1"/>
  <c r="H46" i="2" l="1"/>
  <c r="H94" i="2" l="1"/>
  <c r="H93" i="2"/>
  <c r="H95" i="2"/>
  <c r="H56" i="2"/>
  <c r="F58" i="3"/>
  <c r="N57" i="3"/>
  <c r="P57" i="3" s="1"/>
  <c r="F57" i="3"/>
  <c r="N56" i="3"/>
  <c r="P56" i="3" s="1"/>
  <c r="F56" i="3"/>
  <c r="F55" i="3"/>
  <c r="N54" i="3"/>
  <c r="P54" i="3" s="1"/>
  <c r="F54" i="3"/>
  <c r="K53" i="3"/>
  <c r="J53" i="3"/>
  <c r="J50" i="3" s="1"/>
  <c r="I53" i="3"/>
  <c r="H53" i="3"/>
  <c r="G53" i="3"/>
  <c r="F53" i="3" s="1"/>
  <c r="E53" i="3"/>
  <c r="K52" i="3"/>
  <c r="J52" i="3"/>
  <c r="I52" i="3"/>
  <c r="H52" i="3"/>
  <c r="H50" i="3" s="1"/>
  <c r="G52" i="3"/>
  <c r="F52" i="3"/>
  <c r="E52" i="3"/>
  <c r="K51" i="3"/>
  <c r="J51" i="3"/>
  <c r="I51" i="3"/>
  <c r="F51" i="3" s="1"/>
  <c r="H51" i="3"/>
  <c r="G51" i="3"/>
  <c r="E51" i="3"/>
  <c r="P28" i="3"/>
  <c r="F28" i="3"/>
  <c r="P27" i="3"/>
  <c r="F27" i="3"/>
  <c r="F19" i="3"/>
  <c r="K50" i="3" l="1"/>
  <c r="I50" i="3"/>
  <c r="G50" i="3"/>
  <c r="F50" i="3" s="1"/>
  <c r="E50" i="3"/>
  <c r="K28" i="2"/>
  <c r="J28" i="2"/>
  <c r="J9" i="2" s="1"/>
  <c r="I28" i="2"/>
  <c r="I9" i="2" s="1"/>
  <c r="H9" i="2"/>
  <c r="K16" i="2"/>
  <c r="J16" i="2"/>
  <c r="I16" i="2"/>
  <c r="K15" i="2"/>
  <c r="J15" i="2"/>
  <c r="I15" i="2"/>
  <c r="K35" i="2" l="1"/>
  <c r="K9" i="2" s="1"/>
  <c r="F37" i="2"/>
  <c r="K36" i="2"/>
  <c r="J36" i="2"/>
  <c r="F36" i="2" l="1"/>
  <c r="F35" i="2"/>
  <c r="H30" i="1"/>
  <c r="I30" i="1"/>
  <c r="J30" i="1"/>
  <c r="K30" i="1"/>
  <c r="H31" i="1"/>
  <c r="I31" i="1"/>
  <c r="J31" i="1"/>
  <c r="K31" i="1"/>
  <c r="G31" i="1"/>
  <c r="G30" i="1"/>
  <c r="F50" i="1"/>
  <c r="F49" i="1"/>
  <c r="K54" i="2" l="1"/>
  <c r="K53" i="2"/>
  <c r="K55" i="2"/>
  <c r="J54" i="2"/>
  <c r="J53" i="2"/>
  <c r="J55" i="2"/>
  <c r="K50" i="2"/>
  <c r="K49" i="2"/>
  <c r="J50" i="2"/>
  <c r="J49" i="2"/>
  <c r="I50" i="2"/>
  <c r="I49" i="2"/>
  <c r="K18" i="2"/>
  <c r="K17" i="2"/>
  <c r="J17" i="2"/>
  <c r="I17" i="2"/>
  <c r="K34" i="2" l="1"/>
  <c r="K33" i="2"/>
  <c r="K10" i="2" s="1"/>
  <c r="J33" i="2"/>
  <c r="J10" i="2" s="1"/>
  <c r="I33" i="2"/>
  <c r="I10" i="2" s="1"/>
  <c r="I105" i="2" s="1"/>
  <c r="G68" i="2"/>
  <c r="F79" i="2"/>
  <c r="F78" i="2"/>
  <c r="J68" i="2" l="1"/>
  <c r="I68" i="2"/>
  <c r="F77" i="2"/>
  <c r="F76" i="2"/>
  <c r="F74" i="2"/>
  <c r="F73" i="2"/>
  <c r="F71" i="2"/>
  <c r="E71" i="2"/>
  <c r="H68" i="2"/>
  <c r="F70" i="2"/>
  <c r="E70" i="2"/>
  <c r="F68" i="2" l="1"/>
  <c r="E68" i="2"/>
  <c r="H20" i="2" l="1"/>
  <c r="H42" i="1"/>
  <c r="H14" i="3" l="1"/>
  <c r="H17" i="2" l="1"/>
  <c r="H11" i="9" l="1"/>
  <c r="K11" i="9" l="1"/>
  <c r="J11" i="9"/>
  <c r="K10" i="9"/>
  <c r="J10" i="9"/>
  <c r="K16" i="3"/>
  <c r="J16" i="3"/>
  <c r="I16" i="3"/>
  <c r="I11" i="3" s="1"/>
  <c r="K57" i="2"/>
  <c r="J57" i="2"/>
  <c r="K24" i="2" l="1"/>
  <c r="K45" i="1" l="1"/>
  <c r="J45" i="1"/>
  <c r="I45" i="1"/>
  <c r="K43" i="2" l="1"/>
  <c r="J43" i="2"/>
  <c r="I43" i="2"/>
  <c r="K42" i="2"/>
  <c r="J42" i="2"/>
  <c r="I42" i="2"/>
  <c r="H97" i="2" l="1"/>
  <c r="H96" i="2"/>
  <c r="H43" i="2"/>
  <c r="I11" i="2"/>
  <c r="J11" i="2"/>
  <c r="K11" i="2"/>
  <c r="F34" i="2"/>
  <c r="F33" i="2"/>
  <c r="H11" i="2" l="1"/>
  <c r="K13" i="3"/>
  <c r="K11" i="3" s="1"/>
  <c r="J13" i="3"/>
  <c r="J11" i="3" s="1"/>
  <c r="K40" i="1" l="1"/>
  <c r="J40" i="1"/>
  <c r="H21" i="2" l="1"/>
  <c r="H43" i="1"/>
  <c r="K72" i="1" l="1"/>
  <c r="J72" i="1"/>
  <c r="I72" i="1"/>
  <c r="K48" i="1"/>
  <c r="K39" i="1"/>
  <c r="J39" i="1"/>
  <c r="I39" i="1"/>
  <c r="K38" i="1"/>
  <c r="J38" i="1"/>
  <c r="I38" i="1"/>
  <c r="K37" i="1"/>
  <c r="J37" i="1"/>
  <c r="I37" i="1"/>
  <c r="H47" i="1" l="1"/>
  <c r="I67" i="2" l="1"/>
  <c r="J67" i="2"/>
  <c r="K31" i="3"/>
  <c r="J31" i="3"/>
  <c r="I31" i="3"/>
  <c r="K19" i="2"/>
  <c r="J19" i="2"/>
  <c r="K44" i="1"/>
  <c r="J44" i="1"/>
  <c r="I44" i="1"/>
  <c r="K42" i="1"/>
  <c r="J42" i="1"/>
  <c r="I42" i="1"/>
  <c r="K41" i="1" l="1"/>
  <c r="J41" i="1"/>
  <c r="F96" i="2" l="1"/>
  <c r="H35" i="1"/>
  <c r="H83" i="3" l="1"/>
  <c r="E15" i="9" l="1"/>
  <c r="H6" i="9"/>
  <c r="H15" i="9" s="1"/>
  <c r="I6" i="9"/>
  <c r="I15" i="9" s="1"/>
  <c r="J6" i="9"/>
  <c r="J15" i="9" s="1"/>
  <c r="K6" i="9"/>
  <c r="K15" i="9" s="1"/>
  <c r="G6" i="9"/>
  <c r="G15" i="9" s="1"/>
  <c r="F15" i="9" l="1"/>
  <c r="F6" i="9"/>
  <c r="F9" i="9"/>
  <c r="F17" i="2" l="1"/>
  <c r="H10" i="2" l="1"/>
  <c r="H90" i="2" l="1"/>
  <c r="H58" i="1"/>
  <c r="H59" i="1"/>
  <c r="H57" i="1" l="1"/>
  <c r="J47" i="2" l="1"/>
  <c r="I47" i="2"/>
  <c r="H47" i="2"/>
  <c r="J48" i="2"/>
  <c r="I48" i="2"/>
  <c r="H48" i="2"/>
  <c r="F22" i="2" l="1"/>
  <c r="G24" i="2" l="1"/>
  <c r="G45" i="1" l="1"/>
  <c r="G42" i="1" l="1"/>
  <c r="G20" i="2"/>
  <c r="G41" i="1" l="1"/>
  <c r="G40" i="1" s="1"/>
  <c r="G23" i="2"/>
  <c r="G44" i="1"/>
  <c r="G19" i="2"/>
  <c r="G18" i="2" s="1"/>
  <c r="G11" i="2" s="1"/>
  <c r="G28" i="1"/>
  <c r="G26" i="1" s="1"/>
  <c r="H39" i="2"/>
  <c r="J39" i="2"/>
  <c r="K39" i="2"/>
  <c r="G39" i="2"/>
  <c r="F60" i="2"/>
  <c r="F59" i="2"/>
  <c r="F58" i="2"/>
  <c r="G13" i="3" l="1"/>
  <c r="G83" i="3"/>
  <c r="G11" i="9"/>
  <c r="G13" i="9"/>
  <c r="G114" i="2" l="1"/>
  <c r="G67" i="2"/>
  <c r="G50" i="2"/>
  <c r="G15" i="2"/>
  <c r="G56" i="1" l="1"/>
  <c r="G55" i="1"/>
  <c r="G14" i="3" l="1"/>
  <c r="G97" i="2" l="1"/>
  <c r="G45" i="2" l="1"/>
  <c r="G10" i="9"/>
  <c r="G72" i="1" l="1"/>
  <c r="G39" i="1"/>
  <c r="K88" i="3" l="1"/>
  <c r="J88" i="3"/>
  <c r="I88" i="3"/>
  <c r="H88" i="3"/>
  <c r="G51" i="2" l="1"/>
  <c r="G49" i="2"/>
  <c r="G46" i="2"/>
  <c r="G44" i="2"/>
  <c r="G28" i="2"/>
  <c r="G9" i="2" s="1"/>
  <c r="G16" i="2"/>
  <c r="G10" i="2" s="1"/>
  <c r="G38" i="1" l="1"/>
  <c r="G37" i="1"/>
  <c r="G25" i="1"/>
  <c r="G27" i="1"/>
  <c r="E41" i="2" l="1"/>
  <c r="E40" i="2"/>
  <c r="F57" i="2" l="1"/>
  <c r="F56" i="2"/>
  <c r="F48" i="1" l="1"/>
  <c r="F47" i="1"/>
  <c r="H14" i="2" l="1"/>
  <c r="H109" i="2" s="1"/>
  <c r="H32" i="1" l="1"/>
  <c r="H64" i="1" s="1"/>
  <c r="H22" i="9" s="1"/>
  <c r="H69" i="1" l="1"/>
  <c r="I69" i="1"/>
  <c r="J69" i="1"/>
  <c r="K69" i="1"/>
  <c r="H111" i="2" l="1"/>
  <c r="E39" i="2" l="1"/>
  <c r="F39" i="2" l="1"/>
  <c r="F53" i="2"/>
  <c r="G87" i="3" l="1"/>
  <c r="G36" i="1" l="1"/>
  <c r="G43" i="2" l="1"/>
  <c r="G112" i="2" l="1"/>
  <c r="F43" i="2"/>
  <c r="H107" i="2" l="1"/>
  <c r="I107" i="2"/>
  <c r="J107" i="2"/>
  <c r="K107" i="2"/>
  <c r="E107" i="2"/>
  <c r="G107" i="2" l="1"/>
  <c r="F107" i="2" s="1"/>
  <c r="E22" i="3" l="1"/>
  <c r="E11" i="3"/>
  <c r="F18" i="3"/>
  <c r="F22" i="3" l="1"/>
  <c r="F28" i="1"/>
  <c r="F27" i="1"/>
  <c r="F71" i="1" l="1"/>
  <c r="F72" i="1"/>
  <c r="G90" i="2" l="1"/>
  <c r="G11" i="3"/>
  <c r="G69" i="1"/>
  <c r="F69" i="1" s="1"/>
  <c r="F31" i="1"/>
  <c r="G17" i="1" l="1"/>
  <c r="G20" i="1" l="1"/>
  <c r="G68" i="1" s="1"/>
  <c r="F68" i="1" l="1"/>
  <c r="E38" i="2"/>
  <c r="F52" i="2"/>
  <c r="G55" i="2"/>
  <c r="I44" i="2"/>
  <c r="H44" i="2"/>
  <c r="E10" i="2"/>
  <c r="E9" i="2"/>
  <c r="F32" i="2"/>
  <c r="F31" i="2"/>
  <c r="F28" i="2"/>
  <c r="F29" i="2"/>
  <c r="F30" i="2"/>
  <c r="F40" i="2" l="1"/>
  <c r="F9" i="2"/>
  <c r="K38" i="2"/>
  <c r="I38" i="2"/>
  <c r="F55" i="2"/>
  <c r="F54" i="2"/>
  <c r="F51" i="2"/>
  <c r="F41" i="2" l="1"/>
  <c r="G38" i="2"/>
  <c r="G12" i="2"/>
  <c r="H12" i="2"/>
  <c r="I12" i="2"/>
  <c r="J12" i="2"/>
  <c r="K12" i="2"/>
  <c r="E12" i="2"/>
  <c r="F19" i="2"/>
  <c r="F12" i="2" l="1"/>
  <c r="G18" i="1" l="1"/>
  <c r="H17" i="1"/>
  <c r="I17" i="1"/>
  <c r="J17" i="1"/>
  <c r="K17" i="1"/>
  <c r="F11" i="2" l="1"/>
  <c r="H11" i="3"/>
  <c r="F11" i="3" l="1"/>
  <c r="H36" i="3"/>
  <c r="H87" i="3" s="1"/>
  <c r="E62" i="3"/>
  <c r="E61" i="3"/>
  <c r="E60" i="3"/>
  <c r="E46" i="3"/>
  <c r="E45" i="3"/>
  <c r="G34" i="3"/>
  <c r="H34" i="3"/>
  <c r="I34" i="3"/>
  <c r="I85" i="3" s="1"/>
  <c r="I39" i="9" s="1"/>
  <c r="J34" i="3"/>
  <c r="J85" i="3" s="1"/>
  <c r="J39" i="9" s="1"/>
  <c r="K34" i="3"/>
  <c r="K85" i="3" s="1"/>
  <c r="K39" i="9" s="1"/>
  <c r="G35" i="3"/>
  <c r="G86" i="3" s="1"/>
  <c r="H35" i="3"/>
  <c r="H86" i="3" s="1"/>
  <c r="I35" i="3"/>
  <c r="I86" i="3" s="1"/>
  <c r="J35" i="3"/>
  <c r="K35" i="3"/>
  <c r="G36" i="3"/>
  <c r="I36" i="3"/>
  <c r="I87" i="3" s="1"/>
  <c r="J36" i="3"/>
  <c r="J87" i="3" s="1"/>
  <c r="K36" i="3"/>
  <c r="K87" i="3" s="1"/>
  <c r="E36" i="3"/>
  <c r="E35" i="3"/>
  <c r="E86" i="3" s="1"/>
  <c r="E34" i="3"/>
  <c r="E85" i="3" s="1"/>
  <c r="E30" i="3"/>
  <c r="E29" i="3"/>
  <c r="E21" i="3"/>
  <c r="E20" i="3" s="1"/>
  <c r="G12" i="3"/>
  <c r="H12" i="3"/>
  <c r="I12" i="3"/>
  <c r="J12" i="3"/>
  <c r="K12" i="3"/>
  <c r="F37" i="3"/>
  <c r="G69" i="3"/>
  <c r="G76" i="3" s="1"/>
  <c r="H69" i="3"/>
  <c r="H76" i="3" s="1"/>
  <c r="I69" i="3"/>
  <c r="I76" i="3" s="1"/>
  <c r="J69" i="3"/>
  <c r="J76" i="3" s="1"/>
  <c r="K69" i="3"/>
  <c r="K76" i="3" s="1"/>
  <c r="G70" i="3"/>
  <c r="G77" i="3" s="1"/>
  <c r="H70" i="3"/>
  <c r="H77" i="3" s="1"/>
  <c r="I70" i="3"/>
  <c r="I77" i="3" s="1"/>
  <c r="I91" i="3" s="1"/>
  <c r="J70" i="3"/>
  <c r="K70" i="3"/>
  <c r="G71" i="3"/>
  <c r="H71" i="3"/>
  <c r="I71" i="3"/>
  <c r="J71" i="3"/>
  <c r="K71" i="3"/>
  <c r="E71" i="3"/>
  <c r="E70" i="3"/>
  <c r="E69" i="3"/>
  <c r="E84" i="2"/>
  <c r="E83" i="2"/>
  <c r="F17" i="3"/>
  <c r="F16" i="3"/>
  <c r="F15" i="3"/>
  <c r="F27" i="2"/>
  <c r="F25" i="2"/>
  <c r="K77" i="3" l="1"/>
  <c r="J77" i="3"/>
  <c r="E76" i="3"/>
  <c r="E90" i="3" s="1"/>
  <c r="E33" i="3"/>
  <c r="K33" i="3"/>
  <c r="F36" i="3"/>
  <c r="J33" i="3"/>
  <c r="E89" i="3"/>
  <c r="E39" i="9"/>
  <c r="F35" i="3"/>
  <c r="F21" i="3"/>
  <c r="K86" i="3"/>
  <c r="G85" i="3"/>
  <c r="G33" i="3"/>
  <c r="H85" i="3"/>
  <c r="J86" i="3"/>
  <c r="F12" i="3"/>
  <c r="F34" i="3"/>
  <c r="I33" i="3"/>
  <c r="F71" i="3"/>
  <c r="F69" i="3"/>
  <c r="N17" i="9" s="1"/>
  <c r="F70" i="3"/>
  <c r="F86" i="3" l="1"/>
  <c r="F85" i="3"/>
  <c r="G39" i="9"/>
  <c r="H39" i="9"/>
  <c r="F26" i="2"/>
  <c r="F24" i="2"/>
  <c r="F23" i="2"/>
  <c r="G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E30" i="1"/>
  <c r="F34" i="1" l="1"/>
  <c r="F39" i="9"/>
  <c r="F30" i="1"/>
  <c r="K29" i="1"/>
  <c r="I29" i="1"/>
  <c r="H29" i="1"/>
  <c r="F32" i="1"/>
  <c r="J29" i="1"/>
  <c r="G29" i="1"/>
  <c r="F33" i="1"/>
  <c r="F46" i="1"/>
  <c r="F45" i="1"/>
  <c r="F44" i="1"/>
  <c r="F36" i="1"/>
  <c r="F35" i="1"/>
  <c r="F29" i="1" l="1"/>
  <c r="H18" i="1"/>
  <c r="I18" i="1"/>
  <c r="J18" i="1"/>
  <c r="K18" i="1"/>
  <c r="E18" i="1"/>
  <c r="G94" i="2" l="1"/>
  <c r="G93" i="2"/>
  <c r="G58" i="1"/>
  <c r="G57" i="1"/>
  <c r="G54" i="1" l="1"/>
  <c r="G63" i="1" s="1"/>
  <c r="G74" i="1" s="1"/>
  <c r="G53" i="1"/>
  <c r="H52" i="1" l="1"/>
  <c r="H61" i="1" s="1"/>
  <c r="H75" i="1" s="1"/>
  <c r="I52" i="1"/>
  <c r="I61" i="1" s="1"/>
  <c r="I75" i="1" s="1"/>
  <c r="J52" i="1"/>
  <c r="J61" i="1" s="1"/>
  <c r="K52" i="1"/>
  <c r="K61" i="1" s="1"/>
  <c r="K75" i="1" s="1"/>
  <c r="G52" i="1"/>
  <c r="G61" i="1" s="1"/>
  <c r="F57" i="1"/>
  <c r="E52" i="1"/>
  <c r="E61" i="1" s="1"/>
  <c r="E75" i="1" s="1"/>
  <c r="F10" i="2" l="1"/>
  <c r="J75" i="1"/>
  <c r="G75" i="1"/>
  <c r="F61" i="1"/>
  <c r="F52" i="1"/>
  <c r="E54" i="1"/>
  <c r="E53" i="1"/>
  <c r="E51" i="1" s="1"/>
  <c r="H53" i="1"/>
  <c r="I53" i="1"/>
  <c r="J53" i="1"/>
  <c r="K53" i="1"/>
  <c r="H54" i="1"/>
  <c r="H63" i="1" s="1"/>
  <c r="I54" i="1"/>
  <c r="J54" i="1"/>
  <c r="J63" i="1" s="1"/>
  <c r="J74" i="1" s="1"/>
  <c r="K54" i="1"/>
  <c r="F59" i="1"/>
  <c r="F58" i="1"/>
  <c r="H74" i="1" l="1"/>
  <c r="F75" i="1"/>
  <c r="G51" i="1"/>
  <c r="K51" i="1"/>
  <c r="J51" i="1"/>
  <c r="I51" i="1"/>
  <c r="H51" i="1"/>
  <c r="F51" i="1" l="1"/>
  <c r="F82" i="3" l="1"/>
  <c r="K40" i="9" l="1"/>
  <c r="H41" i="9"/>
  <c r="I41" i="9"/>
  <c r="E42" i="9"/>
  <c r="E41" i="9"/>
  <c r="E40" i="9"/>
  <c r="H36" i="9"/>
  <c r="I36" i="9"/>
  <c r="J36" i="9"/>
  <c r="K36" i="9"/>
  <c r="H37" i="9"/>
  <c r="I37" i="9"/>
  <c r="J37" i="9"/>
  <c r="K37" i="9"/>
  <c r="G37" i="9"/>
  <c r="G36" i="9"/>
  <c r="E37" i="9"/>
  <c r="E36" i="9"/>
  <c r="H84" i="3"/>
  <c r="I84" i="3"/>
  <c r="J84" i="3"/>
  <c r="K84" i="3"/>
  <c r="E84" i="3"/>
  <c r="H89" i="3"/>
  <c r="I89" i="3"/>
  <c r="K89" i="3"/>
  <c r="G88" i="3"/>
  <c r="G89" i="3" s="1"/>
  <c r="H40" i="9"/>
  <c r="I40" i="9"/>
  <c r="J40" i="9"/>
  <c r="J41" i="9"/>
  <c r="K41" i="9"/>
  <c r="K116" i="2"/>
  <c r="J116" i="2"/>
  <c r="I116" i="2"/>
  <c r="H116" i="2"/>
  <c r="G116" i="2"/>
  <c r="E116" i="2"/>
  <c r="F115" i="2"/>
  <c r="F114" i="2"/>
  <c r="I111" i="2"/>
  <c r="I34" i="9" s="1"/>
  <c r="J111" i="2"/>
  <c r="J34" i="9" s="1"/>
  <c r="K111" i="2"/>
  <c r="K34" i="9" s="1"/>
  <c r="I33" i="9"/>
  <c r="G111" i="2"/>
  <c r="E112" i="2"/>
  <c r="E33" i="9" s="1"/>
  <c r="E111" i="2"/>
  <c r="G42" i="9" l="1"/>
  <c r="K42" i="9"/>
  <c r="K43" i="9" s="1"/>
  <c r="G38" i="9"/>
  <c r="F36" i="9"/>
  <c r="F37" i="9"/>
  <c r="G41" i="9"/>
  <c r="F41" i="9" s="1"/>
  <c r="H33" i="9"/>
  <c r="I42" i="9"/>
  <c r="I43" i="9" s="1"/>
  <c r="H42" i="9"/>
  <c r="J42" i="9"/>
  <c r="J43" i="9" s="1"/>
  <c r="J89" i="3"/>
  <c r="F89" i="3" s="1"/>
  <c r="F88" i="3"/>
  <c r="J33" i="9"/>
  <c r="J35" i="9" s="1"/>
  <c r="F87" i="3"/>
  <c r="G84" i="3"/>
  <c r="F84" i="3" s="1"/>
  <c r="F83" i="3"/>
  <c r="G33" i="9"/>
  <c r="G40" i="9"/>
  <c r="K113" i="2"/>
  <c r="E113" i="2"/>
  <c r="F111" i="2"/>
  <c r="F112" i="2"/>
  <c r="H113" i="2"/>
  <c r="E34" i="9"/>
  <c r="E35" i="9" s="1"/>
  <c r="H34" i="9"/>
  <c r="J113" i="2"/>
  <c r="K33" i="9"/>
  <c r="K35" i="9" s="1"/>
  <c r="I113" i="2"/>
  <c r="G34" i="9"/>
  <c r="G113" i="2"/>
  <c r="H38" i="9"/>
  <c r="E38" i="9"/>
  <c r="K38" i="9"/>
  <c r="E43" i="9"/>
  <c r="J38" i="9"/>
  <c r="I38" i="9"/>
  <c r="F116" i="2"/>
  <c r="I35" i="9"/>
  <c r="F42" i="9" l="1"/>
  <c r="F40" i="9"/>
  <c r="G43" i="9"/>
  <c r="H43" i="9"/>
  <c r="H35" i="9"/>
  <c r="F34" i="9"/>
  <c r="F33" i="9"/>
  <c r="G35" i="9"/>
  <c r="F38" i="9"/>
  <c r="F113" i="2"/>
  <c r="F43" i="9" l="1"/>
  <c r="F35" i="9"/>
  <c r="H73" i="1"/>
  <c r="I73" i="1"/>
  <c r="J73" i="1"/>
  <c r="K73" i="1"/>
  <c r="G73" i="1"/>
  <c r="E73" i="1"/>
  <c r="H70" i="1"/>
  <c r="I70" i="1"/>
  <c r="J70" i="1"/>
  <c r="K70" i="1"/>
  <c r="G70" i="1"/>
  <c r="F73" i="1" l="1"/>
  <c r="F70" i="1"/>
  <c r="E18" i="2"/>
  <c r="E11" i="2" s="1"/>
  <c r="H38" i="2" l="1"/>
  <c r="F38" i="2" s="1"/>
  <c r="K66" i="2"/>
  <c r="K106" i="2" s="1"/>
  <c r="J66" i="2"/>
  <c r="J106" i="2" s="1"/>
  <c r="I66" i="2"/>
  <c r="I106" i="2" s="1"/>
  <c r="H66" i="2"/>
  <c r="G66" i="2"/>
  <c r="E66" i="2"/>
  <c r="E65" i="2" s="1"/>
  <c r="K14" i="2"/>
  <c r="K13" i="2"/>
  <c r="J14" i="2"/>
  <c r="J13" i="2"/>
  <c r="I14" i="2"/>
  <c r="I13" i="2"/>
  <c r="H13" i="2"/>
  <c r="H8" i="2" s="1"/>
  <c r="G14" i="2"/>
  <c r="G13" i="2"/>
  <c r="E14" i="2"/>
  <c r="E13" i="2"/>
  <c r="F21" i="2"/>
  <c r="F20" i="2"/>
  <c r="F97" i="2"/>
  <c r="G64" i="1"/>
  <c r="G22" i="9" s="1"/>
  <c r="I64" i="1"/>
  <c r="I22" i="9" s="1"/>
  <c r="J64" i="1"/>
  <c r="J22" i="9" s="1"/>
  <c r="K64" i="1"/>
  <c r="K22" i="9" s="1"/>
  <c r="E32" i="1"/>
  <c r="E40" i="1"/>
  <c r="E31" i="1" s="1"/>
  <c r="F43" i="1"/>
  <c r="F41" i="1"/>
  <c r="G8" i="2" l="1"/>
  <c r="I8" i="2"/>
  <c r="J8" i="2"/>
  <c r="K8" i="2"/>
  <c r="I65" i="2"/>
  <c r="J65" i="2"/>
  <c r="K65" i="2"/>
  <c r="G65" i="2"/>
  <c r="H65" i="2"/>
  <c r="E64" i="1"/>
  <c r="E22" i="9" s="1"/>
  <c r="F22" i="9"/>
  <c r="F64" i="1"/>
  <c r="F40" i="1"/>
  <c r="F8" i="2" l="1"/>
  <c r="N19" i="9"/>
  <c r="H8" i="6"/>
  <c r="H7" i="6" s="1"/>
  <c r="I8" i="6"/>
  <c r="I7" i="6" s="1"/>
  <c r="J8" i="6"/>
  <c r="J7" i="6" s="1"/>
  <c r="K8" i="6"/>
  <c r="K14" i="6" s="1"/>
  <c r="G8" i="6"/>
  <c r="G7" i="6" s="1"/>
  <c r="E8" i="6"/>
  <c r="E7" i="6" s="1"/>
  <c r="H11" i="6"/>
  <c r="H15" i="6" s="1"/>
  <c r="I11" i="6"/>
  <c r="I10" i="6" s="1"/>
  <c r="J11" i="6"/>
  <c r="J15" i="6" s="1"/>
  <c r="K11" i="6"/>
  <c r="K10" i="6" s="1"/>
  <c r="G11" i="6"/>
  <c r="G15" i="6" s="1"/>
  <c r="E11" i="6"/>
  <c r="E15" i="6" s="1"/>
  <c r="N12" i="6"/>
  <c r="P12" i="6" s="1"/>
  <c r="F12" i="6"/>
  <c r="E10" i="6" l="1"/>
  <c r="G14" i="6"/>
  <c r="G13" i="6" s="1"/>
  <c r="I15" i="6"/>
  <c r="J10" i="6"/>
  <c r="J14" i="6"/>
  <c r="J13" i="6" s="1"/>
  <c r="H10" i="6"/>
  <c r="K7" i="6"/>
  <c r="I14" i="6"/>
  <c r="G10" i="6"/>
  <c r="E14" i="6"/>
  <c r="E13" i="6" s="1"/>
  <c r="F11" i="6"/>
  <c r="H14" i="6"/>
  <c r="H13" i="6" s="1"/>
  <c r="K15" i="6"/>
  <c r="K13" i="6" s="1"/>
  <c r="H60" i="3"/>
  <c r="H90" i="3" s="1"/>
  <c r="I60" i="3"/>
  <c r="I90" i="3" s="1"/>
  <c r="J60" i="3"/>
  <c r="J90" i="3" s="1"/>
  <c r="K60" i="3"/>
  <c r="K90" i="3" s="1"/>
  <c r="H61" i="3"/>
  <c r="I61" i="3"/>
  <c r="J61" i="3"/>
  <c r="K61" i="3"/>
  <c r="H62" i="3"/>
  <c r="I62" i="3"/>
  <c r="J62" i="3"/>
  <c r="K62" i="3"/>
  <c r="G62" i="3"/>
  <c r="G61" i="3"/>
  <c r="G60" i="3"/>
  <c r="H30" i="3"/>
  <c r="I30" i="3"/>
  <c r="J30" i="3"/>
  <c r="K30" i="3"/>
  <c r="G30" i="3"/>
  <c r="E12" i="3"/>
  <c r="E79" i="3" s="1"/>
  <c r="E93" i="3" s="1"/>
  <c r="F39" i="3"/>
  <c r="N38" i="3"/>
  <c r="P38" i="3" s="1"/>
  <c r="F38" i="3"/>
  <c r="G20" i="3"/>
  <c r="P32" i="3"/>
  <c r="F32" i="3"/>
  <c r="P31" i="3"/>
  <c r="F31" i="3"/>
  <c r="F14" i="3"/>
  <c r="P13" i="3"/>
  <c r="F13" i="3"/>
  <c r="K79" i="3"/>
  <c r="K93" i="3" s="1"/>
  <c r="J79" i="3"/>
  <c r="J93" i="3" s="1"/>
  <c r="I79" i="3"/>
  <c r="H79" i="3"/>
  <c r="H93" i="3" s="1"/>
  <c r="G79" i="3"/>
  <c r="H108" i="2"/>
  <c r="I108" i="2"/>
  <c r="J109" i="2"/>
  <c r="J121" i="2" s="1"/>
  <c r="G109" i="2"/>
  <c r="G121" i="2" s="1"/>
  <c r="G108" i="2"/>
  <c r="E99" i="2"/>
  <c r="E100" i="2"/>
  <c r="H83" i="2"/>
  <c r="I83" i="2"/>
  <c r="I104" i="2" s="1"/>
  <c r="J83" i="2"/>
  <c r="K83" i="2"/>
  <c r="G83" i="2"/>
  <c r="E85" i="2"/>
  <c r="E104" i="2"/>
  <c r="F88" i="2"/>
  <c r="F95" i="2"/>
  <c r="F92" i="2"/>
  <c r="F91" i="2"/>
  <c r="F90" i="2"/>
  <c r="F89" i="2"/>
  <c r="F87" i="2"/>
  <c r="F86" i="2"/>
  <c r="F67" i="2"/>
  <c r="J108" i="2"/>
  <c r="K108" i="2"/>
  <c r="H121" i="2"/>
  <c r="I109" i="2"/>
  <c r="I121" i="2" s="1"/>
  <c r="K109" i="2"/>
  <c r="K121" i="2" s="1"/>
  <c r="E8" i="2"/>
  <c r="H120" i="2" l="1"/>
  <c r="H23" i="9"/>
  <c r="K120" i="2"/>
  <c r="K23" i="9"/>
  <c r="J120" i="2"/>
  <c r="J23" i="9"/>
  <c r="G120" i="2"/>
  <c r="G23" i="9"/>
  <c r="G47" i="9" s="1"/>
  <c r="I120" i="2"/>
  <c r="F120" i="2" s="1"/>
  <c r="I23" i="9"/>
  <c r="I93" i="3"/>
  <c r="G117" i="2"/>
  <c r="I13" i="6"/>
  <c r="F10" i="6"/>
  <c r="K29" i="3"/>
  <c r="J29" i="3"/>
  <c r="I29" i="3"/>
  <c r="H29" i="3"/>
  <c r="G29" i="3"/>
  <c r="G90" i="3"/>
  <c r="F90" i="3" s="1"/>
  <c r="F76" i="3"/>
  <c r="H33" i="3"/>
  <c r="F33" i="3" s="1"/>
  <c r="K59" i="3"/>
  <c r="J59" i="3"/>
  <c r="K117" i="2"/>
  <c r="J117" i="2"/>
  <c r="E117" i="2"/>
  <c r="I117" i="2"/>
  <c r="H117" i="2"/>
  <c r="F121" i="2"/>
  <c r="G93" i="3"/>
  <c r="E106" i="2"/>
  <c r="E119" i="2" s="1"/>
  <c r="J10" i="3"/>
  <c r="F108" i="2"/>
  <c r="G82" i="2"/>
  <c r="F109" i="2"/>
  <c r="H82" i="2"/>
  <c r="K82" i="2"/>
  <c r="E82" i="2"/>
  <c r="J82" i="2"/>
  <c r="I82" i="2"/>
  <c r="F79" i="3"/>
  <c r="H59" i="3"/>
  <c r="E59" i="3"/>
  <c r="G59" i="3"/>
  <c r="I59" i="3"/>
  <c r="H10" i="3"/>
  <c r="G10" i="3"/>
  <c r="H20" i="3"/>
  <c r="K10" i="3"/>
  <c r="K20" i="3"/>
  <c r="E10" i="3"/>
  <c r="J20" i="3"/>
  <c r="I20" i="3"/>
  <c r="F30" i="3"/>
  <c r="I10" i="3"/>
  <c r="F65" i="2"/>
  <c r="F66" i="2"/>
  <c r="F93" i="3" l="1"/>
  <c r="F29" i="3"/>
  <c r="F20" i="3"/>
  <c r="F117" i="2"/>
  <c r="F10" i="3"/>
  <c r="F24" i="1" l="1"/>
  <c r="F22" i="1"/>
  <c r="F21" i="1"/>
  <c r="F20" i="1"/>
  <c r="F19" i="1"/>
  <c r="I16" i="1" l="1"/>
  <c r="H16" i="1"/>
  <c r="K16" i="1"/>
  <c r="G16" i="1"/>
  <c r="J16" i="1"/>
  <c r="F10" i="9" l="1"/>
  <c r="F11" i="9"/>
  <c r="F13" i="9"/>
  <c r="K7" i="9"/>
  <c r="K5" i="9" s="1"/>
  <c r="J7" i="9"/>
  <c r="J5" i="9" s="1"/>
  <c r="I7" i="9"/>
  <c r="I5" i="9" s="1"/>
  <c r="H7" i="9"/>
  <c r="H5" i="9" s="1"/>
  <c r="G7" i="9"/>
  <c r="G5" i="9" s="1"/>
  <c r="E7" i="9"/>
  <c r="E5" i="9" s="1"/>
  <c r="J16" i="9" l="1"/>
  <c r="J14" i="9" s="1"/>
  <c r="G16" i="9"/>
  <c r="G14" i="9" s="1"/>
  <c r="I16" i="9"/>
  <c r="I14" i="9" s="1"/>
  <c r="K16" i="9"/>
  <c r="K14" i="9" s="1"/>
  <c r="F7" i="9"/>
  <c r="H16" i="9"/>
  <c r="H14" i="9" s="1"/>
  <c r="E16" i="9"/>
  <c r="E14" i="9" s="1"/>
  <c r="F14" i="9" l="1"/>
  <c r="F5" i="9"/>
  <c r="F16" i="9"/>
  <c r="P13" i="9"/>
  <c r="N11" i="9"/>
  <c r="P11" i="9" s="1"/>
  <c r="N10" i="9"/>
  <c r="P10" i="9" s="1"/>
  <c r="K46" i="3"/>
  <c r="K45" i="3"/>
  <c r="J46" i="3"/>
  <c r="J45" i="3"/>
  <c r="I46" i="3"/>
  <c r="I45" i="3"/>
  <c r="H46" i="3"/>
  <c r="H45" i="3"/>
  <c r="H91" i="3" s="1"/>
  <c r="G46" i="3"/>
  <c r="G45" i="3"/>
  <c r="Q76" i="3"/>
  <c r="P76" i="3"/>
  <c r="O76" i="3"/>
  <c r="N76" i="3"/>
  <c r="K19" i="9"/>
  <c r="K44" i="9" s="1"/>
  <c r="J19" i="9"/>
  <c r="J44" i="9" s="1"/>
  <c r="I19" i="9"/>
  <c r="I44" i="9" s="1"/>
  <c r="H19" i="9"/>
  <c r="H44" i="9" s="1"/>
  <c r="G19" i="9"/>
  <c r="N74" i="3"/>
  <c r="P74" i="3" s="1"/>
  <c r="F74" i="3"/>
  <c r="F73" i="3"/>
  <c r="N72" i="3"/>
  <c r="P72" i="3" s="1"/>
  <c r="F72" i="3"/>
  <c r="F67" i="3"/>
  <c r="N66" i="3"/>
  <c r="P66" i="3" s="1"/>
  <c r="F66" i="3"/>
  <c r="N65" i="3"/>
  <c r="P65" i="3" s="1"/>
  <c r="F65" i="3"/>
  <c r="F64" i="3"/>
  <c r="N63" i="3"/>
  <c r="P63" i="3" s="1"/>
  <c r="F63" i="3"/>
  <c r="G44" i="9" l="1"/>
  <c r="F44" i="9" s="1"/>
  <c r="E19" i="9"/>
  <c r="E44" i="9" s="1"/>
  <c r="E77" i="3"/>
  <c r="E91" i="3" s="1"/>
  <c r="J44" i="3"/>
  <c r="G68" i="3"/>
  <c r="G44" i="3"/>
  <c r="K44" i="3"/>
  <c r="I68" i="3"/>
  <c r="I44" i="3"/>
  <c r="K68" i="3"/>
  <c r="F15" i="6"/>
  <c r="F8" i="6"/>
  <c r="F7" i="6"/>
  <c r="H44" i="3"/>
  <c r="E44" i="3"/>
  <c r="E68" i="3"/>
  <c r="J68" i="3"/>
  <c r="H68" i="3"/>
  <c r="F60" i="3"/>
  <c r="F62" i="3"/>
  <c r="F61" i="3"/>
  <c r="N49" i="3"/>
  <c r="P49" i="3" s="1"/>
  <c r="F49" i="3"/>
  <c r="F48" i="3"/>
  <c r="N47" i="3"/>
  <c r="P47" i="3" s="1"/>
  <c r="F47" i="3"/>
  <c r="K91" i="3"/>
  <c r="J91" i="3"/>
  <c r="P43" i="3"/>
  <c r="F43" i="3"/>
  <c r="P42" i="3"/>
  <c r="F42" i="3"/>
  <c r="F9" i="3"/>
  <c r="F23" i="3"/>
  <c r="F24" i="3"/>
  <c r="F40" i="3"/>
  <c r="F41" i="3"/>
  <c r="F23" i="1"/>
  <c r="F25" i="1"/>
  <c r="F26" i="1"/>
  <c r="F37" i="1"/>
  <c r="F38" i="1"/>
  <c r="F39" i="1"/>
  <c r="F42" i="1"/>
  <c r="F55" i="1"/>
  <c r="F56" i="1"/>
  <c r="F15" i="2"/>
  <c r="F16" i="2"/>
  <c r="F18" i="2"/>
  <c r="F42" i="2"/>
  <c r="F44" i="2"/>
  <c r="F45" i="2"/>
  <c r="F46" i="2"/>
  <c r="F47" i="2"/>
  <c r="F48" i="2"/>
  <c r="F49" i="2"/>
  <c r="F50" i="2"/>
  <c r="F93" i="2"/>
  <c r="F94" i="2"/>
  <c r="F101" i="2"/>
  <c r="F102" i="2"/>
  <c r="E8" i="3"/>
  <c r="E78" i="3" s="1"/>
  <c r="N40" i="3"/>
  <c r="P40" i="3" s="1"/>
  <c r="P24" i="3"/>
  <c r="P23" i="3"/>
  <c r="P22" i="3"/>
  <c r="P21" i="3"/>
  <c r="P20" i="3"/>
  <c r="K100" i="2"/>
  <c r="K99" i="2"/>
  <c r="J100" i="2"/>
  <c r="J99" i="2"/>
  <c r="I100" i="2"/>
  <c r="I99" i="2"/>
  <c r="H100" i="2"/>
  <c r="H106" i="2" s="1"/>
  <c r="H99" i="2"/>
  <c r="H105" i="2" s="1"/>
  <c r="G100" i="2"/>
  <c r="G99" i="2"/>
  <c r="G105" i="2" s="1"/>
  <c r="E98" i="2"/>
  <c r="G106" i="2" l="1"/>
  <c r="G119" i="2" s="1"/>
  <c r="J119" i="2"/>
  <c r="J128" i="2" s="1"/>
  <c r="K103" i="2"/>
  <c r="H118" i="2"/>
  <c r="I119" i="2"/>
  <c r="I128" i="2" s="1"/>
  <c r="G118" i="2"/>
  <c r="G122" i="2" s="1"/>
  <c r="G124" i="2" s="1"/>
  <c r="I118" i="2"/>
  <c r="K118" i="2"/>
  <c r="J118" i="2"/>
  <c r="H119" i="2"/>
  <c r="H128" i="2" s="1"/>
  <c r="E75" i="3"/>
  <c r="E92" i="3"/>
  <c r="E94" i="3" s="1"/>
  <c r="F19" i="9"/>
  <c r="F105" i="2"/>
  <c r="J103" i="2"/>
  <c r="J98" i="2"/>
  <c r="N21" i="9"/>
  <c r="F68" i="3"/>
  <c r="F59" i="3"/>
  <c r="H98" i="2"/>
  <c r="F100" i="2"/>
  <c r="G98" i="2"/>
  <c r="F99" i="2"/>
  <c r="K98" i="2"/>
  <c r="F13" i="6"/>
  <c r="F14" i="6"/>
  <c r="I98" i="2"/>
  <c r="F106" i="2" l="1"/>
  <c r="K119" i="2"/>
  <c r="F119" i="2" s="1"/>
  <c r="G103" i="2"/>
  <c r="F118" i="2"/>
  <c r="G91" i="3"/>
  <c r="F91" i="3" s="1"/>
  <c r="I103" i="2"/>
  <c r="H103" i="2"/>
  <c r="F77" i="3"/>
  <c r="F98" i="2"/>
  <c r="E105" i="2" l="1"/>
  <c r="E118" i="2" s="1"/>
  <c r="F54" i="1" l="1"/>
  <c r="N20" i="9" s="1"/>
  <c r="F53" i="1"/>
  <c r="F17" i="1"/>
  <c r="F18" i="1"/>
  <c r="F16" i="1" l="1"/>
  <c r="K8" i="3"/>
  <c r="K78" i="3" s="1"/>
  <c r="J8" i="3"/>
  <c r="J78" i="3" s="1"/>
  <c r="I8" i="3"/>
  <c r="I78" i="3" s="1"/>
  <c r="I75" i="3" s="1"/>
  <c r="H8" i="3"/>
  <c r="H78" i="3" s="1"/>
  <c r="G8" i="3"/>
  <c r="G78" i="3" s="1"/>
  <c r="E7" i="3"/>
  <c r="P9" i="3"/>
  <c r="G75" i="3" l="1"/>
  <c r="H92" i="3"/>
  <c r="H100" i="3" s="1"/>
  <c r="H21" i="9"/>
  <c r="H52" i="9" s="1"/>
  <c r="I92" i="3"/>
  <c r="I94" i="3" s="1"/>
  <c r="J75" i="3"/>
  <c r="K75" i="3"/>
  <c r="H75" i="3"/>
  <c r="F85" i="2"/>
  <c r="F83" i="2"/>
  <c r="F84" i="2"/>
  <c r="J7" i="3"/>
  <c r="K7" i="3"/>
  <c r="H7" i="3"/>
  <c r="I7" i="3"/>
  <c r="G7" i="3"/>
  <c r="F8" i="3"/>
  <c r="H94" i="3" l="1"/>
  <c r="H96" i="3" s="1"/>
  <c r="J92" i="3"/>
  <c r="J100" i="3" s="1"/>
  <c r="K92" i="3"/>
  <c r="K94" i="3" s="1"/>
  <c r="K96" i="3" s="1"/>
  <c r="F75" i="3"/>
  <c r="I100" i="3"/>
  <c r="I96" i="3"/>
  <c r="F78" i="3"/>
  <c r="G92" i="3"/>
  <c r="F7" i="3"/>
  <c r="F82" i="2"/>
  <c r="F104" i="2"/>
  <c r="F92" i="3" l="1"/>
  <c r="J94" i="3"/>
  <c r="J96" i="3" s="1"/>
  <c r="G94" i="3"/>
  <c r="G96" i="3" s="1"/>
  <c r="K66" i="1"/>
  <c r="K65" i="1"/>
  <c r="K63" i="1"/>
  <c r="K62" i="1"/>
  <c r="K20" i="9" s="1"/>
  <c r="J66" i="1"/>
  <c r="J65" i="1"/>
  <c r="J62" i="1"/>
  <c r="J20" i="9" s="1"/>
  <c r="I66" i="1"/>
  <c r="I65" i="1"/>
  <c r="I63" i="1"/>
  <c r="I62" i="1"/>
  <c r="I20" i="9" s="1"/>
  <c r="H66" i="1"/>
  <c r="H65" i="1"/>
  <c r="H62" i="1"/>
  <c r="G65" i="1"/>
  <c r="G77" i="1" s="1"/>
  <c r="E63" i="1"/>
  <c r="H76" i="1" l="1"/>
  <c r="H20" i="9"/>
  <c r="H46" i="9" s="1"/>
  <c r="F94" i="3"/>
  <c r="F96" i="3" s="1"/>
  <c r="H60" i="1"/>
  <c r="J60" i="1"/>
  <c r="I60" i="1"/>
  <c r="K60" i="1"/>
  <c r="E21" i="9"/>
  <c r="E45" i="9" s="1"/>
  <c r="E74" i="1"/>
  <c r="J21" i="9"/>
  <c r="J45" i="9" s="1"/>
  <c r="H47" i="9"/>
  <c r="H77" i="1"/>
  <c r="J47" i="9"/>
  <c r="J77" i="1"/>
  <c r="H24" i="9"/>
  <c r="H48" i="9" s="1"/>
  <c r="H78" i="1"/>
  <c r="J24" i="9"/>
  <c r="J48" i="9" s="1"/>
  <c r="J78" i="1"/>
  <c r="I46" i="9"/>
  <c r="K46" i="9"/>
  <c r="K76" i="1"/>
  <c r="J46" i="9"/>
  <c r="J76" i="1"/>
  <c r="K21" i="9"/>
  <c r="K45" i="9" s="1"/>
  <c r="K74" i="1"/>
  <c r="F74" i="1" s="1"/>
  <c r="I47" i="9"/>
  <c r="I77" i="1"/>
  <c r="K47" i="9"/>
  <c r="K77" i="1"/>
  <c r="I24" i="9"/>
  <c r="I48" i="9" s="1"/>
  <c r="I78" i="1"/>
  <c r="K24" i="9"/>
  <c r="K48" i="9" s="1"/>
  <c r="K78" i="1"/>
  <c r="I21" i="9"/>
  <c r="G21" i="9"/>
  <c r="G45" i="9" s="1"/>
  <c r="F63" i="1"/>
  <c r="F65" i="1"/>
  <c r="G66" i="1"/>
  <c r="F66" i="1" s="1"/>
  <c r="G62" i="1"/>
  <c r="G20" i="9" s="1"/>
  <c r="E17" i="1"/>
  <c r="I18" i="9" l="1"/>
  <c r="J59" i="9"/>
  <c r="J53" i="9"/>
  <c r="K53" i="9"/>
  <c r="F77" i="1"/>
  <c r="J49" i="9"/>
  <c r="K49" i="9"/>
  <c r="G76" i="1"/>
  <c r="G60" i="1"/>
  <c r="F60" i="1" s="1"/>
  <c r="K18" i="9"/>
  <c r="K51" i="9" s="1"/>
  <c r="J18" i="9"/>
  <c r="J51" i="9" s="1"/>
  <c r="F23" i="9"/>
  <c r="F47" i="9"/>
  <c r="I51" i="9"/>
  <c r="I45" i="9"/>
  <c r="I53" i="9" s="1"/>
  <c r="H45" i="9"/>
  <c r="H59" i="9" s="1"/>
  <c r="H18" i="9"/>
  <c r="H51" i="9" s="1"/>
  <c r="F21" i="9"/>
  <c r="F62" i="1"/>
  <c r="G24" i="9"/>
  <c r="G48" i="9" s="1"/>
  <c r="F48" i="9" s="1"/>
  <c r="E16" i="1"/>
  <c r="E62" i="1"/>
  <c r="F76" i="1" l="1"/>
  <c r="I49" i="9"/>
  <c r="I59" i="9"/>
  <c r="G18" i="9"/>
  <c r="F18" i="9" s="1"/>
  <c r="H49" i="9"/>
  <c r="F45" i="9"/>
  <c r="E76" i="1"/>
  <c r="F20" i="9"/>
  <c r="G46" i="9"/>
  <c r="F24" i="9"/>
  <c r="E20" i="9"/>
  <c r="E46" i="9" s="1"/>
  <c r="E109" i="2"/>
  <c r="E121" i="2" s="1"/>
  <c r="G51" i="9" l="1"/>
  <c r="G53" i="9" s="1"/>
  <c r="G58" i="9" s="1"/>
  <c r="F46" i="9"/>
  <c r="G49" i="9"/>
  <c r="F49" i="9" s="1"/>
  <c r="G60" i="9"/>
  <c r="G61" i="9" s="1"/>
  <c r="G62" i="9"/>
  <c r="F51" i="9"/>
  <c r="E108" i="2"/>
  <c r="F14" i="2"/>
  <c r="F13" i="2"/>
  <c r="E103" i="2" l="1"/>
  <c r="E120" i="2"/>
  <c r="F103" i="2"/>
  <c r="N23" i="9" s="1"/>
  <c r="E33" i="1"/>
  <c r="E34" i="1"/>
  <c r="E66" i="1" s="1"/>
  <c r="E29" i="1" l="1"/>
  <c r="E24" i="9"/>
  <c r="E48" i="9" s="1"/>
  <c r="E78" i="1"/>
  <c r="E65" i="1"/>
  <c r="E60" i="1" s="1"/>
  <c r="E77" i="1" l="1"/>
  <c r="E79" i="1" s="1"/>
  <c r="E23" i="9"/>
  <c r="E18" i="9" l="1"/>
  <c r="E51" i="9" s="1"/>
  <c r="E47" i="9"/>
  <c r="E49" i="9" s="1"/>
  <c r="N9" i="6"/>
  <c r="P9" i="6" s="1"/>
  <c r="F9" i="6"/>
  <c r="Q79" i="3"/>
  <c r="P79" i="3"/>
  <c r="O79" i="3"/>
  <c r="N79" i="3"/>
  <c r="P78" i="3"/>
  <c r="Q77" i="3"/>
  <c r="P77" i="3"/>
  <c r="O77" i="3"/>
  <c r="N77" i="3"/>
  <c r="N78" i="3" l="1"/>
  <c r="Q78" i="3"/>
  <c r="O78" i="3"/>
  <c r="E70" i="1"/>
  <c r="G78" i="1"/>
  <c r="F78" i="1" s="1"/>
  <c r="G79" i="1" l="1"/>
  <c r="G81" i="1" s="1"/>
  <c r="K79" i="1"/>
  <c r="K81" i="1" s="1"/>
  <c r="J79" i="1"/>
  <c r="J81" i="1" s="1"/>
  <c r="E122" i="2"/>
  <c r="N24" i="9" l="1"/>
  <c r="I79" i="1"/>
  <c r="I81" i="1" s="1"/>
  <c r="K122" i="2"/>
  <c r="K124" i="2" s="1"/>
  <c r="H122" i="2"/>
  <c r="H124" i="2" s="1"/>
  <c r="J122" i="2"/>
  <c r="J124" i="2" s="1"/>
  <c r="H79" i="1"/>
  <c r="H81" i="1" l="1"/>
  <c r="F79" i="1"/>
  <c r="F81" i="1" s="1"/>
  <c r="F122" i="2"/>
  <c r="F124" i="2" s="1"/>
  <c r="I122" i="2"/>
  <c r="I124" i="2" s="1"/>
  <c r="F45" i="3" l="1"/>
  <c r="F46" i="3"/>
  <c r="F44" i="3" l="1"/>
</calcChain>
</file>

<file path=xl/sharedStrings.xml><?xml version="1.0" encoding="utf-8"?>
<sst xmlns="http://schemas.openxmlformats.org/spreadsheetml/2006/main" count="933" uniqueCount="330">
  <si>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</si>
  <si>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</si>
  <si>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</si>
  <si>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</si>
  <si>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</si>
  <si>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</si>
  <si>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</si>
  <si>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</si>
  <si>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</si>
  <si>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</si>
  <si>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</si>
  <si>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</si>
  <si>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</si>
  <si>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</si>
  <si>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</si>
  <si>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</si>
  <si>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</si>
  <si>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</si>
  <si>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</si>
  <si>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</si>
  <si>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</si>
  <si>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</si>
  <si>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</si>
  <si>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</si>
  <si>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</si>
  <si>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</si>
  <si>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</si>
  <si>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</si>
  <si>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</si>
  <si>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</si>
  <si>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</si>
  <si>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</si>
  <si>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</si>
  <si>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</si>
  <si>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</si>
  <si>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</si>
  <si>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</si>
  <si>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</si>
  <si>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</si>
  <si>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</si>
  <si>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</si>
  <si>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</si>
  <si>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</si>
  <si>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</si>
  <si>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</si>
  <si>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</si>
  <si>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</si>
  <si>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</si>
  <si>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</si>
  <si>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</si>
  <si>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</si>
  <si>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</si>
  <si>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</si>
  <si>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</si>
  <si>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</si>
  <si>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</si>
  <si>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</si>
  <si>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</si>
  <si>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</si>
  <si>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</si>
  <si>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</si>
  <si>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</si>
  <si>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</si>
  <si>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</si>
  <si>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</si>
  <si>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</si>
  <si>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</si>
  <si>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</si>
  <si>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</si>
  <si>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</si>
  <si>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</si>
  <si>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</si>
  <si>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</si>
  <si>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</si>
  <si>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</si>
  <si>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</si>
  <si>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</si>
  <si>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</si>
  <si>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</si>
  <si>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</si>
  <si>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</si>
  <si>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</si>
  <si>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</si>
  <si>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5.1</t>
  </si>
  <si>
    <t>Оснащение дошкольных образовательных организаций современным инновационным оборудованием</t>
  </si>
  <si>
    <t>Срок исполнения меропиятия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</si>
  <si>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</si>
  <si>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</si>
  <si>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</si>
  <si>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</si>
  <si>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</si>
  <si>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</si>
  <si>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</si>
  <si>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</si>
  <si>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</si>
  <si>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</si>
  <si>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</si>
  <si>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</si>
  <si>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</si>
  <si>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</si>
  <si>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</si>
  <si>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</si>
  <si>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</si>
  <si>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</si>
  <si>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</si>
  <si>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</si>
  <si>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</si>
  <si>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</si>
  <si>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</si>
  <si>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</si>
  <si>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</si>
  <si>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</si>
  <si>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</si>
  <si>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</si>
  <si>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</si>
  <si>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</si>
  <si>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</si>
  <si>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</si>
  <si>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</si>
  <si>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</si>
  <si>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</si>
  <si>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</si>
  <si>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</si>
  <si>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</si>
  <si>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</si>
  <si>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</si>
  <si>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</si>
  <si>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</si>
  <si>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</si>
  <si>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</si>
  <si>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</si>
  <si>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</si>
  <si>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</si>
  <si>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Управление (за разницей) Средства федерального бюджета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</si>
  <si>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</si>
  <si>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</si>
  <si>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</si>
  <si>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2.6</t>
  </si>
  <si>
    <t>2.7</t>
  </si>
  <si>
    <t>Обеспечение  дошкольных образовательных учреждений  услугой по охране объектов и имущества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</si>
  <si>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</si>
  <si>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</si>
  <si>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</si>
  <si>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</si>
  <si>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</si>
  <si>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</si>
  <si>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>Обеспечение  учреждений дополнительного образования  услугой по охране объектов и имущества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</si>
  <si>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</si>
  <si>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</si>
  <si>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</si>
  <si>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</si>
  <si>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</si>
  <si>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</si>
  <si>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</si>
  <si>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</si>
  <si>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</si>
  <si>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</si>
  <si>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</si>
  <si>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</si>
  <si>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</si>
  <si>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</si>
  <si>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2.8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</si>
  <si>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</si>
  <si>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</si>
  <si>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6.3</t>
  </si>
  <si>
    <t>2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</si>
  <si>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</si>
  <si>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</si>
  <si>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>2021-2024 годы</t>
  </si>
  <si>
    <t xml:space="preserve">0103 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</si>
  <si>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Основное мероприятие 02.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</si>
  <si>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01. "Финансовое обеспечение деятельности образовательных организаций"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</si>
  <si>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</si>
  <si>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</si>
  <si>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</si>
  <si>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03. "Финансовое обеспечение оказания услуг (выполнения работ) организациями дополнительного образования"</t>
  </si>
  <si>
    <t>Основное мероприятие 06. "Обеспечение функционирования модели персонифицированного финансирования дополнительного образования детей"</t>
  </si>
  <si>
    <t>А101 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</si>
  <si>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А102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</si>
  <si>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А103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</si>
  <si>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А201 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</si>
  <si>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А202 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</si>
  <si>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Е201 Создание детских технопарков "Кванториум"</t>
  </si>
  <si>
    <t>Основное мероприятие 05.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</si>
  <si>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Е501 Педагогические работники, прошедшие добровольно независимую оценку квалификации</t>
  </si>
  <si>
    <t>Основное мероприятие 01. "Создание условий для реализации полномочий органов местного самоуправления"</t>
  </si>
  <si>
    <t>Создание дополнительных мест 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</si>
  <si>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2020-2024 ГОДЫ</t>
  </si>
  <si>
    <t>1.3.1</t>
  </si>
  <si>
    <t>Мероприятие 03.19. Оснащение общеобразовательных организаций, создаваемых на территории населенных пунктов, имеющих статус наукограда</t>
  </si>
  <si>
    <t>Оснащение общеобразовательных организаций, создаваемых на территории населенных пунктов, имеющих статус наукограда</t>
  </si>
  <si>
    <t>Мероприятие Е1.02. Создание центров образования естественно-научной и технологической направленностей</t>
  </si>
  <si>
    <t>4.2</t>
  </si>
  <si>
    <t>Укрепление материально 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</si>
  <si>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».</t>
  </si>
  <si>
    <r>
      <rPr>
        <sz val="16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Приложение 1 к муниципальной программе </t>
    </r>
  </si>
  <si>
    <t>Основное мероприятие 01. "Проведение капитального ремонта объектов дошкольного образования, закупка оборудования"</t>
  </si>
  <si>
    <t>Мероприятие 01.01. Приобретение (выкуп) нежилых помещений и земельного участка под размещение дошкольных групп для детей в возрасте от 2 месяцев до 7 лет</t>
  </si>
  <si>
    <t>Мероприятие 01.02.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</si>
  <si>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Мероприятие 02.01. Проведение капитального ремонта, технического переоснащения и благоустройства территорий учреждений образования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</si>
  <si>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</si>
  <si>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</si>
  <si>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</si>
  <si>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Мероприятие 02.05.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</si>
  <si>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02.06. Укрепление материально-технической базы и проведение текущего ремонта учреждений дошкольного образования</t>
  </si>
  <si>
    <t>Мероприятие 02.07. Профессиональная физическая охрана муниципальных учреждений дошкольного образования</t>
  </si>
  <si>
    <t>Мероприятие 02.08. Мероприятия в сфере образования</t>
  </si>
  <si>
    <t>Мероприятие 02.09.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</si>
  <si>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</si>
  <si>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</si>
  <si>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01.01.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</si>
  <si>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</si>
  <si>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Мероприятие 01.04. Укрепление материально-технической базы и проведение текущего ремонта общеобразовательных организаций</t>
  </si>
  <si>
    <t>Мероприятие 01.05. Профессиональная физическая охрана муниципальных учреждений в сфере общеобразовательных организаций</t>
  </si>
  <si>
    <t>Мероприятие 01.06. Организация питания обучающихся и воспитанников общеобразовательных организаций</t>
  </si>
  <si>
    <t>Мероприятие 01.07. Мероприятия в сфере образования</t>
  </si>
  <si>
    <t>Мероприятие 01.08. Оснащение и лицензирование медицинских кабинетов 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</si>
  <si>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</si>
  <si>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Мероприятие 01.10. 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</si>
  <si>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</si>
  <si>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</si>
  <si>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03.06.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</si>
  <si>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Мероприятие 03.07.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</si>
  <si>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03.08.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</si>
  <si>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Мероприятие 03.09.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</si>
  <si>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</si>
  <si>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</si>
  <si>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Мероприятие Е1.01. 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</si>
  <si>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Созданы центры образования естественно-научной и технологической направленностей,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</si>
  <si>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Мероприятие Е1.03. Проведение капитального ремонта в муниципальных общеобразовательных организациях в Московской области</t>
  </si>
  <si>
    <t xml:space="preserve">Мероприятие Е1.05.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</si>
  <si>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Оснащены средствами обучения центры образования естественно-научной и технологической направленностей в обшеобразовательных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</si>
  <si>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</si>
  <si>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</si>
  <si>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Мероприятие 02.01. Стипендии в области образования, культуры и искусства (юные дарования, одаренные дети)</t>
  </si>
  <si>
    <t>Мероприятие 03.01. Расходы на обеспечение деятельности (оказание услуг) муниципальных учреждений - организации дополнительного образования</t>
  </si>
  <si>
    <t>Мероприятие 03.02. Укрепление материально-технической базы и проведение текущего ремонта учреждений дополнительного образования</t>
  </si>
  <si>
    <t>Мероприятие 03.03. Профессиональная физическая охрана муниципальных учреждений дополнительного образования</t>
  </si>
  <si>
    <t>Мероприятие 03.04. Мероприятия в сфере образования</t>
  </si>
  <si>
    <t>Мероприятие 03.05. Проведение капитального ремонта, технического переоснащения и благоустройства территорий учреждений образования</t>
  </si>
  <si>
    <t>Основное мероприятие 04.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детей"</t>
  </si>
  <si>
    <t>Мероприятие 06.01. Внедрение и обеспечение функционирования модели персонифицированного финансирования дополнительного образования детей</t>
  </si>
  <si>
    <t>Мероприятие 06.02.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</si>
  <si>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Мероприятие Е2.02.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</si>
  <si>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Е4.02. Создание центров цифрового образования детей</t>
  </si>
  <si>
    <t>Мероприятие 05.01. 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</si>
  <si>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 (2020), здания детского сада по адресу: Московская область, г. Одинцово, Можайское ш., д. 96 (2021)</t>
  </si>
  <si>
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организациях.Оснащение детского сада, расположенного по адресу: Московская область, Одинцовский район, Лесной Городок дп, ул.Школьная, д. 14 (2020),  техническое переоснащение МБОУ Новогородковская СОШ, Ершовская СОШ (2020), Ершовская СОШ (2021)</t>
  </si>
  <si>
    <t xml:space="preserve">Приобретение автобусов для доставки обучающихся в общеобразовательные организации 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</si>
  <si>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 (2020)</t>
  </si>
  <si>
    <t>Администрация Одинцовского городского округа (Управления бухгалтерского учета и отчетности)</t>
  </si>
  <si>
    <t>Основное мероприятие Р2. Федеральный проект "Содействие занятости"</t>
  </si>
  <si>
    <t>Основное мероприятие Е2. Федеральный проект "Успех каждого ребенка"</t>
  </si>
  <si>
    <t>Основное мероприятие Е1. Федеральный проект "Современная школа"</t>
  </si>
  <si>
    <t>Основное мероприятие Е4. Федеральный проект "Цифровая образовательная среда"</t>
  </si>
  <si>
    <r>
  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96, проведение капитального ремонта МБДОУ №№ 20,21,49,79,57,3,19,35,80,46,50,82,</t>
    </r>
    <r>
      <rPr>
        <sz val="16"/>
        <rFont val="Times New Roman"/>
        <family val="1"/>
        <charset val="204"/>
      </rPr>
      <t>33</t>
    </r>
    <r>
      <rPr>
        <sz val="14"/>
        <rFont val="Times New Roman"/>
        <family val="1"/>
        <charset val="204"/>
      </rPr>
      <t xml:space="preserve"> (2021) </t>
    </r>
  </si>
  <si>
    <t>Мероприятие 03.02.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</si>
  <si>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Мероприятие 04.01. Укрепление материально-технической базы общеобразовательных организаций, команды которых заняли 1-5 места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</si>
  <si>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1.11</t>
  </si>
  <si>
    <t>Мероприятие 01.11. Проведение капитального ремонта, технического переоснащения и благоустройства территорий учреждений образования</t>
  </si>
  <si>
    <t xml:space="preserve">Мероприятие 01.04. Мероприятия по проведению капитального ремонта  в муниципальных дошкольных образовательных организациях в Московской области </t>
  </si>
  <si>
    <t>Мероприятие 01.01. Обеспечение деятельности муниципальных органов - учреждения в сфере образования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</si>
  <si>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</si>
  <si>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01.03.Мероприятия в сфере образования</t>
  </si>
  <si>
    <t>Мероприятие 08.01. Проведение работ по капитальному ремонту зданий региональных (муниципальных) общеобразовательных организаций</t>
  </si>
  <si>
    <t>Мероприятие 08.02. Оснащение отремонтированных зданий общеобразовательных организаций средствами обучения и воспитания</t>
  </si>
  <si>
    <t>Мероприятие 08.03.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</si>
  <si>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2.10</t>
  </si>
  <si>
    <t>Мероприятие 02.10 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средств местного бюджета</t>
  </si>
  <si>
    <t>2022-2024 годы</t>
  </si>
  <si>
    <t>1.12</t>
  </si>
  <si>
    <t>2020-2021 годы</t>
  </si>
  <si>
    <t>1.13</t>
  </si>
  <si>
    <t xml:space="preserve">Мероприятие 01.17.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                                                                                                            </t>
  </si>
  <si>
    <t>Мероприятие 01.16. Финансовое обеспечение государственных гарантий реализации прав на получение общедоступного и 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 муниципальных общеобразовательных организациях в Московской области, обеспечение дополнительного образования детей в муниципальных общеобразовательных организациях в Московской области,  включая расходы на оплату труда, приобретение учебников и учебных пособий, средств обучения, игр, игрушек (за исключением расходов на содержание зданий и оплату коммунальных услуг)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</si>
  <si>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игрушек, 100%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</si>
  <si>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4.3</t>
  </si>
  <si>
    <t>5.2</t>
  </si>
  <si>
    <t>5.3</t>
  </si>
  <si>
    <t>5.4</t>
  </si>
  <si>
    <t>5.5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</si>
  <si>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</si>
  <si>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Мероприятие 03.06. Создание центров образования естественно-научной и технологической направленностей за счет средств местного бюджета</t>
  </si>
  <si>
    <t>Мероприятие 04.06. Реализация отдельных мероприятий муниципальных программ в сфере образования</t>
  </si>
  <si>
    <t>Реализация отдельных мероприятий муниципальных программ в сфере образования</t>
  </si>
  <si>
    <t>Мероприятие Е1.01. Создание детского технопарка "Кванториум"</t>
  </si>
  <si>
    <t>Создание детского технопарка "Кванториум"</t>
  </si>
  <si>
    <t>Проведение работ по капитальному ремонту зданий региональных (муниципальных) общеобразовательных организаций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</si>
  <si>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Мероприятие 01.03. 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</si>
  <si>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100% выполнение обеспечения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</si>
  <si>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(2020), МОУ СОШ № 1 г. Звенигород, МОУ СОШ № 2 им. Пронина г. Звенигород, МБОУ Одинцовская СОШ №1, МБОУ Одинцовская СОШ №3, МБОУ Часцовская СОШ, МБОУ Одинцовская  № 16, МБОУ Одинцовская гимназия №14, МБОУ Голицынская СОШ №1, МАООУ СОШ № 4 г. Звенигород (2021)</t>
  </si>
  <si>
    <t>Мероприятие Е1.06. Мероприятия по проведению капитального ремонта в муниципальных общеобразовательных организациях в Московской области</t>
  </si>
  <si>
    <t xml:space="preserve">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(2020). Мероприятия по проведению капитального ремонта в муниципальных общеобразовательных организациях в Московской области</t>
  </si>
  <si>
    <t>добавила на кредиторку 218,97336</t>
  </si>
  <si>
    <t>от «___» __________ 2022 № ______</t>
  </si>
  <si>
    <t>Администрация Одинцовского городского округа (Управление бухгалтерского учета и отчетности)</t>
  </si>
  <si>
    <t>Оснащение отремонтированных зданий общеобразовательных организаций средствами обучения и воспитания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</si>
  <si>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сг</t>
  </si>
  <si>
    <t>сняла 5924,18146</t>
  </si>
  <si>
    <t>сняла 0,82 по уведомлению</t>
  </si>
  <si>
    <t>сняла 958,32142, добавила на оснащение 3050,30516</t>
  </si>
  <si>
    <r>
      <t xml:space="preserve">Мероприятие 05.01. </t>
    </r>
    <r>
      <rPr>
        <b/>
        <sz val="14"/>
        <color theme="1"/>
        <rFont val="Times New Roman"/>
        <family val="2"/>
      </rPr>
      <t xml:space="preserve">Расходы на обеспечение деятельности (оказание услуг) муниципальных учреждений - общеобразовательные организации, </t>
    </r>
    <r>
      <rPr>
        <b/>
        <sz val="14"/>
        <color theme="1"/>
        <rFont val="Times New Roman"/>
        <family val="1"/>
        <charset val="204"/>
      </rPr>
      <t>оказывающие услуги дошкольного, начального общего, основного общего, среднего общего образования</t>
    </r>
  </si>
  <si>
    <t>добавила 41,65 на кредиторку (курсы), сняла штрафы на непрограммные,добавила 6000 на аренду</t>
  </si>
  <si>
    <t>сняла 347,3 на дс 40</t>
  </si>
  <si>
    <t>добавила 347,3 на дс 40 с сош 3</t>
  </si>
  <si>
    <t>2022-2024</t>
  </si>
  <si>
    <t>МБОУ ОРЦ "Сопровождение", МАУ "Комбинат питания "Доброе кафе"</t>
  </si>
  <si>
    <t>200,0 Сопровождение, 92348,601 - Комбинат</t>
  </si>
  <si>
    <t>Мероприятие 03.21. Реализация мероприятий по благоустройству территорий муниципальных образовательных организаций</t>
  </si>
  <si>
    <t>Создание условий, отвечающих требованиям СанПиН. Реализация мероприятий по благоустройству территорий муниципальных образовательных организаций (2023 - Старогородковская специальная (коррекционная) общеобразовательная школа-интернат VIII вида им. Фурагиной А.В.)</t>
  </si>
  <si>
    <t>УМЦ "Развитие образования",     МБОУ ОРЦ "Сопровождение", МАУ "Комбинат питания "Доброе кафе"</t>
  </si>
  <si>
    <t>100% выполнение муниципального задания по УМЦ "Развитие образования", МБОУ ОРЦ "Сопровождение", а также 100 % освоение средств целевых субсидий. Расходы на обеспечение деятельности (оказание услуг) МАУ "Комбинат питания "Доброе кафе"</t>
  </si>
  <si>
    <t>4.4</t>
  </si>
  <si>
    <t>2023-2024 годы</t>
  </si>
  <si>
    <t xml:space="preserve">Мероприятие 08.04. 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 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</si>
  <si>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А.В.)</t>
  </si>
  <si>
    <t>3.3</t>
  </si>
  <si>
    <t>Мероприятие 04.05. Реализация отдельных мероприятий муниципальных программ в сфере образования (на оплату труда педагогов дополнительного образования)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</si>
  <si>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</si>
  <si>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2.11</t>
  </si>
  <si>
    <t>Мероприятие 03.25.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</si>
  <si>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 (оборудование для бесконтактной оплаты)</t>
  </si>
  <si>
    <t>прибавила в 2023 году 5924,18146 на наем транспорта, 6000 на аренду УО, на хэс 19341,52</t>
  </si>
  <si>
    <t>сняла 1206,8039 на кредиторку, добавила 946,18054 на кредиторку по Мож.96, поменяла ГРБС по ремонту 200 млн, на хэс 8239,84642</t>
  </si>
  <si>
    <t>добавила на благоустройство Введенской, на хэс 269399,544,06</t>
  </si>
  <si>
    <t>на хэс 7126,54698</t>
  </si>
  <si>
    <t xml:space="preserve">Начальник Управления образования                                                                   </t>
  </si>
  <si>
    <t>О.А. Ткачева</t>
  </si>
  <si>
    <t>Приложение 5</t>
  </si>
  <si>
    <t xml:space="preserve">Создание условий, отвечающих требованиям антитеррористической безопасности и защищенности, установленных законодательством  в 100% общеобразовательных учреждениях.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</si>
</sst>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2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555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3" xfId="1" applyFont="1" applyFill="1" applyBorder="1"/>
    <xf numFmtId="0" fontId="9" fillId="0" borderId="14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3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3" xfId="4" applyNumberFormat="1" applyFont="1" applyFill="1" applyBorder="1" applyAlignment="1" applyProtection="1">
      <alignment horizontal="right" vertical="center"/>
    </xf>
    <xf numFmtId="0" fontId="9" fillId="0" borderId="13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5" fontId="8" fillId="0" borderId="13" xfId="1" applyNumberFormat="1" applyFont="1" applyFill="1" applyBorder="1" applyAlignment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3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3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3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3" xfId="5" applyNumberFormat="1" applyFont="1" applyFill="1" applyBorder="1" applyAlignment="1" applyProtection="1">
      <alignment horizontal="center" vertical="center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10" borderId="0" xfId="5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167" fontId="10" fillId="10" borderId="0" xfId="0" applyNumberFormat="1" applyFont="1" applyFill="1"/>
    <xf numFmtId="167" fontId="10" fillId="0" borderId="0" xfId="0" applyNumberFormat="1" applyFont="1" applyFill="1"/>
    <xf numFmtId="0" fontId="9" fillId="3" borderId="0" xfId="0" applyNumberFormat="1" applyFont="1" applyFill="1" applyBorder="1" applyAlignment="1" applyProtection="1">
      <alignment horizontal="right" vertical="top"/>
    </xf>
    <xf numFmtId="167" fontId="9" fillId="4" borderId="2" xfId="5" applyNumberFormat="1" applyFont="1" applyFill="1" applyBorder="1" applyAlignment="1" applyProtection="1">
      <alignment horizontal="center" vertical="center"/>
    </xf>
    <xf numFmtId="167" fontId="10" fillId="0" borderId="0" xfId="0" applyNumberFormat="1" applyFont="1"/>
    <xf numFmtId="167" fontId="23" fillId="3" borderId="0" xfId="0" applyNumberFormat="1" applyFont="1" applyFill="1"/>
    <xf numFmtId="167" fontId="16" fillId="10" borderId="0" xfId="5" applyNumberFormat="1" applyFont="1" applyFill="1" applyBorder="1" applyAlignment="1" applyProtection="1">
      <alignment vertical="top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167" fontId="9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3" borderId="2" xfId="3" applyNumberFormat="1" applyFont="1" applyFill="1" applyBorder="1" applyAlignment="1" applyProtection="1">
      <alignment horizontal="center" vertical="center" wrapText="1"/>
    </xf>
    <xf numFmtId="167" fontId="8" fillId="10" borderId="13" xfId="1" applyNumberFormat="1" applyFont="1" applyFill="1" applyBorder="1" applyAlignment="1">
      <alignment horizontal="right" vertical="center"/>
    </xf>
    <xf numFmtId="167" fontId="8" fillId="3" borderId="2" xfId="4" applyNumberFormat="1" applyFont="1" applyFill="1" applyBorder="1" applyAlignment="1" applyProtection="1">
      <alignment horizontal="right" vertical="center"/>
    </xf>
    <xf numFmtId="165" fontId="8" fillId="8" borderId="2" xfId="5" applyNumberFormat="1" applyFont="1" applyFill="1" applyBorder="1" applyAlignment="1" applyProtection="1">
      <alignment horizontal="center" vertical="center"/>
    </xf>
    <xf numFmtId="167" fontId="8" fillId="8" borderId="2" xfId="5" applyNumberFormat="1" applyFont="1" applyFill="1" applyBorder="1" applyAlignment="1" applyProtection="1">
      <alignment horizontal="center" vertical="center"/>
    </xf>
    <xf numFmtId="0" fontId="16" fillId="8" borderId="2" xfId="5" applyNumberFormat="1" applyFont="1" applyFill="1" applyBorder="1" applyAlignment="1" applyProtection="1">
      <alignment vertical="top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167" fontId="16" fillId="8" borderId="12" xfId="5" applyNumberFormat="1" applyFont="1" applyFill="1" applyBorder="1" applyAlignment="1" applyProtection="1">
      <alignment vertical="top"/>
    </xf>
    <xf numFmtId="0" fontId="24" fillId="2" borderId="0" xfId="1" applyFont="1" applyFill="1" applyAlignment="1">
      <alignment horizontal="center"/>
    </xf>
    <xf numFmtId="0" fontId="25" fillId="2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horizontal="center" vertical="center"/>
    </xf>
    <xf numFmtId="0" fontId="24" fillId="2" borderId="0" xfId="7" applyNumberFormat="1" applyFont="1" applyFill="1" applyBorder="1" applyAlignment="1" applyProtection="1">
      <alignment vertical="top"/>
    </xf>
    <xf numFmtId="0" fontId="24" fillId="10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vertical="top" wrapText="1"/>
    </xf>
    <xf numFmtId="0" fontId="24" fillId="3" borderId="0" xfId="7" applyNumberFormat="1" applyFont="1" applyFill="1" applyBorder="1" applyAlignment="1" applyProtection="1">
      <alignment vertical="top" wrapText="1"/>
    </xf>
    <xf numFmtId="0" fontId="24" fillId="2" borderId="0" xfId="7" applyNumberFormat="1" applyFont="1" applyFill="1" applyBorder="1" applyAlignment="1" applyProtection="1">
      <alignment horizontal="left" vertical="top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49" fontId="26" fillId="3" borderId="2" xfId="4" applyNumberFormat="1" applyFont="1" applyFill="1" applyBorder="1" applyAlignment="1" applyProtection="1">
      <alignment horizontal="center" vertical="top"/>
    </xf>
    <xf numFmtId="49" fontId="26" fillId="10" borderId="2" xfId="4" applyNumberFormat="1" applyFont="1" applyFill="1" applyBorder="1" applyAlignment="1" applyProtection="1">
      <alignment horizontal="center" vertical="top"/>
    </xf>
    <xf numFmtId="49" fontId="26" fillId="3" borderId="12" xfId="4" applyNumberFormat="1" applyFont="1" applyFill="1" applyBorder="1" applyAlignment="1" applyProtection="1">
      <alignment horizontal="center" vertical="top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167" fontId="26" fillId="4" borderId="2" xfId="4" applyNumberFormat="1" applyFont="1" applyFill="1" applyBorder="1" applyAlignment="1" applyProtection="1">
      <alignment horizontal="center" vertical="center"/>
    </xf>
    <xf numFmtId="167" fontId="26" fillId="10" borderId="2" xfId="4" applyNumberFormat="1" applyFont="1" applyFill="1" applyBorder="1" applyAlignment="1" applyProtection="1">
      <alignment horizontal="center" vertical="center"/>
    </xf>
    <xf numFmtId="167" fontId="27" fillId="4" borderId="2" xfId="4" applyNumberFormat="1" applyFont="1" applyFill="1" applyBorder="1" applyAlignment="1" applyProtection="1">
      <alignment horizontal="center" vertical="center"/>
    </xf>
    <xf numFmtId="0" fontId="26" fillId="4" borderId="2" xfId="7" applyNumberFormat="1" applyFont="1" applyFill="1" applyBorder="1" applyAlignment="1" applyProtection="1">
      <alignment horizontal="center" vertical="center" wrapText="1"/>
    </xf>
    <xf numFmtId="167" fontId="27" fillId="4" borderId="2" xfId="1" applyNumberFormat="1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167" fontId="26" fillId="3" borderId="2" xfId="4" applyNumberFormat="1" applyFont="1" applyFill="1" applyBorder="1" applyAlignment="1" applyProtection="1">
      <alignment horizontal="center" vertical="center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0" fontId="26" fillId="3" borderId="2" xfId="7" applyNumberFormat="1" applyFont="1" applyFill="1" applyBorder="1" applyAlignment="1" applyProtection="1">
      <alignment horizontal="center" vertical="center" wrapText="1"/>
    </xf>
    <xf numFmtId="167" fontId="26" fillId="3" borderId="2" xfId="7" applyNumberFormat="1" applyFont="1" applyFill="1" applyBorder="1" applyAlignment="1" applyProtection="1">
      <alignment horizontal="center" vertical="center" wrapText="1"/>
    </xf>
    <xf numFmtId="167" fontId="26" fillId="10" borderId="2" xfId="1" applyNumberFormat="1" applyFont="1" applyFill="1" applyBorder="1" applyAlignment="1">
      <alignment horizontal="center" vertical="center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0" fontId="26" fillId="3" borderId="2" xfId="1" applyFont="1" applyFill="1" applyBorder="1" applyAlignment="1">
      <alignment vertical="top" wrapText="1"/>
    </xf>
    <xf numFmtId="0" fontId="27" fillId="3" borderId="2" xfId="1" applyFont="1" applyFill="1" applyBorder="1" applyAlignment="1">
      <alignment horizontal="center" vertical="center" wrapText="1" shrinkToFit="1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49" fontId="26" fillId="4" borderId="2" xfId="2" applyNumberFormat="1" applyFont="1" applyFill="1" applyBorder="1" applyAlignment="1" applyProtection="1">
      <alignment horizontal="center" vertical="center" wrapText="1"/>
    </xf>
    <xf numFmtId="167" fontId="26" fillId="4" borderId="2" xfId="5" applyNumberFormat="1" applyFont="1" applyFill="1" applyBorder="1" applyAlignment="1" applyProtection="1">
      <alignment horizontal="center" vertical="center"/>
    </xf>
    <xf numFmtId="167" fontId="26" fillId="10" borderId="2" xfId="3" applyNumberFormat="1" applyFont="1" applyFill="1" applyBorder="1" applyAlignment="1" applyProtection="1">
      <alignment horizontal="center" vertical="center" wrapText="1"/>
    </xf>
    <xf numFmtId="167" fontId="27" fillId="4" borderId="2" xfId="3" applyNumberFormat="1" applyFont="1" applyFill="1" applyBorder="1" applyAlignment="1" applyProtection="1">
      <alignment horizontal="center" vertical="center" wrapText="1"/>
    </xf>
    <xf numFmtId="49" fontId="26" fillId="3" borderId="11" xfId="3" applyNumberFormat="1" applyFont="1" applyFill="1" applyBorder="1" applyAlignment="1" applyProtection="1">
      <alignment horizontal="center" vertical="top" wrapText="1"/>
    </xf>
    <xf numFmtId="0" fontId="26" fillId="3" borderId="2" xfId="3" applyNumberFormat="1" applyFont="1" applyFill="1" applyBorder="1" applyAlignment="1" applyProtection="1">
      <alignment horizontal="left" vertical="top" wrapText="1"/>
    </xf>
    <xf numFmtId="0" fontId="26" fillId="3" borderId="2" xfId="3" applyNumberFormat="1" applyFont="1" applyFill="1" applyBorder="1" applyAlignment="1" applyProtection="1">
      <alignment horizontal="center" vertical="center" wrapText="1"/>
    </xf>
    <xf numFmtId="0" fontId="26" fillId="3" borderId="2" xfId="2" applyNumberFormat="1" applyFont="1" applyFill="1" applyBorder="1" applyAlignment="1" applyProtection="1">
      <alignment horizontal="center" vertical="center" wrapText="1"/>
    </xf>
    <xf numFmtId="167" fontId="28" fillId="3" borderId="2" xfId="3" applyNumberFormat="1" applyFont="1" applyFill="1" applyBorder="1" applyAlignment="1" applyProtection="1">
      <alignment horizontal="center" vertical="center" wrapText="1"/>
    </xf>
    <xf numFmtId="167" fontId="28" fillId="10" borderId="2" xfId="3" applyNumberFormat="1" applyFont="1" applyFill="1" applyBorder="1" applyAlignment="1" applyProtection="1">
      <alignment horizontal="center" vertical="center" wrapText="1"/>
    </xf>
    <xf numFmtId="167" fontId="26" fillId="3" borderId="2" xfId="3" applyNumberFormat="1" applyFont="1" applyFill="1" applyBorder="1" applyAlignment="1" applyProtection="1">
      <alignment horizontal="center" vertical="center" wrapText="1"/>
    </xf>
    <xf numFmtId="0" fontId="27" fillId="3" borderId="2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167" fontId="27" fillId="3" borderId="2" xfId="4" applyNumberFormat="1" applyFont="1" applyFill="1" applyBorder="1" applyAlignment="1" applyProtection="1">
      <alignment horizontal="center" vertical="center"/>
    </xf>
    <xf numFmtId="167" fontId="26" fillId="3" borderId="2" xfId="4" applyNumberFormat="1" applyFont="1" applyFill="1" applyBorder="1" applyAlignment="1" applyProtection="1">
      <alignment horizontal="center" vertical="center" wrapText="1"/>
    </xf>
    <xf numFmtId="49" fontId="26" fillId="3" borderId="2" xfId="2" applyNumberFormat="1" applyFont="1" applyFill="1" applyBorder="1" applyAlignment="1" applyProtection="1">
      <alignment horizontal="center" vertical="center" wrapText="1"/>
    </xf>
    <xf numFmtId="167" fontId="26" fillId="3" borderId="2" xfId="2" applyNumberFormat="1" applyFont="1" applyFill="1" applyBorder="1" applyAlignment="1" applyProtection="1">
      <alignment horizontal="center" vertical="center"/>
    </xf>
    <xf numFmtId="165" fontId="26" fillId="10" borderId="2" xfId="5" applyNumberFormat="1" applyFont="1" applyFill="1" applyBorder="1" applyAlignment="1" applyProtection="1">
      <alignment horizontal="center" vertical="center" wrapText="1"/>
    </xf>
    <xf numFmtId="167" fontId="26" fillId="5" borderId="2" xfId="4" applyNumberFormat="1" applyFont="1" applyFill="1" applyBorder="1" applyAlignment="1">
      <alignment horizontal="right" vertical="center" wrapText="1"/>
    </xf>
    <xf numFmtId="167" fontId="26" fillId="10" borderId="2" xfId="4" applyNumberFormat="1" applyFont="1" applyFill="1" applyBorder="1" applyAlignment="1">
      <alignment horizontal="right" vertical="center" wrapText="1"/>
    </xf>
    <xf numFmtId="0" fontId="27" fillId="5" borderId="2" xfId="4" applyNumberFormat="1" applyFont="1" applyFill="1" applyBorder="1" applyAlignment="1">
      <alignment horizontal="left" vertical="top" wrapText="1" indent="1"/>
    </xf>
    <xf numFmtId="0" fontId="26" fillId="5" borderId="12" xfId="4" applyNumberFormat="1" applyFont="1" applyFill="1" applyBorder="1" applyAlignment="1">
      <alignment horizontal="left" vertical="top" wrapText="1" indent="1"/>
    </xf>
    <xf numFmtId="167" fontId="26" fillId="0" borderId="2" xfId="4" applyNumberFormat="1" applyFont="1" applyFill="1" applyBorder="1" applyAlignment="1" applyProtection="1">
      <alignment horizontal="right" vertical="center"/>
    </xf>
    <xf numFmtId="0" fontId="27" fillId="0" borderId="2" xfId="4" applyNumberFormat="1" applyFont="1" applyFill="1" applyBorder="1" applyAlignment="1">
      <alignment horizontal="left" vertical="top" wrapText="1" indent="1"/>
    </xf>
    <xf numFmtId="0" fontId="26" fillId="0" borderId="12" xfId="4" applyNumberFormat="1" applyFont="1" applyFill="1" applyBorder="1" applyAlignment="1">
      <alignment horizontal="left" vertical="top" wrapText="1" indent="1"/>
    </xf>
    <xf numFmtId="165" fontId="27" fillId="0" borderId="2" xfId="4" applyNumberFormat="1" applyFont="1" applyFill="1" applyBorder="1" applyAlignment="1">
      <alignment horizontal="left" vertical="top" wrapText="1" indent="1"/>
    </xf>
    <xf numFmtId="167" fontId="26" fillId="0" borderId="2" xfId="1" applyNumberFormat="1" applyFont="1" applyFill="1" applyBorder="1" applyAlignment="1">
      <alignment horizontal="right" vertical="center"/>
    </xf>
    <xf numFmtId="0" fontId="27" fillId="0" borderId="2" xfId="1" applyFont="1" applyFill="1" applyBorder="1"/>
    <xf numFmtId="0" fontId="27" fillId="0" borderId="12" xfId="1" applyFont="1" applyBorder="1" applyAlignment="1">
      <alignment vertical="center"/>
    </xf>
    <xf numFmtId="167" fontId="26" fillId="0" borderId="13" xfId="1" applyNumberFormat="1" applyFont="1" applyFill="1" applyBorder="1" applyAlignment="1">
      <alignment horizontal="right" vertical="center"/>
    </xf>
    <xf numFmtId="167" fontId="26" fillId="10" borderId="13" xfId="4" applyNumberFormat="1" applyFont="1" applyFill="1" applyBorder="1" applyAlignment="1">
      <alignment horizontal="right" vertical="center" wrapText="1"/>
    </xf>
    <xf numFmtId="0" fontId="27" fillId="0" borderId="13" xfId="1" applyFont="1" applyFill="1" applyBorder="1"/>
    <xf numFmtId="0" fontId="27" fillId="0" borderId="14" xfId="1" applyFont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165" fontId="25" fillId="0" borderId="0" xfId="1" applyNumberFormat="1" applyFont="1" applyFill="1" applyBorder="1" applyAlignment="1">
      <alignment horizontal="right" vertical="center"/>
    </xf>
    <xf numFmtId="165" fontId="25" fillId="10" borderId="0" xfId="4" applyNumberFormat="1" applyFont="1" applyFill="1" applyBorder="1" applyAlignment="1" applyProtection="1">
      <alignment horizontal="right" vertical="center"/>
    </xf>
    <xf numFmtId="165" fontId="25" fillId="3" borderId="0" xfId="1" applyNumberFormat="1" applyFont="1" applyFill="1" applyBorder="1" applyAlignment="1">
      <alignment horizontal="right" vertical="center"/>
    </xf>
    <xf numFmtId="167" fontId="25" fillId="3" borderId="0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0" fontId="24" fillId="0" borderId="0" xfId="1" applyFont="1" applyFill="1" applyBorder="1"/>
    <xf numFmtId="0" fontId="24" fillId="0" borderId="0" xfId="1" applyFont="1" applyBorder="1" applyAlignment="1">
      <alignment vertical="center"/>
    </xf>
    <xf numFmtId="0" fontId="1" fillId="0" borderId="0" xfId="0" applyFont="1"/>
    <xf numFmtId="167" fontId="31" fillId="0" borderId="2" xfId="0" applyNumberFormat="1" applyFont="1" applyBorder="1"/>
    <xf numFmtId="167" fontId="32" fillId="10" borderId="2" xfId="0" applyNumberFormat="1" applyFont="1" applyFill="1" applyBorder="1"/>
    <xf numFmtId="167" fontId="1" fillId="0" borderId="0" xfId="0" applyNumberFormat="1" applyFont="1"/>
    <xf numFmtId="167" fontId="32" fillId="0" borderId="2" xfId="0" applyNumberFormat="1" applyFont="1" applyBorder="1"/>
    <xf numFmtId="0" fontId="33" fillId="0" borderId="0" xfId="0" applyFont="1"/>
    <xf numFmtId="167" fontId="32" fillId="3" borderId="2" xfId="0" applyNumberFormat="1" applyFont="1" applyFill="1" applyBorder="1"/>
    <xf numFmtId="165" fontId="1" fillId="10" borderId="0" xfId="0" applyNumberFormat="1" applyFont="1" applyFill="1"/>
    <xf numFmtId="0" fontId="1" fillId="3" borderId="0" xfId="0" applyFont="1" applyFill="1"/>
    <xf numFmtId="167" fontId="1" fillId="10" borderId="0" xfId="0" applyNumberFormat="1" applyFont="1" applyFill="1"/>
    <xf numFmtId="0" fontId="1" fillId="10" borderId="0" xfId="0" applyFont="1" applyFill="1"/>
    <xf numFmtId="165" fontId="33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7" fontId="22" fillId="3" borderId="2" xfId="4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7" fontId="22" fillId="3" borderId="2" xfId="3" applyNumberFormat="1" applyFont="1" applyFill="1" applyBorder="1" applyAlignment="1" applyProtection="1">
      <alignment horizontal="center" vertical="center" wrapText="1"/>
    </xf>
    <xf numFmtId="167" fontId="16" fillId="3" borderId="12" xfId="5" applyNumberFormat="1" applyFont="1" applyFill="1" applyBorder="1" applyAlignment="1" applyProtection="1">
      <alignment vertical="top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167" fontId="22" fillId="10" borderId="2" xfId="4" applyNumberFormat="1" applyFont="1" applyFill="1" applyBorder="1" applyAlignment="1" applyProtection="1">
      <alignment horizontal="center" vertical="center"/>
    </xf>
    <xf numFmtId="167" fontId="22" fillId="3" borderId="2" xfId="4" applyNumberFormat="1" applyFont="1" applyFill="1" applyBorder="1" applyAlignment="1" applyProtection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167" fontId="22" fillId="3" borderId="2" xfId="1" applyNumberFormat="1" applyFont="1" applyFill="1" applyBorder="1" applyAlignment="1" applyProtection="1">
      <alignment horizontal="center" vertical="center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3" borderId="2" xfId="1" applyFont="1" applyFill="1" applyBorder="1" applyAlignment="1">
      <alignment horizontal="left" vertical="top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9" fillId="4" borderId="2" xfId="1" applyNumberFormat="1" applyFont="1" applyFill="1" applyBorder="1" applyAlignment="1">
      <alignment horizontal="center" vertical="center" wrapTex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8" fillId="0" borderId="15" xfId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5" fillId="3" borderId="0" xfId="7" applyNumberFormat="1" applyFont="1" applyFill="1" applyBorder="1" applyAlignment="1" applyProtection="1">
      <alignment horizontal="center" vertical="top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49" fontId="26" fillId="4" borderId="2" xfId="4" applyNumberFormat="1" applyFont="1" applyFill="1" applyBorder="1" applyAlignment="1" applyProtection="1">
      <alignment horizontal="center" vertical="top"/>
      <protection locked="0"/>
    </xf>
    <xf numFmtId="49" fontId="26" fillId="3" borderId="11" xfId="5" applyNumberFormat="1" applyFont="1" applyFill="1" applyBorder="1" applyAlignment="1" applyProtection="1">
      <alignment horizontal="center" vertical="top"/>
    </xf>
    <xf numFmtId="0" fontId="26" fillId="3" borderId="2" xfId="3" applyNumberFormat="1" applyFont="1" applyFill="1" applyBorder="1" applyAlignment="1" applyProtection="1">
      <alignment horizontal="left" vertical="top" wrapText="1"/>
    </xf>
    <xf numFmtId="49" fontId="26" fillId="3" borderId="2" xfId="5" applyNumberFormat="1" applyFont="1" applyFill="1" applyBorder="1" applyAlignment="1" applyProtection="1">
      <alignment horizontal="center" vertical="center" wrapText="1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0" fontId="26" fillId="4" borderId="12" xfId="4" applyNumberFormat="1" applyFont="1" applyFill="1" applyBorder="1" applyAlignment="1" applyProtection="1">
      <alignment horizontal="center" vertical="top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49" fontId="27" fillId="3" borderId="6" xfId="4" applyNumberFormat="1" applyFont="1" applyFill="1" applyBorder="1" applyAlignment="1" applyProtection="1">
      <alignment horizontal="center" vertical="center" wrapText="1"/>
    </xf>
    <xf numFmtId="49" fontId="27" fillId="3" borderId="7" xfId="4" applyNumberFormat="1" applyFont="1" applyFill="1" applyBorder="1" applyAlignment="1" applyProtection="1">
      <alignment horizontal="center" vertical="center" wrapText="1"/>
    </xf>
    <xf numFmtId="0" fontId="27" fillId="3" borderId="18" xfId="10" applyFont="1" applyFill="1" applyBorder="1" applyAlignment="1">
      <alignment horizontal="center" vertical="center" wrapText="1"/>
    </xf>
    <xf numFmtId="0" fontId="27" fillId="3" borderId="19" xfId="10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center"/>
    </xf>
    <xf numFmtId="49" fontId="26" fillId="3" borderId="2" xfId="4" applyNumberFormat="1" applyFont="1" applyFill="1" applyBorder="1" applyAlignment="1" applyProtection="1">
      <alignment horizontal="center" vertical="center"/>
    </xf>
    <xf numFmtId="49" fontId="26" fillId="3" borderId="12" xfId="4" applyNumberFormat="1" applyFont="1" applyFill="1" applyBorder="1" applyAlignment="1" applyProtection="1">
      <alignment horizontal="center" vertical="center"/>
    </xf>
    <xf numFmtId="49" fontId="26" fillId="4" borderId="11" xfId="4" applyNumberFormat="1" applyFont="1" applyFill="1" applyBorder="1" applyAlignment="1" applyProtection="1">
      <alignment horizontal="center" vertical="top"/>
    </xf>
    <xf numFmtId="0" fontId="26" fillId="3" borderId="2" xfId="1" applyFont="1" applyFill="1" applyBorder="1" applyAlignment="1">
      <alignment horizontal="left" vertical="top" wrapText="1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0" fontId="27" fillId="3" borderId="2" xfId="1" applyFont="1" applyFill="1" applyBorder="1" applyAlignment="1">
      <alignment horizontal="center" vertical="center" wrapText="1" shrinkToFi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164" fontId="26" fillId="3" borderId="8" xfId="4" applyNumberFormat="1" applyFont="1" applyFill="1" applyBorder="1" applyAlignment="1" applyProtection="1">
      <alignment horizontal="center" vertical="center" wrapText="1"/>
    </xf>
    <xf numFmtId="164" fontId="26" fillId="3" borderId="2" xfId="4" applyNumberFormat="1" applyFont="1" applyFill="1" applyBorder="1" applyAlignment="1" applyProtection="1">
      <alignment horizontal="center" vertical="center" wrapText="1"/>
    </xf>
    <xf numFmtId="0" fontId="26" fillId="3" borderId="8" xfId="11" applyNumberFormat="1" applyFont="1" applyFill="1" applyBorder="1" applyAlignment="1" applyProtection="1">
      <alignment horizontal="center" vertical="center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0" fontId="26" fillId="3" borderId="9" xfId="11" applyNumberFormat="1" applyFont="1" applyFill="1" applyBorder="1" applyAlignment="1" applyProtection="1">
      <alignment horizontal="center" vertical="center" wrapText="1"/>
    </xf>
    <xf numFmtId="0" fontId="26" fillId="3" borderId="11" xfId="11" applyNumberFormat="1" applyFont="1" applyFill="1" applyBorder="1" applyAlignment="1" applyProtection="1">
      <alignment horizontal="center" vertical="center" wrapText="1"/>
    </xf>
    <xf numFmtId="0" fontId="26" fillId="10" borderId="8" xfId="11" applyNumberFormat="1" applyFont="1" applyFill="1" applyBorder="1" applyAlignment="1" applyProtection="1">
      <alignment horizontal="center" vertical="center" wrapText="1"/>
    </xf>
    <xf numFmtId="0" fontId="26" fillId="10" borderId="2" xfId="11" applyNumberFormat="1" applyFont="1" applyFill="1" applyBorder="1" applyAlignment="1" applyProtection="1">
      <alignment horizontal="center" vertical="center" wrapText="1"/>
    </xf>
    <xf numFmtId="164" fontId="26" fillId="3" borderId="10" xfId="4" applyNumberFormat="1" applyFont="1" applyFill="1" applyBorder="1" applyAlignment="1" applyProtection="1">
      <alignment horizontal="center" vertical="center" wrapText="1"/>
    </xf>
    <xf numFmtId="164" fontId="26" fillId="3" borderId="12" xfId="4" applyNumberFormat="1" applyFont="1" applyFill="1" applyBorder="1" applyAlignment="1" applyProtection="1">
      <alignment horizontal="center" vertical="center" wrapText="1"/>
    </xf>
    <xf numFmtId="0" fontId="26" fillId="3" borderId="8" xfId="4" applyNumberFormat="1" applyFont="1" applyFill="1" applyBorder="1" applyAlignment="1" applyProtection="1">
      <alignment horizontal="center" vertical="center" wrapText="1"/>
    </xf>
    <xf numFmtId="0" fontId="26" fillId="3" borderId="2" xfId="4" applyNumberFormat="1" applyFont="1" applyFill="1" applyBorder="1" applyAlignment="1" applyProtection="1">
      <alignment horizontal="center" vertical="center" wrapText="1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0" fontId="26" fillId="5" borderId="11" xfId="4" applyNumberFormat="1" applyFont="1" applyFill="1" applyBorder="1" applyAlignment="1">
      <alignment horizontal="right" vertical="center" wrapText="1"/>
    </xf>
    <xf numFmtId="0" fontId="30" fillId="5" borderId="2" xfId="10" applyFont="1" applyFill="1" applyBorder="1" applyAlignment="1">
      <alignment horizontal="right" vertical="center" wrapText="1"/>
    </xf>
    <xf numFmtId="0" fontId="26" fillId="4" borderId="2" xfId="3" applyNumberFormat="1" applyFont="1" applyFill="1" applyBorder="1" applyAlignment="1" applyProtection="1">
      <alignment horizontal="center" vertical="center" wrapText="1"/>
    </xf>
    <xf numFmtId="49" fontId="26" fillId="3" borderId="6" xfId="4" applyNumberFormat="1" applyFont="1" applyFill="1" applyBorder="1" applyAlignment="1" applyProtection="1">
      <alignment horizontal="center" vertical="center" wrapText="1"/>
    </xf>
    <xf numFmtId="49" fontId="26" fillId="3" borderId="7" xfId="4" applyNumberFormat="1" applyFont="1" applyFill="1" applyBorder="1" applyAlignment="1" applyProtection="1">
      <alignment horizontal="center" vertical="center" wrapText="1"/>
    </xf>
    <xf numFmtId="49" fontId="22" fillId="3" borderId="11" xfId="4" applyNumberFormat="1" applyFont="1" applyFill="1" applyBorder="1" applyAlignment="1" applyProtection="1">
      <alignment horizontal="center" vertical="top"/>
    </xf>
    <xf numFmtId="0" fontId="22" fillId="3" borderId="2" xfId="4" applyNumberFormat="1" applyFont="1" applyFill="1" applyBorder="1" applyAlignment="1" applyProtection="1">
      <alignment horizontal="left" vertical="top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164" fontId="34" fillId="3" borderId="2" xfId="4" applyNumberFormat="1" applyFont="1" applyFill="1" applyBorder="1" applyAlignment="1" applyProtection="1">
      <alignment horizontal="center" vertical="center" wrapText="1"/>
    </xf>
    <xf numFmtId="0" fontId="34" fillId="3" borderId="12" xfId="1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26" fillId="0" borderId="11" xfId="4" applyNumberFormat="1" applyFont="1" applyFill="1" applyBorder="1" applyAlignment="1" applyProtection="1">
      <alignment horizontal="right" vertical="center"/>
    </xf>
    <xf numFmtId="0" fontId="26" fillId="0" borderId="2" xfId="4" applyNumberFormat="1" applyFont="1" applyFill="1" applyBorder="1" applyAlignment="1" applyProtection="1">
      <alignment horizontal="right" vertical="center"/>
    </xf>
    <xf numFmtId="0" fontId="31" fillId="0" borderId="3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26" fillId="0" borderId="15" xfId="1" applyFont="1" applyFill="1" applyBorder="1" applyAlignment="1">
      <alignment horizontal="right" vertical="center"/>
    </xf>
    <xf numFmtId="0" fontId="26" fillId="0" borderId="13" xfId="1" applyFont="1" applyFill="1" applyBorder="1" applyAlignment="1">
      <alignment horizontal="right" vertical="center"/>
    </xf>
    <xf numFmtId="0" fontId="26" fillId="0" borderId="11" xfId="1" applyFont="1" applyFill="1" applyBorder="1" applyAlignment="1">
      <alignment horizontal="right" vertical="center"/>
    </xf>
    <xf numFmtId="0" fontId="26" fillId="0" borderId="2" xfId="1" applyFont="1" applyFill="1" applyBorder="1" applyAlignment="1">
      <alignment horizontal="right" vertical="center"/>
    </xf>
    <xf numFmtId="164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 wrapText="1"/>
    </xf>
    <xf numFmtId="49" fontId="26" fillId="3" borderId="17" xfId="4" applyNumberFormat="1" applyFont="1" applyFill="1" applyBorder="1" applyAlignment="1" applyProtection="1">
      <alignment horizontal="center" vertical="top" wrapText="1"/>
    </xf>
    <xf numFmtId="0" fontId="26" fillId="3" borderId="6" xfId="4" applyNumberFormat="1" applyFont="1" applyFill="1" applyBorder="1" applyAlignment="1" applyProtection="1">
      <alignment horizontal="left" vertical="top" wrapText="1"/>
    </xf>
    <xf numFmtId="0" fontId="26" fillId="3" borderId="7" xfId="4" applyNumberFormat="1" applyFont="1" applyFill="1" applyBorder="1" applyAlignment="1" applyProtection="1">
      <alignment horizontal="left" vertical="top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0" fontId="28" fillId="4" borderId="2" xfId="3" applyNumberFormat="1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49" fontId="26" fillId="4" borderId="11" xfId="5" applyNumberFormat="1" applyFont="1" applyFill="1" applyBorder="1" applyAlignment="1" applyProtection="1">
      <alignment horizontal="center" vertical="top"/>
    </xf>
    <xf numFmtId="49" fontId="34" fillId="3" borderId="2" xfId="4" applyNumberFormat="1" applyFont="1" applyFill="1" applyBorder="1" applyAlignment="1" applyProtection="1">
      <alignment horizontal="center" vertical="center" wrapText="1"/>
    </xf>
    <xf numFmtId="164" fontId="34" fillId="3" borderId="12" xfId="4" applyNumberFormat="1" applyFont="1" applyFill="1" applyBorder="1" applyAlignment="1" applyProtection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/>
    </xf>
    <xf numFmtId="49" fontId="26" fillId="3" borderId="20" xfId="4" applyNumberFormat="1" applyFont="1" applyFill="1" applyBorder="1" applyAlignment="1" applyProtection="1">
      <alignment horizontal="center" vertical="top"/>
    </xf>
    <xf numFmtId="49" fontId="26" fillId="3" borderId="17" xfId="4" applyNumberFormat="1" applyFont="1" applyFill="1" applyBorder="1" applyAlignment="1" applyProtection="1">
      <alignment horizontal="center" vertical="top"/>
    </xf>
    <xf numFmtId="0" fontId="26" fillId="3" borderId="21" xfId="4" applyNumberFormat="1" applyFont="1" applyFill="1" applyBorder="1" applyAlignment="1" applyProtection="1">
      <alignment horizontal="left" vertical="top" wrapText="1"/>
    </xf>
    <xf numFmtId="49" fontId="26" fillId="3" borderId="21" xfId="4" applyNumberFormat="1" applyFont="1" applyFill="1" applyBorder="1" applyAlignment="1" applyProtection="1">
      <alignment horizontal="center" vertical="center" wrapText="1"/>
    </xf>
    <xf numFmtId="164" fontId="27" fillId="3" borderId="6" xfId="4" applyNumberFormat="1" applyFont="1" applyFill="1" applyBorder="1" applyAlignment="1" applyProtection="1">
      <alignment horizontal="center" vertical="center" wrapText="1"/>
    </xf>
    <xf numFmtId="164" fontId="27" fillId="3" borderId="21" xfId="4" applyNumberFormat="1" applyFont="1" applyFill="1" applyBorder="1" applyAlignment="1" applyProtection="1">
      <alignment horizontal="center" vertical="center" wrapText="1"/>
    </xf>
    <xf numFmtId="164" fontId="27" fillId="3" borderId="7" xfId="4" applyNumberFormat="1" applyFont="1" applyFill="1" applyBorder="1" applyAlignment="1" applyProtection="1">
      <alignment horizontal="center" vertical="center" wrapText="1"/>
    </xf>
    <xf numFmtId="0" fontId="27" fillId="3" borderId="22" xfId="1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6" xfId="1" applyNumberFormat="1" applyFont="1" applyFill="1" applyBorder="1" applyAlignment="1" applyProtection="1">
      <alignment horizontal="center" vertical="top" wrapText="1"/>
    </xf>
    <xf numFmtId="49" fontId="8" fillId="3" borderId="17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9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4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49" fontId="13" fillId="3" borderId="16" xfId="3" applyNumberFormat="1" applyFont="1" applyFill="1" applyBorder="1" applyAlignment="1" applyProtection="1">
      <alignment horizontal="center" vertical="top" wrapText="1"/>
    </xf>
    <xf numFmtId="49" fontId="13" fillId="3" borderId="17" xfId="3" applyNumberFormat="1" applyFont="1" applyFill="1" applyBorder="1" applyAlignment="1" applyProtection="1">
      <alignment horizontal="center" vertical="top" wrapText="1"/>
    </xf>
    <xf numFmtId="0" fontId="8" fillId="8" borderId="11" xfId="5" applyNumberFormat="1" applyFont="1" applyFill="1" applyBorder="1" applyAlignment="1" applyProtection="1">
      <alignment horizontal="right" vertical="center" wrapText="1"/>
    </xf>
    <xf numFmtId="0" fontId="8" fillId="8" borderId="2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8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0" fontId="9" fillId="3" borderId="18" xfId="3" applyFont="1" applyFill="1" applyBorder="1" applyAlignment="1">
      <alignment horizontal="center" vertical="center" wrapText="1"/>
    </xf>
    <xf numFmtId="0" fontId="9" fillId="3" borderId="19" xfId="3" applyFont="1" applyFill="1" applyBorder="1" applyAlignment="1">
      <alignment horizontal="center" vertical="center" wrapText="1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21" xfId="3" applyNumberFormat="1" applyFont="1" applyFill="1" applyBorder="1" applyAlignment="1" applyProtection="1">
      <alignment horizontal="center" vertical="center" wrapText="1"/>
    </xf>
    <xf numFmtId="0" fontId="13" fillId="4" borderId="7" xfId="3" applyNumberFormat="1" applyFont="1" applyFill="1" applyBorder="1" applyAlignment="1" applyProtection="1">
      <alignment horizontal="center" vertical="center" wrapText="1"/>
    </xf>
    <xf numFmtId="49" fontId="8" fillId="4" borderId="16" xfId="5" applyNumberFormat="1" applyFont="1" applyFill="1" applyBorder="1" applyAlignment="1" applyProtection="1">
      <alignment horizontal="center" vertical="top"/>
    </xf>
    <xf numFmtId="49" fontId="8" fillId="4" borderId="20" xfId="5" applyNumberFormat="1" applyFont="1" applyFill="1" applyBorder="1" applyAlignment="1" applyProtection="1">
      <alignment horizontal="center" vertical="top"/>
    </xf>
    <xf numFmtId="49" fontId="8" fillId="4" borderId="17" xfId="5" applyNumberFormat="1" applyFont="1" applyFill="1" applyBorder="1" applyAlignment="1" applyProtection="1">
      <alignment horizontal="center" vertical="top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5"/>
  <sheetViews>
    <sheetView view="pageBreakPreview" topLeftCell="A19" zoomScale="70" zoomScaleNormal="70" zoomScaleSheetLayoutView="70" zoomScalePageLayoutView="50" workbookViewId="0">
      <selection activeCell="J79" sqref="J79"/>
    </sheetView>
  </sheetViews>
  <sheetFormatPr defaultColWidth="9.140625" defaultRowHeight="15" x14ac:dyDescent="0.25"/>
  <cols>
    <col min="1" max="1" width="9.140625" style="2"/>
    <col min="2" max="2" width="67.7109375" style="2" customWidth="1"/>
    <col min="3" max="3" width="18.28515625" style="2" customWidth="1"/>
    <col min="4" max="4" width="33.42578125" style="2" customWidth="1"/>
    <col min="5" max="5" width="21" style="2" hidden="1" customWidth="1"/>
    <col min="6" max="6" width="22.7109375" style="22" customWidth="1"/>
    <col min="7" max="7" width="21.28515625" style="2" customWidth="1"/>
    <col min="8" max="8" width="21.28515625" style="83" customWidth="1"/>
    <col min="9" max="9" width="21.28515625" style="23" customWidth="1"/>
    <col min="10" max="10" width="21.28515625" style="2" customWidth="1"/>
    <col min="11" max="11" width="20.7109375" style="2" customWidth="1"/>
    <col min="12" max="12" width="20.42578125" style="2" customWidth="1"/>
    <col min="13" max="13" width="46.42578125" style="2" customWidth="1"/>
    <col min="14" max="14" width="13" style="2" bestFit="1" customWidth="1"/>
    <col min="15" max="16384" width="9.140625" style="2"/>
  </cols>
  <sheetData>
    <row r="1" spans="1:13" ht="18.75" x14ac:dyDescent="0.25">
      <c r="A1" s="3"/>
      <c r="B1" s="182"/>
      <c r="C1" s="182"/>
      <c r="D1" s="182"/>
      <c r="E1" s="182"/>
      <c r="F1" s="182"/>
      <c r="G1" s="182"/>
      <c r="H1" s="182"/>
      <c r="I1" s="182"/>
      <c r="J1" s="182"/>
      <c r="K1" s="109"/>
      <c r="L1" s="109"/>
      <c r="M1" s="193" t="s">
        <v>328</v>
      </c>
    </row>
    <row r="2" spans="1:13" ht="18.75" x14ac:dyDescent="0.25">
      <c r="A2" s="3"/>
      <c r="B2" s="182"/>
      <c r="C2" s="182"/>
      <c r="D2" s="182"/>
      <c r="E2" s="182"/>
      <c r="F2" s="182"/>
      <c r="G2" s="182"/>
      <c r="H2" s="182"/>
      <c r="I2" s="182"/>
      <c r="J2" s="182"/>
      <c r="K2" s="109"/>
      <c r="L2" s="109"/>
      <c r="M2" s="193" t="s">
        <v>134</v>
      </c>
    </row>
    <row r="3" spans="1:13" ht="18.75" x14ac:dyDescent="0.25">
      <c r="A3" s="3"/>
      <c r="B3" s="182"/>
      <c r="C3" s="182"/>
      <c r="D3" s="182"/>
      <c r="E3" s="182"/>
      <c r="F3" s="182"/>
      <c r="G3" s="182"/>
      <c r="H3" s="182"/>
      <c r="I3" s="182"/>
      <c r="J3" s="182"/>
      <c r="K3" s="109"/>
      <c r="L3" s="109"/>
      <c r="M3" s="193" t="s">
        <v>135</v>
      </c>
    </row>
    <row r="4" spans="1:13" ht="18.75" x14ac:dyDescent="0.25">
      <c r="A4" s="3"/>
      <c r="B4" s="182"/>
      <c r="C4" s="182"/>
      <c r="D4" s="182"/>
      <c r="E4" s="182"/>
      <c r="F4" s="182"/>
      <c r="G4" s="182"/>
      <c r="H4" s="182"/>
      <c r="I4" s="182"/>
      <c r="J4" s="182"/>
      <c r="K4" s="109"/>
      <c r="L4" s="109"/>
      <c r="M4" s="193" t="s">
        <v>294</v>
      </c>
    </row>
    <row r="5" spans="1:13" ht="15.75" x14ac:dyDescent="0.25">
      <c r="A5" s="3"/>
      <c r="B5" s="182"/>
      <c r="C5" s="182"/>
      <c r="D5" s="182"/>
      <c r="E5" s="182"/>
      <c r="F5" s="182"/>
      <c r="G5" s="182"/>
      <c r="H5" s="182"/>
      <c r="I5" s="182"/>
      <c r="J5" s="182"/>
      <c r="K5" s="109"/>
      <c r="L5" s="109"/>
      <c r="M5" s="109"/>
    </row>
    <row r="6" spans="1:13" ht="18" customHeight="1" x14ac:dyDescent="0.25">
      <c r="A6" s="77"/>
      <c r="B6" s="182"/>
      <c r="C6" s="184"/>
      <c r="D6" s="183"/>
      <c r="E6" s="379"/>
      <c r="F6" s="379"/>
      <c r="G6" s="379"/>
      <c r="H6" s="379"/>
      <c r="I6" s="79"/>
      <c r="J6" s="79"/>
      <c r="K6" s="380" t="s">
        <v>195</v>
      </c>
      <c r="L6" s="380"/>
      <c r="M6" s="380"/>
    </row>
    <row r="7" spans="1:13" ht="18" customHeight="1" x14ac:dyDescent="0.25">
      <c r="A7" s="185"/>
      <c r="B7" s="182"/>
      <c r="C7" s="184"/>
      <c r="D7" s="183"/>
      <c r="E7" s="198"/>
      <c r="F7" s="198"/>
      <c r="G7" s="198"/>
      <c r="H7" s="198"/>
      <c r="I7" s="79"/>
      <c r="J7" s="79"/>
      <c r="K7" s="199"/>
      <c r="L7" s="199"/>
      <c r="M7" s="199"/>
    </row>
    <row r="8" spans="1:13" ht="40.5" customHeight="1" x14ac:dyDescent="0.25">
      <c r="A8" s="7"/>
      <c r="B8" s="383" t="s">
        <v>187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</row>
    <row r="9" spans="1:13" ht="16.5" thickBot="1" x14ac:dyDescent="0.3">
      <c r="A9" s="7"/>
      <c r="B9" s="183"/>
      <c r="C9" s="184"/>
      <c r="D9" s="183"/>
      <c r="E9" s="183"/>
      <c r="F9" s="183"/>
      <c r="G9" s="388"/>
      <c r="H9" s="388"/>
      <c r="I9" s="388"/>
      <c r="J9" s="388"/>
      <c r="K9" s="388"/>
      <c r="L9" s="388"/>
      <c r="M9" s="388"/>
    </row>
    <row r="10" spans="1:13" ht="15" customHeight="1" x14ac:dyDescent="0.25">
      <c r="A10" s="389" t="s">
        <v>0</v>
      </c>
      <c r="B10" s="392" t="s">
        <v>3</v>
      </c>
      <c r="C10" s="392" t="s">
        <v>74</v>
      </c>
      <c r="D10" s="392" t="s">
        <v>1</v>
      </c>
      <c r="E10" s="392" t="s">
        <v>69</v>
      </c>
      <c r="F10" s="394" t="s">
        <v>75</v>
      </c>
      <c r="G10" s="392" t="s">
        <v>22</v>
      </c>
      <c r="H10" s="392"/>
      <c r="I10" s="392"/>
      <c r="J10" s="392"/>
      <c r="K10" s="392"/>
      <c r="L10" s="392" t="s">
        <v>11</v>
      </c>
      <c r="M10" s="381" t="s">
        <v>4</v>
      </c>
    </row>
    <row r="11" spans="1:13" x14ac:dyDescent="0.25">
      <c r="A11" s="390"/>
      <c r="B11" s="393"/>
      <c r="C11" s="393"/>
      <c r="D11" s="393"/>
      <c r="E11" s="393"/>
      <c r="F11" s="395"/>
      <c r="G11" s="393"/>
      <c r="H11" s="393"/>
      <c r="I11" s="393"/>
      <c r="J11" s="393"/>
      <c r="K11" s="393"/>
      <c r="L11" s="393"/>
      <c r="M11" s="382"/>
    </row>
    <row r="12" spans="1:13" ht="27.75" customHeight="1" x14ac:dyDescent="0.25">
      <c r="A12" s="391"/>
      <c r="B12" s="347"/>
      <c r="C12" s="347"/>
      <c r="D12" s="347"/>
      <c r="E12" s="393"/>
      <c r="F12" s="396"/>
      <c r="G12" s="393"/>
      <c r="H12" s="393"/>
      <c r="I12" s="393"/>
      <c r="J12" s="393"/>
      <c r="K12" s="393"/>
      <c r="L12" s="393"/>
      <c r="M12" s="382"/>
    </row>
    <row r="13" spans="1:13" ht="73.5" customHeight="1" x14ac:dyDescent="0.25">
      <c r="A13" s="391"/>
      <c r="B13" s="347"/>
      <c r="C13" s="347"/>
      <c r="D13" s="347"/>
      <c r="E13" s="393"/>
      <c r="F13" s="396"/>
      <c r="G13" s="212" t="s">
        <v>56</v>
      </c>
      <c r="H13" s="212" t="s">
        <v>57</v>
      </c>
      <c r="I13" s="212" t="s">
        <v>70</v>
      </c>
      <c r="J13" s="212" t="s">
        <v>71</v>
      </c>
      <c r="K13" s="212" t="s">
        <v>72</v>
      </c>
      <c r="L13" s="393"/>
      <c r="M13" s="382"/>
    </row>
    <row r="14" spans="1:13" ht="18" customHeight="1" x14ac:dyDescent="0.25">
      <c r="A14" s="226">
        <v>1</v>
      </c>
      <c r="B14" s="80">
        <v>2</v>
      </c>
      <c r="C14" s="80" t="s">
        <v>12</v>
      </c>
      <c r="D14" s="80">
        <v>4</v>
      </c>
      <c r="E14" s="80" t="s">
        <v>13</v>
      </c>
      <c r="F14" s="10" t="s">
        <v>13</v>
      </c>
      <c r="G14" s="80" t="s">
        <v>52</v>
      </c>
      <c r="H14" s="80" t="s">
        <v>14</v>
      </c>
      <c r="I14" s="80" t="s">
        <v>53</v>
      </c>
      <c r="J14" s="80" t="s">
        <v>15</v>
      </c>
      <c r="K14" s="80" t="s">
        <v>16</v>
      </c>
      <c r="L14" s="80" t="s">
        <v>18</v>
      </c>
      <c r="M14" s="126" t="s">
        <v>19</v>
      </c>
    </row>
    <row r="15" spans="1:13" ht="30.75" customHeight="1" x14ac:dyDescent="0.25">
      <c r="A15" s="390" t="s">
        <v>128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82"/>
    </row>
    <row r="16" spans="1:13" s="83" customFormat="1" ht="18.75" x14ac:dyDescent="0.25">
      <c r="A16" s="360" t="s">
        <v>17</v>
      </c>
      <c r="B16" s="371" t="s">
        <v>196</v>
      </c>
      <c r="C16" s="370" t="s">
        <v>73</v>
      </c>
      <c r="D16" s="131" t="s">
        <v>5</v>
      </c>
      <c r="E16" s="132">
        <f>E17+E18</f>
        <v>0</v>
      </c>
      <c r="F16" s="115">
        <f t="shared" ref="F16:F66" si="0">SUM(G16:K16)</f>
        <v>175246.109</v>
      </c>
      <c r="G16" s="132">
        <f>G17+G18</f>
        <v>175246.109</v>
      </c>
      <c r="H16" s="132">
        <f>H17+H18</f>
        <v>0</v>
      </c>
      <c r="I16" s="132">
        <f>I17+I18</f>
        <v>0</v>
      </c>
      <c r="J16" s="132">
        <f>J17+J18</f>
        <v>0</v>
      </c>
      <c r="K16" s="132">
        <f>K17+K18</f>
        <v>0</v>
      </c>
      <c r="L16" s="367"/>
      <c r="M16" s="353"/>
    </row>
    <row r="17" spans="1:14" s="83" customFormat="1" ht="36.75" customHeight="1" x14ac:dyDescent="0.25">
      <c r="A17" s="360"/>
      <c r="B17" s="371"/>
      <c r="C17" s="370"/>
      <c r="D17" s="216" t="s">
        <v>2</v>
      </c>
      <c r="E17" s="134">
        <f>E23</f>
        <v>0</v>
      </c>
      <c r="F17" s="115">
        <f t="shared" si="0"/>
        <v>108583</v>
      </c>
      <c r="G17" s="134">
        <f t="shared" ref="G17:K18" si="1">G19+G21+G23+G25</f>
        <v>108583</v>
      </c>
      <c r="H17" s="134">
        <f t="shared" si="1"/>
        <v>0</v>
      </c>
      <c r="I17" s="134">
        <f t="shared" si="1"/>
        <v>0</v>
      </c>
      <c r="J17" s="134">
        <f t="shared" si="1"/>
        <v>0</v>
      </c>
      <c r="K17" s="134">
        <f t="shared" si="1"/>
        <v>0</v>
      </c>
      <c r="L17" s="367"/>
      <c r="M17" s="353"/>
    </row>
    <row r="18" spans="1:14" s="83" customFormat="1" ht="57" customHeight="1" x14ac:dyDescent="0.25">
      <c r="A18" s="360"/>
      <c r="B18" s="371"/>
      <c r="C18" s="370"/>
      <c r="D18" s="216" t="s">
        <v>76</v>
      </c>
      <c r="E18" s="135">
        <f>E20+E22+E24+E26</f>
        <v>0</v>
      </c>
      <c r="F18" s="115">
        <f t="shared" si="0"/>
        <v>66663.108999999997</v>
      </c>
      <c r="G18" s="135">
        <f t="shared" si="1"/>
        <v>66663.108999999997</v>
      </c>
      <c r="H18" s="135">
        <f t="shared" si="1"/>
        <v>0</v>
      </c>
      <c r="I18" s="135">
        <f t="shared" si="1"/>
        <v>0</v>
      </c>
      <c r="J18" s="135">
        <f t="shared" si="1"/>
        <v>0</v>
      </c>
      <c r="K18" s="135">
        <f t="shared" si="1"/>
        <v>0</v>
      </c>
      <c r="L18" s="367"/>
      <c r="M18" s="353"/>
    </row>
    <row r="19" spans="1:14" s="83" customFormat="1" ht="78" customHeight="1" x14ac:dyDescent="0.25">
      <c r="A19" s="352" t="s">
        <v>42</v>
      </c>
      <c r="B19" s="354" t="s">
        <v>197</v>
      </c>
      <c r="C19" s="355" t="s">
        <v>73</v>
      </c>
      <c r="D19" s="210" t="s">
        <v>2</v>
      </c>
      <c r="E19" s="127">
        <v>0</v>
      </c>
      <c r="F19" s="115">
        <f>SUM(G19:K19)</f>
        <v>41000</v>
      </c>
      <c r="G19" s="127">
        <v>41000</v>
      </c>
      <c r="H19" s="127">
        <v>0</v>
      </c>
      <c r="I19" s="127">
        <v>0</v>
      </c>
      <c r="J19" s="127">
        <v>0</v>
      </c>
      <c r="K19" s="127">
        <v>0</v>
      </c>
      <c r="L19" s="384" t="s">
        <v>250</v>
      </c>
      <c r="M19" s="358" t="s">
        <v>163</v>
      </c>
    </row>
    <row r="20" spans="1:14" s="83" customFormat="1" ht="78" customHeight="1" x14ac:dyDescent="0.25">
      <c r="A20" s="352"/>
      <c r="B20" s="354"/>
      <c r="C20" s="355"/>
      <c r="D20" s="210" t="s">
        <v>76</v>
      </c>
      <c r="E20" s="127">
        <v>0</v>
      </c>
      <c r="F20" s="115">
        <f>SUM(G20:K20)</f>
        <v>24000</v>
      </c>
      <c r="G20" s="127">
        <f>24000</f>
        <v>24000</v>
      </c>
      <c r="H20" s="127">
        <v>0</v>
      </c>
      <c r="I20" s="127">
        <v>0</v>
      </c>
      <c r="J20" s="127">
        <v>0</v>
      </c>
      <c r="K20" s="127">
        <v>0</v>
      </c>
      <c r="L20" s="384"/>
      <c r="M20" s="358"/>
    </row>
    <row r="21" spans="1:14" s="83" customFormat="1" ht="51.75" customHeight="1" x14ac:dyDescent="0.25">
      <c r="A21" s="352" t="s">
        <v>43</v>
      </c>
      <c r="B21" s="354" t="s">
        <v>198</v>
      </c>
      <c r="C21" s="355" t="s">
        <v>73</v>
      </c>
      <c r="D21" s="210" t="s">
        <v>2</v>
      </c>
      <c r="E21" s="127">
        <v>0</v>
      </c>
      <c r="F21" s="115">
        <f>SUM(G21:K21)</f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384" t="s">
        <v>6</v>
      </c>
      <c r="M21" s="358" t="s">
        <v>84</v>
      </c>
    </row>
    <row r="22" spans="1:14" s="83" customFormat="1" ht="65.25" customHeight="1" x14ac:dyDescent="0.25">
      <c r="A22" s="352"/>
      <c r="B22" s="354"/>
      <c r="C22" s="355"/>
      <c r="D22" s="210" t="s">
        <v>76</v>
      </c>
      <c r="E22" s="127">
        <v>0</v>
      </c>
      <c r="F22" s="115">
        <f>SUM(G22:K22)</f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384"/>
      <c r="M22" s="358"/>
    </row>
    <row r="23" spans="1:14" s="83" customFormat="1" ht="45.75" hidden="1" customHeight="1" x14ac:dyDescent="0.25">
      <c r="A23" s="352" t="s">
        <v>44</v>
      </c>
      <c r="B23" s="354" t="s">
        <v>169</v>
      </c>
      <c r="C23" s="355" t="s">
        <v>73</v>
      </c>
      <c r="D23" s="210" t="s">
        <v>2</v>
      </c>
      <c r="E23" s="127">
        <v>0</v>
      </c>
      <c r="F23" s="115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84" t="s">
        <v>6</v>
      </c>
      <c r="M23" s="350" t="s">
        <v>82</v>
      </c>
    </row>
    <row r="24" spans="1:14" s="83" customFormat="1" ht="56.25" hidden="1" x14ac:dyDescent="0.25">
      <c r="A24" s="352"/>
      <c r="B24" s="354"/>
      <c r="C24" s="355"/>
      <c r="D24" s="210" t="s">
        <v>76</v>
      </c>
      <c r="E24" s="127">
        <v>0</v>
      </c>
      <c r="F24" s="115">
        <f>SUM(G24:K24)</f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384"/>
      <c r="M24" s="350"/>
    </row>
    <row r="25" spans="1:14" s="83" customFormat="1" ht="37.5" x14ac:dyDescent="0.25">
      <c r="A25" s="352" t="s">
        <v>44</v>
      </c>
      <c r="B25" s="354" t="s">
        <v>260</v>
      </c>
      <c r="C25" s="355" t="s">
        <v>73</v>
      </c>
      <c r="D25" s="210" t="s">
        <v>2</v>
      </c>
      <c r="E25" s="127">
        <v>0</v>
      </c>
      <c r="F25" s="115">
        <f t="shared" si="0"/>
        <v>67583</v>
      </c>
      <c r="G25" s="127">
        <f>74611-7028</f>
        <v>67583</v>
      </c>
      <c r="H25" s="127">
        <v>0</v>
      </c>
      <c r="I25" s="127">
        <v>0</v>
      </c>
      <c r="J25" s="127">
        <v>0</v>
      </c>
      <c r="K25" s="127">
        <v>0</v>
      </c>
      <c r="L25" s="384" t="s">
        <v>6</v>
      </c>
      <c r="M25" s="350" t="s">
        <v>249</v>
      </c>
    </row>
    <row r="26" spans="1:14" s="83" customFormat="1" ht="56.25" x14ac:dyDescent="0.25">
      <c r="A26" s="352"/>
      <c r="B26" s="354"/>
      <c r="C26" s="355"/>
      <c r="D26" s="210" t="s">
        <v>76</v>
      </c>
      <c r="E26" s="127">
        <v>0</v>
      </c>
      <c r="F26" s="115">
        <f t="shared" si="0"/>
        <v>42663.108999999997</v>
      </c>
      <c r="G26" s="127">
        <f>G28</f>
        <v>42663.108999999997</v>
      </c>
      <c r="H26" s="127">
        <v>0</v>
      </c>
      <c r="I26" s="127">
        <v>0</v>
      </c>
      <c r="J26" s="127">
        <v>0</v>
      </c>
      <c r="K26" s="127">
        <v>0</v>
      </c>
      <c r="L26" s="384"/>
      <c r="M26" s="350"/>
    </row>
    <row r="27" spans="1:14" s="83" customFormat="1" ht="37.5" x14ac:dyDescent="0.25">
      <c r="A27" s="352" t="s">
        <v>188</v>
      </c>
      <c r="B27" s="354" t="s">
        <v>160</v>
      </c>
      <c r="C27" s="355" t="s">
        <v>73</v>
      </c>
      <c r="D27" s="210" t="s">
        <v>2</v>
      </c>
      <c r="E27" s="127">
        <v>0</v>
      </c>
      <c r="F27" s="115">
        <f>SUM(G27:K27)</f>
        <v>67583</v>
      </c>
      <c r="G27" s="127">
        <f>74611-7028</f>
        <v>67583</v>
      </c>
      <c r="H27" s="127">
        <v>0</v>
      </c>
      <c r="I27" s="127">
        <v>0</v>
      </c>
      <c r="J27" s="127">
        <v>0</v>
      </c>
      <c r="K27" s="127">
        <v>0</v>
      </c>
      <c r="L27" s="384" t="s">
        <v>6</v>
      </c>
      <c r="M27" s="350"/>
    </row>
    <row r="28" spans="1:14" s="83" customFormat="1" ht="54.75" customHeight="1" x14ac:dyDescent="0.25">
      <c r="A28" s="352"/>
      <c r="B28" s="354"/>
      <c r="C28" s="355"/>
      <c r="D28" s="210" t="s">
        <v>76</v>
      </c>
      <c r="E28" s="127">
        <v>0</v>
      </c>
      <c r="F28" s="115">
        <f>SUM(G28:K28)</f>
        <v>42663.108999999997</v>
      </c>
      <c r="G28" s="127">
        <f>44768-2104.891</f>
        <v>42663.108999999997</v>
      </c>
      <c r="H28" s="127">
        <v>0</v>
      </c>
      <c r="I28" s="127">
        <v>0</v>
      </c>
      <c r="J28" s="127">
        <v>0</v>
      </c>
      <c r="K28" s="127">
        <v>0</v>
      </c>
      <c r="L28" s="384"/>
      <c r="M28" s="350"/>
    </row>
    <row r="29" spans="1:14" s="83" customFormat="1" ht="18.75" x14ac:dyDescent="0.25">
      <c r="A29" s="360" t="s">
        <v>165</v>
      </c>
      <c r="B29" s="371" t="s">
        <v>170</v>
      </c>
      <c r="C29" s="370" t="s">
        <v>73</v>
      </c>
      <c r="D29" s="131" t="s">
        <v>5</v>
      </c>
      <c r="E29" s="132">
        <f>SUM(E30:E34)-E32</f>
        <v>3173252.1787399994</v>
      </c>
      <c r="F29" s="115">
        <f t="shared" si="0"/>
        <v>7440872.0988499997</v>
      </c>
      <c r="G29" s="132">
        <f>SUM(G30:G34)-G32</f>
        <v>3383827.4979700004</v>
      </c>
      <c r="H29" s="132">
        <f>SUM(H30:H34)-H32</f>
        <v>3345648.9048799998</v>
      </c>
      <c r="I29" s="132">
        <f>SUM(I30:I34)-I32</f>
        <v>252695.58400000018</v>
      </c>
      <c r="J29" s="132">
        <f>SUM(J30:J34)-J32</f>
        <v>192628.05599999992</v>
      </c>
      <c r="K29" s="132">
        <f>SUM(K30:K34)-K32</f>
        <v>266072.05599999992</v>
      </c>
      <c r="L29" s="387"/>
      <c r="M29" s="385"/>
    </row>
    <row r="30" spans="1:14" s="83" customFormat="1" ht="37.5" x14ac:dyDescent="0.25">
      <c r="A30" s="360"/>
      <c r="B30" s="371"/>
      <c r="C30" s="370"/>
      <c r="D30" s="216" t="s">
        <v>2</v>
      </c>
      <c r="E30" s="135">
        <f>E37+E38+E39+E35</f>
        <v>1768502</v>
      </c>
      <c r="F30" s="115">
        <f t="shared" si="0"/>
        <v>4521365.1634200001</v>
      </c>
      <c r="G30" s="135">
        <f>G37+G38+G39+G35+G47+G49</f>
        <v>2138382</v>
      </c>
      <c r="H30" s="135">
        <f t="shared" ref="H30:K30" si="2">H37+H38+H39+H35+H47+H49</f>
        <v>1919117.1634199999</v>
      </c>
      <c r="I30" s="135">
        <f t="shared" si="2"/>
        <v>165285</v>
      </c>
      <c r="J30" s="135">
        <f t="shared" si="2"/>
        <v>126266</v>
      </c>
      <c r="K30" s="135">
        <f t="shared" si="2"/>
        <v>172315</v>
      </c>
      <c r="L30" s="387"/>
      <c r="M30" s="385"/>
      <c r="N30" s="112"/>
    </row>
    <row r="31" spans="1:14" s="83" customFormat="1" ht="56.25" x14ac:dyDescent="0.25">
      <c r="A31" s="360"/>
      <c r="B31" s="371"/>
      <c r="C31" s="370"/>
      <c r="D31" s="216" t="s">
        <v>76</v>
      </c>
      <c r="E31" s="134">
        <f>E40+E36+E44+E45+E46+E48</f>
        <v>1128859.5313599999</v>
      </c>
      <c r="F31" s="115">
        <f t="shared" si="0"/>
        <v>2826387.1201500008</v>
      </c>
      <c r="G31" s="134">
        <f>G40+G36+G44+G45+G46+G48+G50</f>
        <v>1183618.7060500004</v>
      </c>
      <c r="H31" s="134">
        <f t="shared" ref="H31:K31" si="3">H40+H36+H44+H45+H46+H48+H50</f>
        <v>1395346.2381000002</v>
      </c>
      <c r="I31" s="134">
        <f t="shared" si="3"/>
        <v>87374.744000000181</v>
      </c>
      <c r="J31" s="134">
        <f t="shared" si="3"/>
        <v>66326.215999999928</v>
      </c>
      <c r="K31" s="134">
        <f t="shared" si="3"/>
        <v>93721.215999999928</v>
      </c>
      <c r="L31" s="387"/>
      <c r="M31" s="385"/>
    </row>
    <row r="32" spans="1:14" s="83" customFormat="1" ht="57.75" customHeight="1" x14ac:dyDescent="0.25">
      <c r="A32" s="360"/>
      <c r="B32" s="371"/>
      <c r="C32" s="370"/>
      <c r="D32" s="214" t="s">
        <v>113</v>
      </c>
      <c r="E32" s="134">
        <f>E41</f>
        <v>184994.723</v>
      </c>
      <c r="F32" s="115">
        <f t="shared" si="0"/>
        <v>518325.82461999997</v>
      </c>
      <c r="G32" s="134">
        <f t="shared" ref="G32:K34" si="4">G41</f>
        <v>260556.948</v>
      </c>
      <c r="H32" s="134">
        <f t="shared" si="4"/>
        <v>255687.27662000005</v>
      </c>
      <c r="I32" s="134">
        <f t="shared" si="4"/>
        <v>925.39999999997667</v>
      </c>
      <c r="J32" s="134">
        <f t="shared" si="4"/>
        <v>578.09999999997672</v>
      </c>
      <c r="K32" s="134">
        <f t="shared" si="4"/>
        <v>578.09999999997672</v>
      </c>
      <c r="L32" s="387"/>
      <c r="M32" s="385"/>
    </row>
    <row r="33" spans="1:14" s="83" customFormat="1" ht="75" x14ac:dyDescent="0.25">
      <c r="A33" s="360"/>
      <c r="B33" s="371"/>
      <c r="C33" s="370"/>
      <c r="D33" s="214" t="s">
        <v>24</v>
      </c>
      <c r="E33" s="135">
        <f>E42</f>
        <v>56075.205379999999</v>
      </c>
      <c r="F33" s="115">
        <f t="shared" si="0"/>
        <v>63423.03727999999</v>
      </c>
      <c r="G33" s="135">
        <f t="shared" si="4"/>
        <v>40434.160920000002</v>
      </c>
      <c r="H33" s="135">
        <f t="shared" si="4"/>
        <v>22988.876359999991</v>
      </c>
      <c r="I33" s="135">
        <f t="shared" si="4"/>
        <v>0</v>
      </c>
      <c r="J33" s="135">
        <f t="shared" si="4"/>
        <v>0</v>
      </c>
      <c r="K33" s="135">
        <f t="shared" si="4"/>
        <v>0</v>
      </c>
      <c r="L33" s="387"/>
      <c r="M33" s="385"/>
    </row>
    <row r="34" spans="1:14" s="83" customFormat="1" ht="56.25" x14ac:dyDescent="0.25">
      <c r="A34" s="360"/>
      <c r="B34" s="371"/>
      <c r="C34" s="370"/>
      <c r="D34" s="214" t="s">
        <v>31</v>
      </c>
      <c r="E34" s="135">
        <f>E43</f>
        <v>219815.44200000001</v>
      </c>
      <c r="F34" s="115">
        <f t="shared" si="0"/>
        <v>29696.778000000002</v>
      </c>
      <c r="G34" s="135">
        <f t="shared" si="4"/>
        <v>21392.631000000001</v>
      </c>
      <c r="H34" s="135">
        <f t="shared" si="4"/>
        <v>8196.6269999999986</v>
      </c>
      <c r="I34" s="135">
        <f t="shared" si="4"/>
        <v>35.840000000000003</v>
      </c>
      <c r="J34" s="135">
        <f t="shared" si="4"/>
        <v>35.840000000000003</v>
      </c>
      <c r="K34" s="135">
        <f t="shared" si="4"/>
        <v>35.840000000000003</v>
      </c>
      <c r="L34" s="387"/>
      <c r="M34" s="385"/>
    </row>
    <row r="35" spans="1:14" s="83" customFormat="1" ht="98.25" customHeight="1" x14ac:dyDescent="0.25">
      <c r="A35" s="352" t="s">
        <v>46</v>
      </c>
      <c r="B35" s="354" t="s">
        <v>199</v>
      </c>
      <c r="C35" s="355" t="s">
        <v>73</v>
      </c>
      <c r="D35" s="210" t="s">
        <v>2</v>
      </c>
      <c r="E35" s="127">
        <v>0</v>
      </c>
      <c r="F35" s="115">
        <f>SUM(G35:K35)</f>
        <v>4116.3299799999995</v>
      </c>
      <c r="G35" s="127">
        <v>0</v>
      </c>
      <c r="H35" s="127">
        <f>2029.59998+234.39+1168+684.34</f>
        <v>4116.3299799999995</v>
      </c>
      <c r="I35" s="127">
        <v>0</v>
      </c>
      <c r="J35" s="127">
        <v>0</v>
      </c>
      <c r="K35" s="127">
        <v>0</v>
      </c>
      <c r="L35" s="384" t="s">
        <v>6</v>
      </c>
      <c r="M35" s="386" t="s">
        <v>255</v>
      </c>
    </row>
    <row r="36" spans="1:14" s="83" customFormat="1" ht="117.75" customHeight="1" x14ac:dyDescent="0.25">
      <c r="A36" s="352"/>
      <c r="B36" s="354"/>
      <c r="C36" s="355"/>
      <c r="D36" s="210" t="s">
        <v>76</v>
      </c>
      <c r="E36" s="127">
        <v>0</v>
      </c>
      <c r="F36" s="115">
        <f>SUM(G36:K36)</f>
        <v>202120.32337000003</v>
      </c>
      <c r="G36" s="127">
        <f>119416+14000-35243.4829-14000-84172.5171</f>
        <v>0</v>
      </c>
      <c r="H36" s="127">
        <f>44781+74635.34-503.21118+503.21118+46184.56197+26805.90987-338.48982+9686.34568+3262.7655-3168.62627+271.51644</f>
        <v>202120.32337000003</v>
      </c>
      <c r="I36" s="127">
        <v>0</v>
      </c>
      <c r="J36" s="127">
        <v>0</v>
      </c>
      <c r="K36" s="127">
        <v>0</v>
      </c>
      <c r="L36" s="384"/>
      <c r="M36" s="386"/>
      <c r="N36" s="84"/>
    </row>
    <row r="37" spans="1:14" s="83" customFormat="1" ht="177.75" customHeight="1" x14ac:dyDescent="0.25">
      <c r="A37" s="220" t="s">
        <v>47</v>
      </c>
      <c r="B37" s="221" t="s">
        <v>200</v>
      </c>
      <c r="C37" s="222" t="s">
        <v>271</v>
      </c>
      <c r="D37" s="212" t="s">
        <v>2</v>
      </c>
      <c r="E37" s="128">
        <v>1540593</v>
      </c>
      <c r="F37" s="115">
        <f>SUM(G37:K37)</f>
        <v>3453495</v>
      </c>
      <c r="G37" s="129">
        <f>1883026+29927</f>
        <v>1912953</v>
      </c>
      <c r="H37" s="128">
        <f>1787598+69261-319828+3511</f>
        <v>1540542</v>
      </c>
      <c r="I37" s="128">
        <f>1787598+69261-1856859</f>
        <v>0</v>
      </c>
      <c r="J37" s="128">
        <f>1787598+69261-1856859</f>
        <v>0</v>
      </c>
      <c r="K37" s="128">
        <f>1787598+69261-1856859</f>
        <v>0</v>
      </c>
      <c r="L37" s="213" t="s">
        <v>6</v>
      </c>
      <c r="M37" s="215" t="s">
        <v>62</v>
      </c>
    </row>
    <row r="38" spans="1:14" s="83" customFormat="1" ht="138" customHeight="1" x14ac:dyDescent="0.25">
      <c r="A38" s="220" t="s">
        <v>48</v>
      </c>
      <c r="B38" s="221" t="s">
        <v>201</v>
      </c>
      <c r="C38" s="222" t="s">
        <v>271</v>
      </c>
      <c r="D38" s="222" t="s">
        <v>2</v>
      </c>
      <c r="E38" s="128">
        <v>102862</v>
      </c>
      <c r="F38" s="115">
        <f t="shared" si="0"/>
        <v>197090</v>
      </c>
      <c r="G38" s="128">
        <f>105426-9753</f>
        <v>95673</v>
      </c>
      <c r="H38" s="128">
        <f>99303-783+2897</f>
        <v>101417</v>
      </c>
      <c r="I38" s="128">
        <f>99303-783-98520</f>
        <v>0</v>
      </c>
      <c r="J38" s="128">
        <f>99303-783-98520</f>
        <v>0</v>
      </c>
      <c r="K38" s="128">
        <f>99303-783-98520</f>
        <v>0</v>
      </c>
      <c r="L38" s="211" t="s">
        <v>6</v>
      </c>
      <c r="M38" s="215" t="s">
        <v>60</v>
      </c>
    </row>
    <row r="39" spans="1:14" s="83" customFormat="1" ht="138" customHeight="1" x14ac:dyDescent="0.25">
      <c r="A39" s="223" t="s">
        <v>49</v>
      </c>
      <c r="B39" s="130" t="s">
        <v>202</v>
      </c>
      <c r="C39" s="224" t="s">
        <v>73</v>
      </c>
      <c r="D39" s="222" t="s">
        <v>2</v>
      </c>
      <c r="E39" s="129">
        <v>125047</v>
      </c>
      <c r="F39" s="115">
        <f t="shared" si="0"/>
        <v>625609</v>
      </c>
      <c r="G39" s="129">
        <f>159998+6210-26667-9785</f>
        <v>129756</v>
      </c>
      <c r="H39" s="129">
        <f>125310+70-82-8243</f>
        <v>117055</v>
      </c>
      <c r="I39" s="129">
        <f>125310+956</f>
        <v>126266</v>
      </c>
      <c r="J39" s="129">
        <f>125310+956</f>
        <v>126266</v>
      </c>
      <c r="K39" s="129">
        <f>125310+956</f>
        <v>126266</v>
      </c>
      <c r="L39" s="218" t="s">
        <v>21</v>
      </c>
      <c r="M39" s="215" t="s">
        <v>33</v>
      </c>
    </row>
    <row r="40" spans="1:14" s="83" customFormat="1" ht="56.25" x14ac:dyDescent="0.25">
      <c r="A40" s="351" t="s">
        <v>136</v>
      </c>
      <c r="B40" s="356" t="s">
        <v>203</v>
      </c>
      <c r="C40" s="359" t="s">
        <v>73</v>
      </c>
      <c r="D40" s="212" t="s">
        <v>76</v>
      </c>
      <c r="E40" s="129">
        <f>943864.80836+E41</f>
        <v>1128859.5313599999</v>
      </c>
      <c r="F40" s="115">
        <f>SUM(G40:K40)</f>
        <v>2069488.4501300007</v>
      </c>
      <c r="G40" s="129">
        <f>947401.169+G41+5699+50000+17209-116388-23200-36148.9-13851.1-6529.767-71283.907+30500-1054.33328-1404.37335-30.175-169.01504-1000-640.58717-94.715-156.09-2808.19584-15000+1527.29+2821.39-94.026-142.206-239.625+8657.366+142.206</f>
        <v>1034279.3533200003</v>
      </c>
      <c r="H40" s="129">
        <f>1216028.144+13338-11044.922-1646.643+32486+24857.038-4076.5925-3730.791+282.86995+641.68771+5840.64238-1236.6+135+300-161719.96016-4804.226-1111.038-27758.66416-2731.29011-3866.099-11.63-6761.56394-4653.058-1912.919-7925.25779-2490.254-5064.841-6323.94966-3066.729-3833.342-3702.734-7320.924-5583.22235-6256.289-5210.969-1900.338-2681.397-25781.57756</f>
        <v>969701.56081000029</v>
      </c>
      <c r="I40" s="129">
        <f>1166649.289+13338+32486-86.83357+420-1191146.52543+63.482+347.3</f>
        <v>22070.712000000167</v>
      </c>
      <c r="J40" s="129">
        <f>1209663.01+13338+32486+420-1234252.08+63.482</f>
        <v>21718.411999999935</v>
      </c>
      <c r="K40" s="129">
        <f>1209663.01+13338+32486-1233832.08+63.482</f>
        <v>21718.411999999935</v>
      </c>
      <c r="L40" s="347" t="s">
        <v>114</v>
      </c>
      <c r="M40" s="358" t="s">
        <v>127</v>
      </c>
    </row>
    <row r="41" spans="1:14" s="83" customFormat="1" ht="58.5" customHeight="1" x14ac:dyDescent="0.25">
      <c r="A41" s="351"/>
      <c r="B41" s="356"/>
      <c r="C41" s="359"/>
      <c r="D41" s="212" t="s">
        <v>113</v>
      </c>
      <c r="E41" s="129">
        <v>184994.723</v>
      </c>
      <c r="F41" s="115">
        <f t="shared" si="0"/>
        <v>518325.82461999997</v>
      </c>
      <c r="G41" s="129">
        <f>436128+6788-10236.233-30500-166507.684+14604.401+10280.464</f>
        <v>260556.948</v>
      </c>
      <c r="H41" s="129">
        <f>402179.767+32486-600-1236.6-130624.82622-27758.66416-18758.4</f>
        <v>255687.27662000005</v>
      </c>
      <c r="I41" s="129">
        <f>402179.767+32486-434087.667+347.3</f>
        <v>925.39999999997667</v>
      </c>
      <c r="J41" s="129">
        <f>402179.767+32486-434087.667</f>
        <v>578.09999999997672</v>
      </c>
      <c r="K41" s="129">
        <f>402179.767+32486-434087.667</f>
        <v>578.09999999997672</v>
      </c>
      <c r="L41" s="347"/>
      <c r="M41" s="358"/>
      <c r="N41" s="83" t="s">
        <v>304</v>
      </c>
    </row>
    <row r="42" spans="1:14" s="83" customFormat="1" ht="75" x14ac:dyDescent="0.25">
      <c r="A42" s="351"/>
      <c r="B42" s="356"/>
      <c r="C42" s="359"/>
      <c r="D42" s="212" t="s">
        <v>24</v>
      </c>
      <c r="E42" s="129">
        <v>56075.205379999999</v>
      </c>
      <c r="F42" s="115">
        <f t="shared" si="0"/>
        <v>63423.03727999999</v>
      </c>
      <c r="G42" s="129">
        <f>74036.82228+8218.296-7665.594+3945.092-23915.87172-14203.08419+18.50055</f>
        <v>40434.160920000002</v>
      </c>
      <c r="H42" s="129">
        <f>74036.82228+8218.296+2815.332-8194.18243-8828.50786-44211.69663-847.187</f>
        <v>22988.876359999991</v>
      </c>
      <c r="I42" s="129">
        <f>74036.82228+8218.296+6224.332-88479.45028</f>
        <v>0</v>
      </c>
      <c r="J42" s="129">
        <f>74036.82228+8218.296+6560.332-88815.45028</f>
        <v>0</v>
      </c>
      <c r="K42" s="129">
        <f>74036.82228+8218.296+6560.332-88815.45028</f>
        <v>0</v>
      </c>
      <c r="L42" s="347"/>
      <c r="M42" s="358"/>
    </row>
    <row r="43" spans="1:14" s="83" customFormat="1" ht="56.25" x14ac:dyDescent="0.25">
      <c r="A43" s="351"/>
      <c r="B43" s="356"/>
      <c r="C43" s="359"/>
      <c r="D43" s="212" t="s">
        <v>31</v>
      </c>
      <c r="E43" s="129">
        <v>219815.44200000001</v>
      </c>
      <c r="F43" s="115">
        <f t="shared" ref="F43:F51" si="5">SUM(G43:K43)</f>
        <v>29696.778000000002</v>
      </c>
      <c r="G43" s="129">
        <v>21392.631000000001</v>
      </c>
      <c r="H43" s="129">
        <f>21498.063-107.217-13194.219</f>
        <v>8196.6269999999986</v>
      </c>
      <c r="I43" s="129">
        <v>35.840000000000003</v>
      </c>
      <c r="J43" s="129">
        <v>35.840000000000003</v>
      </c>
      <c r="K43" s="129">
        <v>35.840000000000003</v>
      </c>
      <c r="L43" s="347"/>
      <c r="M43" s="358"/>
    </row>
    <row r="44" spans="1:14" s="83" customFormat="1" ht="288.75" customHeight="1" x14ac:dyDescent="0.25">
      <c r="A44" s="223" t="s">
        <v>137</v>
      </c>
      <c r="B44" s="130" t="s">
        <v>204</v>
      </c>
      <c r="C44" s="224" t="s">
        <v>73</v>
      </c>
      <c r="D44" s="222" t="s">
        <v>76</v>
      </c>
      <c r="E44" s="129">
        <v>0</v>
      </c>
      <c r="F44" s="115">
        <f t="shared" si="5"/>
        <v>96195.042339999985</v>
      </c>
      <c r="G44" s="129">
        <f>13851.1+16000-16000+17000+6500+6172.5171-6500-2500-1340</f>
        <v>33183.617099999996</v>
      </c>
      <c r="H44" s="129">
        <f>14756.6+259.96959+14000-198+84257.86769-46184.56197-169.02637-1055.624-974.93131-1680.86839</f>
        <v>63011.425239999997</v>
      </c>
      <c r="I44" s="129">
        <f>50000-50000</f>
        <v>0</v>
      </c>
      <c r="J44" s="129">
        <f>50000-50000</f>
        <v>0</v>
      </c>
      <c r="K44" s="129">
        <f>50000-50000</f>
        <v>0</v>
      </c>
      <c r="L44" s="218" t="s">
        <v>6</v>
      </c>
      <c r="M44" s="215" t="s">
        <v>246</v>
      </c>
    </row>
    <row r="45" spans="1:14" s="83" customFormat="1" ht="65.25" customHeight="1" x14ac:dyDescent="0.25">
      <c r="A45" s="223" t="s">
        <v>138</v>
      </c>
      <c r="B45" s="130" t="s">
        <v>205</v>
      </c>
      <c r="C45" s="224" t="s">
        <v>73</v>
      </c>
      <c r="D45" s="222" t="s">
        <v>76</v>
      </c>
      <c r="E45" s="129">
        <v>0</v>
      </c>
      <c r="F45" s="115">
        <f t="shared" si="5"/>
        <v>222652.77163000003</v>
      </c>
      <c r="G45" s="129">
        <f>116388-90.05837-142.206</f>
        <v>116155.73563</v>
      </c>
      <c r="H45" s="129">
        <f>116070+2190+824.195-19473.024-1523.735</f>
        <v>98087.436000000002</v>
      </c>
      <c r="I45" s="129">
        <f>116070-113880+613.2</f>
        <v>2803.2</v>
      </c>
      <c r="J45" s="129">
        <f>116070-113880+613.2</f>
        <v>2803.2</v>
      </c>
      <c r="K45" s="129">
        <f>116070-113880+613.2</f>
        <v>2803.2</v>
      </c>
      <c r="L45" s="218" t="s">
        <v>6</v>
      </c>
      <c r="M45" s="215" t="s">
        <v>139</v>
      </c>
    </row>
    <row r="46" spans="1:14" s="83" customFormat="1" ht="56.25" x14ac:dyDescent="0.25">
      <c r="A46" s="223" t="s">
        <v>161</v>
      </c>
      <c r="B46" s="130" t="s">
        <v>206</v>
      </c>
      <c r="C46" s="224" t="s">
        <v>73</v>
      </c>
      <c r="D46" s="222" t="s">
        <v>76</v>
      </c>
      <c r="E46" s="129">
        <v>0</v>
      </c>
      <c r="F46" s="115">
        <f t="shared" si="5"/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218" t="s">
        <v>6</v>
      </c>
      <c r="M46" s="215" t="s">
        <v>98</v>
      </c>
    </row>
    <row r="47" spans="1:14" s="83" customFormat="1" ht="59.25" customHeight="1" x14ac:dyDescent="0.25">
      <c r="A47" s="362" t="s">
        <v>167</v>
      </c>
      <c r="B47" s="361" t="s">
        <v>207</v>
      </c>
      <c r="C47" s="363" t="s">
        <v>168</v>
      </c>
      <c r="D47" s="222" t="s">
        <v>2</v>
      </c>
      <c r="E47" s="129">
        <v>0</v>
      </c>
      <c r="F47" s="115">
        <f t="shared" si="5"/>
        <v>241054.83344000002</v>
      </c>
      <c r="G47" s="129">
        <v>0</v>
      </c>
      <c r="H47" s="129">
        <f>90649+49666.7-2029.59998-234.39-1168-686.4-476-978.47658+21244</f>
        <v>155986.83344000002</v>
      </c>
      <c r="I47" s="236">
        <f>60051+735-2391+906-172-6229-13881</f>
        <v>39019</v>
      </c>
      <c r="J47" s="236">
        <f>46049-46049</f>
        <v>0</v>
      </c>
      <c r="K47" s="129">
        <v>46049</v>
      </c>
      <c r="L47" s="364" t="s">
        <v>6</v>
      </c>
      <c r="M47" s="358" t="s">
        <v>166</v>
      </c>
    </row>
    <row r="48" spans="1:14" s="83" customFormat="1" ht="59.25" customHeight="1" x14ac:dyDescent="0.25">
      <c r="A48" s="362"/>
      <c r="B48" s="361"/>
      <c r="C48" s="363"/>
      <c r="D48" s="222" t="s">
        <v>76</v>
      </c>
      <c r="E48" s="129">
        <v>0</v>
      </c>
      <c r="F48" s="115">
        <f t="shared" si="5"/>
        <v>235930.53268</v>
      </c>
      <c r="G48" s="129">
        <v>0</v>
      </c>
      <c r="H48" s="129">
        <f>9968+22408.8404+9222.575+34008.9942+466-3113.425-9686.34568-849.14624</f>
        <v>62425.492679999996</v>
      </c>
      <c r="I48" s="236">
        <f>24625+39427.872+218.97336+437.24511-2422+539+129.75489-455.01336</f>
        <v>62500.832000000009</v>
      </c>
      <c r="J48" s="236">
        <f>27395+41804.604-16070.5618-11324.4382</f>
        <v>41804.603999999992</v>
      </c>
      <c r="K48" s="129">
        <f>27395+41804.604</f>
        <v>69199.603999999992</v>
      </c>
      <c r="L48" s="364"/>
      <c r="M48" s="358"/>
      <c r="N48" s="83" t="s">
        <v>293</v>
      </c>
    </row>
    <row r="49" spans="1:13" s="83" customFormat="1" ht="42" customHeight="1" x14ac:dyDescent="0.25">
      <c r="A49" s="352" t="s">
        <v>267</v>
      </c>
      <c r="B49" s="354" t="s">
        <v>268</v>
      </c>
      <c r="C49" s="355" t="s">
        <v>269</v>
      </c>
      <c r="D49" s="210" t="s">
        <v>2</v>
      </c>
      <c r="E49" s="127">
        <v>34122</v>
      </c>
      <c r="F49" s="115">
        <f t="shared" ref="F49:F50" si="6">SUM(G49:K49)</f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357" t="s">
        <v>6</v>
      </c>
      <c r="M49" s="350" t="s">
        <v>59</v>
      </c>
    </row>
    <row r="50" spans="1:13" s="83" customFormat="1" ht="56.25" x14ac:dyDescent="0.25">
      <c r="A50" s="352"/>
      <c r="B50" s="354"/>
      <c r="C50" s="355"/>
      <c r="D50" s="210" t="s">
        <v>76</v>
      </c>
      <c r="E50" s="127">
        <v>20473</v>
      </c>
      <c r="F50" s="115">
        <f t="shared" si="6"/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357"/>
      <c r="M50" s="350"/>
    </row>
    <row r="51" spans="1:13" s="83" customFormat="1" ht="18.75" x14ac:dyDescent="0.25">
      <c r="A51" s="360" t="s">
        <v>12</v>
      </c>
      <c r="B51" s="371" t="s">
        <v>251</v>
      </c>
      <c r="C51" s="370" t="s">
        <v>73</v>
      </c>
      <c r="D51" s="131" t="s">
        <v>5</v>
      </c>
      <c r="E51" s="132">
        <f>E53+E54+E52</f>
        <v>54595</v>
      </c>
      <c r="F51" s="115">
        <f t="shared" si="5"/>
        <v>373719.19808</v>
      </c>
      <c r="G51" s="132">
        <f>G53+G54+G52</f>
        <v>65614.223000000013</v>
      </c>
      <c r="H51" s="132">
        <f>H53+H54+H52</f>
        <v>81953.975080000004</v>
      </c>
      <c r="I51" s="132">
        <f>I53+I54+I52</f>
        <v>75045</v>
      </c>
      <c r="J51" s="132">
        <f>J53+J54+J52</f>
        <v>75553</v>
      </c>
      <c r="K51" s="132">
        <f>K53+K54+K52</f>
        <v>75553</v>
      </c>
      <c r="L51" s="367"/>
      <c r="M51" s="353"/>
    </row>
    <row r="52" spans="1:13" s="83" customFormat="1" ht="37.5" x14ac:dyDescent="0.25">
      <c r="A52" s="360"/>
      <c r="B52" s="371"/>
      <c r="C52" s="370"/>
      <c r="D52" s="216" t="s">
        <v>65</v>
      </c>
      <c r="E52" s="134">
        <f>E57</f>
        <v>0</v>
      </c>
      <c r="F52" s="115">
        <f t="shared" si="0"/>
        <v>15732.183400000002</v>
      </c>
      <c r="G52" s="134">
        <f>G57</f>
        <v>9253.4785700000011</v>
      </c>
      <c r="H52" s="134">
        <f>H57</f>
        <v>6478.7048299999997</v>
      </c>
      <c r="I52" s="134">
        <f>I57</f>
        <v>0</v>
      </c>
      <c r="J52" s="134">
        <f>J57</f>
        <v>0</v>
      </c>
      <c r="K52" s="134">
        <f>K57</f>
        <v>0</v>
      </c>
      <c r="L52" s="367"/>
      <c r="M52" s="353"/>
    </row>
    <row r="53" spans="1:13" s="83" customFormat="1" ht="36.75" customHeight="1" x14ac:dyDescent="0.25">
      <c r="A53" s="360"/>
      <c r="B53" s="371"/>
      <c r="C53" s="370"/>
      <c r="D53" s="216" t="s">
        <v>2</v>
      </c>
      <c r="E53" s="134">
        <f>E55+E58</f>
        <v>34122</v>
      </c>
      <c r="F53" s="115">
        <f t="shared" si="0"/>
        <v>225998.81659999999</v>
      </c>
      <c r="G53" s="134">
        <f t="shared" ref="G53:K54" si="7">G55+G58</f>
        <v>36286.521430000001</v>
      </c>
      <c r="H53" s="134">
        <f t="shared" si="7"/>
        <v>47914.295169999998</v>
      </c>
      <c r="I53" s="134">
        <f t="shared" si="7"/>
        <v>47054</v>
      </c>
      <c r="J53" s="134">
        <f t="shared" si="7"/>
        <v>47372</v>
      </c>
      <c r="K53" s="134">
        <f t="shared" si="7"/>
        <v>47372</v>
      </c>
      <c r="L53" s="367"/>
      <c r="M53" s="353"/>
    </row>
    <row r="54" spans="1:13" s="83" customFormat="1" ht="57" customHeight="1" x14ac:dyDescent="0.25">
      <c r="A54" s="360"/>
      <c r="B54" s="371"/>
      <c r="C54" s="370"/>
      <c r="D54" s="216" t="s">
        <v>76</v>
      </c>
      <c r="E54" s="135">
        <f>E56+E59</f>
        <v>20473</v>
      </c>
      <c r="F54" s="115">
        <f t="shared" si="0"/>
        <v>131988.19808</v>
      </c>
      <c r="G54" s="135">
        <f t="shared" si="7"/>
        <v>20074.223000000002</v>
      </c>
      <c r="H54" s="135">
        <f t="shared" si="7"/>
        <v>27560.97508</v>
      </c>
      <c r="I54" s="135">
        <f t="shared" si="7"/>
        <v>27991</v>
      </c>
      <c r="J54" s="135">
        <f t="shared" si="7"/>
        <v>28181</v>
      </c>
      <c r="K54" s="135">
        <f t="shared" si="7"/>
        <v>28181</v>
      </c>
      <c r="L54" s="367"/>
      <c r="M54" s="353"/>
    </row>
    <row r="55" spans="1:13" s="83" customFormat="1" ht="42" customHeight="1" x14ac:dyDescent="0.25">
      <c r="A55" s="352" t="s">
        <v>50</v>
      </c>
      <c r="B55" s="354" t="s">
        <v>208</v>
      </c>
      <c r="C55" s="355" t="s">
        <v>73</v>
      </c>
      <c r="D55" s="210" t="s">
        <v>2</v>
      </c>
      <c r="E55" s="127">
        <v>34122</v>
      </c>
      <c r="F55" s="115">
        <f t="shared" si="0"/>
        <v>220754</v>
      </c>
      <c r="G55" s="127">
        <f>32187+3672-2657</f>
        <v>33202</v>
      </c>
      <c r="H55" s="127">
        <f>38507+5995+1252</f>
        <v>45754</v>
      </c>
      <c r="I55" s="344">
        <f>47372-318</f>
        <v>47054</v>
      </c>
      <c r="J55" s="127">
        <v>47372</v>
      </c>
      <c r="K55" s="127">
        <v>47372</v>
      </c>
      <c r="L55" s="357" t="s">
        <v>6</v>
      </c>
      <c r="M55" s="350" t="s">
        <v>59</v>
      </c>
    </row>
    <row r="56" spans="1:13" s="83" customFormat="1" ht="56.25" x14ac:dyDescent="0.25">
      <c r="A56" s="352"/>
      <c r="B56" s="354"/>
      <c r="C56" s="355"/>
      <c r="D56" s="210" t="s">
        <v>76</v>
      </c>
      <c r="E56" s="127">
        <v>20473</v>
      </c>
      <c r="F56" s="115">
        <f t="shared" si="0"/>
        <v>131726</v>
      </c>
      <c r="G56" s="127">
        <f>19312+2203-1595</f>
        <v>19920</v>
      </c>
      <c r="H56" s="127">
        <f>23103+3599+751</f>
        <v>27453</v>
      </c>
      <c r="I56" s="344">
        <f>28181-190</f>
        <v>27991</v>
      </c>
      <c r="J56" s="127">
        <v>28181</v>
      </c>
      <c r="K56" s="127">
        <v>28181</v>
      </c>
      <c r="L56" s="357"/>
      <c r="M56" s="350"/>
    </row>
    <row r="57" spans="1:13" s="83" customFormat="1" ht="93" customHeight="1" x14ac:dyDescent="0.25">
      <c r="A57" s="352" t="s">
        <v>51</v>
      </c>
      <c r="B57" s="354" t="s">
        <v>209</v>
      </c>
      <c r="C57" s="355" t="s">
        <v>73</v>
      </c>
      <c r="D57" s="210" t="s">
        <v>65</v>
      </c>
      <c r="E57" s="127">
        <v>0</v>
      </c>
      <c r="F57" s="115">
        <f t="shared" si="0"/>
        <v>15732.183400000002</v>
      </c>
      <c r="G57" s="127">
        <f>9253.35+0.12857</f>
        <v>9253.4785700000011</v>
      </c>
      <c r="H57" s="127">
        <f>6478.88641-0.18158</f>
        <v>6478.7048299999997</v>
      </c>
      <c r="I57" s="127">
        <v>0</v>
      </c>
      <c r="J57" s="127">
        <v>0</v>
      </c>
      <c r="K57" s="127">
        <v>0</v>
      </c>
      <c r="L57" s="219"/>
      <c r="M57" s="350" t="s">
        <v>186</v>
      </c>
    </row>
    <row r="58" spans="1:13" s="83" customFormat="1" ht="93" customHeight="1" x14ac:dyDescent="0.25">
      <c r="A58" s="352"/>
      <c r="B58" s="354"/>
      <c r="C58" s="355"/>
      <c r="D58" s="210" t="s">
        <v>2</v>
      </c>
      <c r="E58" s="127">
        <v>0</v>
      </c>
      <c r="F58" s="115">
        <f>SUM(G58:K58)</f>
        <v>5244.8166000000001</v>
      </c>
      <c r="G58" s="127">
        <f>3084.45+0.07143</f>
        <v>3084.5214299999998</v>
      </c>
      <c r="H58" s="127">
        <f>2160.11359+0.18158</f>
        <v>2160.2951699999999</v>
      </c>
      <c r="I58" s="127">
        <v>0</v>
      </c>
      <c r="J58" s="127">
        <v>0</v>
      </c>
      <c r="K58" s="127">
        <v>0</v>
      </c>
      <c r="L58" s="357" t="s">
        <v>6</v>
      </c>
      <c r="M58" s="350"/>
    </row>
    <row r="59" spans="1:13" s="83" customFormat="1" ht="93" customHeight="1" x14ac:dyDescent="0.25">
      <c r="A59" s="352"/>
      <c r="B59" s="354"/>
      <c r="C59" s="355"/>
      <c r="D59" s="210" t="s">
        <v>76</v>
      </c>
      <c r="E59" s="127">
        <v>0</v>
      </c>
      <c r="F59" s="115">
        <f>SUM(G59:K59)</f>
        <v>262.19808</v>
      </c>
      <c r="G59" s="127">
        <v>154.22300000000001</v>
      </c>
      <c r="H59" s="127">
        <f>107.97476+0.00032</f>
        <v>107.97508000000001</v>
      </c>
      <c r="I59" s="127">
        <v>0</v>
      </c>
      <c r="J59" s="127">
        <v>0</v>
      </c>
      <c r="K59" s="127">
        <v>0</v>
      </c>
      <c r="L59" s="357"/>
      <c r="M59" s="350"/>
    </row>
    <row r="60" spans="1:13" ht="18.75" x14ac:dyDescent="0.3">
      <c r="A60" s="368" t="s">
        <v>26</v>
      </c>
      <c r="B60" s="369"/>
      <c r="C60" s="369"/>
      <c r="D60" s="369"/>
      <c r="E60" s="96">
        <f>E62+E63+E65+E66+E61</f>
        <v>3227847.1787399999</v>
      </c>
      <c r="F60" s="145">
        <f>SUM(G60:K60)</f>
        <v>7989837.4059300004</v>
      </c>
      <c r="G60" s="96">
        <f>G62+G63+G65+G66+G61</f>
        <v>3624687.8299700003</v>
      </c>
      <c r="H60" s="96">
        <f>H62+H63+H65+H66+H61</f>
        <v>3427602.87996</v>
      </c>
      <c r="I60" s="96">
        <f>I62+I63+I65+I66+I61</f>
        <v>327740.58400000021</v>
      </c>
      <c r="J60" s="96">
        <f>J62+J63+J65+J66+J61</f>
        <v>268181.05599999992</v>
      </c>
      <c r="K60" s="96">
        <f>K62+K63+K65+K66+K61</f>
        <v>341625.05599999992</v>
      </c>
      <c r="L60" s="15"/>
      <c r="M60" s="16"/>
    </row>
    <row r="61" spans="1:13" ht="18.75" x14ac:dyDescent="0.3">
      <c r="A61" s="348" t="s">
        <v>65</v>
      </c>
      <c r="B61" s="349"/>
      <c r="C61" s="349"/>
      <c r="D61" s="349"/>
      <c r="E61" s="97">
        <f>E52</f>
        <v>0</v>
      </c>
      <c r="F61" s="145">
        <f t="shared" si="0"/>
        <v>15732.183400000002</v>
      </c>
      <c r="G61" s="97">
        <f>G52</f>
        <v>9253.4785700000011</v>
      </c>
      <c r="H61" s="97">
        <f>H52</f>
        <v>6478.7048299999997</v>
      </c>
      <c r="I61" s="97">
        <f>I52</f>
        <v>0</v>
      </c>
      <c r="J61" s="97">
        <f>J52</f>
        <v>0</v>
      </c>
      <c r="K61" s="97">
        <f>K52</f>
        <v>0</v>
      </c>
      <c r="L61" s="17"/>
      <c r="M61" s="51"/>
    </row>
    <row r="62" spans="1:13" ht="18.75" x14ac:dyDescent="0.3">
      <c r="A62" s="348" t="s">
        <v>2</v>
      </c>
      <c r="B62" s="349"/>
      <c r="C62" s="349"/>
      <c r="D62" s="349"/>
      <c r="E62" s="97">
        <f>E17+E30+E53</f>
        <v>1802624</v>
      </c>
      <c r="F62" s="145">
        <f t="shared" si="0"/>
        <v>4855946.9800199997</v>
      </c>
      <c r="G62" s="97">
        <f t="shared" ref="G62:K63" si="8">G17+G30+G53</f>
        <v>2283251.5214300002</v>
      </c>
      <c r="H62" s="97">
        <f t="shared" si="8"/>
        <v>1967031.4585899999</v>
      </c>
      <c r="I62" s="97">
        <f t="shared" si="8"/>
        <v>212339</v>
      </c>
      <c r="J62" s="97">
        <f t="shared" si="8"/>
        <v>173638</v>
      </c>
      <c r="K62" s="97">
        <f t="shared" si="8"/>
        <v>219687</v>
      </c>
      <c r="L62" s="17"/>
      <c r="M62" s="51"/>
    </row>
    <row r="63" spans="1:13" ht="18.75" x14ac:dyDescent="0.3">
      <c r="A63" s="348" t="s">
        <v>77</v>
      </c>
      <c r="B63" s="349"/>
      <c r="C63" s="349"/>
      <c r="D63" s="349"/>
      <c r="E63" s="98">
        <f>E18+E31+E54</f>
        <v>1149332.5313599999</v>
      </c>
      <c r="F63" s="145">
        <f t="shared" si="0"/>
        <v>3025038.4272300005</v>
      </c>
      <c r="G63" s="98">
        <f t="shared" si="8"/>
        <v>1270356.0380500003</v>
      </c>
      <c r="H63" s="98">
        <f t="shared" si="8"/>
        <v>1422907.2131800002</v>
      </c>
      <c r="I63" s="98">
        <f t="shared" si="8"/>
        <v>115365.74400000018</v>
      </c>
      <c r="J63" s="98">
        <f t="shared" si="8"/>
        <v>94507.215999999928</v>
      </c>
      <c r="K63" s="98">
        <f t="shared" si="8"/>
        <v>121902.21599999993</v>
      </c>
      <c r="L63" s="17"/>
      <c r="M63" s="51"/>
    </row>
    <row r="64" spans="1:13" ht="18.75" x14ac:dyDescent="0.3">
      <c r="A64" s="348" t="s">
        <v>113</v>
      </c>
      <c r="B64" s="349"/>
      <c r="C64" s="349"/>
      <c r="D64" s="349"/>
      <c r="E64" s="98">
        <f>E32</f>
        <v>184994.723</v>
      </c>
      <c r="F64" s="145">
        <f t="shared" si="0"/>
        <v>518325.82461999997</v>
      </c>
      <c r="G64" s="98">
        <f t="shared" ref="G64:K66" si="9">G32</f>
        <v>260556.948</v>
      </c>
      <c r="H64" s="98">
        <f t="shared" si="9"/>
        <v>255687.27662000005</v>
      </c>
      <c r="I64" s="98">
        <f t="shared" si="9"/>
        <v>925.39999999997667</v>
      </c>
      <c r="J64" s="98">
        <f t="shared" si="9"/>
        <v>578.09999999997672</v>
      </c>
      <c r="K64" s="98">
        <f t="shared" si="9"/>
        <v>578.09999999997672</v>
      </c>
      <c r="L64" s="17"/>
      <c r="M64" s="51"/>
    </row>
    <row r="65" spans="1:13" ht="18.75" x14ac:dyDescent="0.3">
      <c r="A65" s="348" t="s">
        <v>24</v>
      </c>
      <c r="B65" s="349"/>
      <c r="C65" s="349"/>
      <c r="D65" s="349"/>
      <c r="E65" s="98">
        <f>E33</f>
        <v>56075.205379999999</v>
      </c>
      <c r="F65" s="145">
        <f t="shared" si="0"/>
        <v>63423.03727999999</v>
      </c>
      <c r="G65" s="98">
        <f t="shared" si="9"/>
        <v>40434.160920000002</v>
      </c>
      <c r="H65" s="98">
        <f t="shared" si="9"/>
        <v>22988.876359999991</v>
      </c>
      <c r="I65" s="98">
        <f t="shared" si="9"/>
        <v>0</v>
      </c>
      <c r="J65" s="98">
        <f t="shared" si="9"/>
        <v>0</v>
      </c>
      <c r="K65" s="98">
        <f t="shared" si="9"/>
        <v>0</v>
      </c>
      <c r="L65" s="17"/>
      <c r="M65" s="51"/>
    </row>
    <row r="66" spans="1:13" ht="19.5" thickBot="1" x14ac:dyDescent="0.35">
      <c r="A66" s="377" t="s">
        <v>31</v>
      </c>
      <c r="B66" s="378"/>
      <c r="C66" s="378"/>
      <c r="D66" s="378"/>
      <c r="E66" s="106">
        <f>E34</f>
        <v>219815.44200000001</v>
      </c>
      <c r="F66" s="203">
        <f t="shared" si="0"/>
        <v>29696.778000000002</v>
      </c>
      <c r="G66" s="106">
        <f t="shared" si="9"/>
        <v>21392.631000000001</v>
      </c>
      <c r="H66" s="106">
        <f t="shared" si="9"/>
        <v>8196.6269999999986</v>
      </c>
      <c r="I66" s="106">
        <f t="shared" si="9"/>
        <v>35.840000000000003</v>
      </c>
      <c r="J66" s="106">
        <f t="shared" si="9"/>
        <v>35.840000000000003</v>
      </c>
      <c r="K66" s="106">
        <f t="shared" si="9"/>
        <v>35.840000000000003</v>
      </c>
      <c r="L66" s="36"/>
      <c r="M66" s="37"/>
    </row>
    <row r="67" spans="1:13" x14ac:dyDescent="0.25">
      <c r="I67" s="99"/>
      <c r="J67" s="100"/>
      <c r="K67" s="100"/>
    </row>
    <row r="68" spans="1:13" ht="18.75" x14ac:dyDescent="0.3">
      <c r="B68" s="374" t="s">
        <v>115</v>
      </c>
      <c r="C68" s="375"/>
      <c r="D68" s="375"/>
      <c r="E68" s="101">
        <v>0</v>
      </c>
      <c r="F68" s="107">
        <f>SUM(G68:K68)</f>
        <v>47177.498150000014</v>
      </c>
      <c r="G68" s="101">
        <f>17209-3871+G20-1404.37335-30.175-169.01504-1000-94.715-156.09-2808.19584</f>
        <v>31675.435770000004</v>
      </c>
      <c r="H68" s="101">
        <f>13338-3867.026+5840.643-0.00062</f>
        <v>15311.616379999999</v>
      </c>
      <c r="I68" s="101">
        <v>63.481999999999999</v>
      </c>
      <c r="J68" s="101">
        <v>63.481999999999999</v>
      </c>
      <c r="K68" s="101">
        <v>63.481999999999999</v>
      </c>
      <c r="L68" s="18"/>
    </row>
    <row r="69" spans="1:13" ht="18.75" x14ac:dyDescent="0.3">
      <c r="B69" s="374" t="s">
        <v>35</v>
      </c>
      <c r="C69" s="375"/>
      <c r="D69" s="375"/>
      <c r="E69" s="101">
        <v>0</v>
      </c>
      <c r="F69" s="107">
        <f t="shared" ref="F69:F79" si="10">SUM(G69:K69)</f>
        <v>41000</v>
      </c>
      <c r="G69" s="101">
        <f>G19</f>
        <v>41000</v>
      </c>
      <c r="H69" s="101">
        <f>H19</f>
        <v>0</v>
      </c>
      <c r="I69" s="101">
        <f>I19</f>
        <v>0</v>
      </c>
      <c r="J69" s="101">
        <f>J19</f>
        <v>0</v>
      </c>
      <c r="K69" s="101">
        <f>K19</f>
        <v>0</v>
      </c>
      <c r="L69" s="18"/>
    </row>
    <row r="70" spans="1:13" ht="18.75" x14ac:dyDescent="0.3">
      <c r="B70" s="365" t="s">
        <v>36</v>
      </c>
      <c r="C70" s="366"/>
      <c r="D70" s="366"/>
      <c r="E70" s="102">
        <f>SUM(E68:E69)</f>
        <v>0</v>
      </c>
      <c r="F70" s="107">
        <f t="shared" si="10"/>
        <v>88177.498150000014</v>
      </c>
      <c r="G70" s="102">
        <f>SUM(G68:G69)</f>
        <v>72675.435770000011</v>
      </c>
      <c r="H70" s="102">
        <f>SUM(H68:H69)</f>
        <v>15311.616379999999</v>
      </c>
      <c r="I70" s="102">
        <f>SUM(I68:I69)</f>
        <v>63.481999999999999</v>
      </c>
      <c r="J70" s="102">
        <f>SUM(J68:J69)</f>
        <v>63.481999999999999</v>
      </c>
      <c r="K70" s="102">
        <f>SUM(K68:K69)</f>
        <v>63.481999999999999</v>
      </c>
      <c r="L70" s="18"/>
    </row>
    <row r="71" spans="1:13" ht="18.75" x14ac:dyDescent="0.3">
      <c r="B71" s="374" t="s">
        <v>116</v>
      </c>
      <c r="C71" s="375"/>
      <c r="D71" s="375"/>
      <c r="E71" s="101">
        <v>0</v>
      </c>
      <c r="F71" s="107">
        <f t="shared" si="10"/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8"/>
    </row>
    <row r="72" spans="1:13" ht="18.75" x14ac:dyDescent="0.3">
      <c r="B72" s="374" t="s">
        <v>117</v>
      </c>
      <c r="C72" s="375"/>
      <c r="D72" s="375"/>
      <c r="E72" s="101">
        <v>4755</v>
      </c>
      <c r="F72" s="107">
        <f t="shared" si="10"/>
        <v>29891</v>
      </c>
      <c r="G72" s="101">
        <f>6210-544</f>
        <v>5666</v>
      </c>
      <c r="H72" s="101">
        <f>5885+70</f>
        <v>5955</v>
      </c>
      <c r="I72" s="101">
        <f>5885+205</f>
        <v>6090</v>
      </c>
      <c r="J72" s="101">
        <f>5885+205</f>
        <v>6090</v>
      </c>
      <c r="K72" s="101">
        <f>5885+205</f>
        <v>6090</v>
      </c>
      <c r="L72" s="18"/>
    </row>
    <row r="73" spans="1:13" ht="18.75" x14ac:dyDescent="0.3">
      <c r="B73" s="365" t="s">
        <v>118</v>
      </c>
      <c r="C73" s="366"/>
      <c r="D73" s="366"/>
      <c r="E73" s="102">
        <f>SUM(E71:E72)</f>
        <v>4755</v>
      </c>
      <c r="F73" s="107">
        <f t="shared" si="10"/>
        <v>29891</v>
      </c>
      <c r="G73" s="102">
        <f>SUM(G71:G72)</f>
        <v>5666</v>
      </c>
      <c r="H73" s="102">
        <f>SUM(H71:H72)</f>
        <v>5955</v>
      </c>
      <c r="I73" s="102">
        <f>SUM(I71:I72)</f>
        <v>6090</v>
      </c>
      <c r="J73" s="102">
        <f>SUM(J71:J72)</f>
        <v>6090</v>
      </c>
      <c r="K73" s="102">
        <f>SUM(K71:K72)</f>
        <v>6090</v>
      </c>
      <c r="L73" s="195"/>
    </row>
    <row r="74" spans="1:13" ht="18.75" x14ac:dyDescent="0.3">
      <c r="B74" s="374" t="s">
        <v>119</v>
      </c>
      <c r="C74" s="375"/>
      <c r="D74" s="375"/>
      <c r="E74" s="101">
        <f>E63-E68-E71</f>
        <v>1149332.5313599999</v>
      </c>
      <c r="F74" s="107">
        <f t="shared" si="10"/>
        <v>2977860.9290800001</v>
      </c>
      <c r="G74" s="101">
        <f>G63-G68-G71</f>
        <v>1238680.6022800002</v>
      </c>
      <c r="H74" s="101">
        <f>H63-H68-H71</f>
        <v>1407595.5968000002</v>
      </c>
      <c r="I74" s="101">
        <f>I63-I68-I71</f>
        <v>115302.26200000018</v>
      </c>
      <c r="J74" s="101">
        <f>J63-J68-J71</f>
        <v>94443.733999999924</v>
      </c>
      <c r="K74" s="101">
        <f>K63-K68-K71</f>
        <v>121838.73399999992</v>
      </c>
      <c r="L74" s="18"/>
    </row>
    <row r="75" spans="1:13" ht="18.75" x14ac:dyDescent="0.3">
      <c r="B75" s="374" t="s">
        <v>133</v>
      </c>
      <c r="C75" s="375"/>
      <c r="D75" s="376"/>
      <c r="E75" s="101">
        <f>E61</f>
        <v>0</v>
      </c>
      <c r="F75" s="107">
        <f t="shared" si="10"/>
        <v>15732.183400000002</v>
      </c>
      <c r="G75" s="101">
        <f>G61</f>
        <v>9253.4785700000011</v>
      </c>
      <c r="H75" s="101">
        <f>H61</f>
        <v>6478.7048299999997</v>
      </c>
      <c r="I75" s="101">
        <f>I61</f>
        <v>0</v>
      </c>
      <c r="J75" s="101">
        <f>J61</f>
        <v>0</v>
      </c>
      <c r="K75" s="101">
        <f>K61</f>
        <v>0</v>
      </c>
      <c r="L75" s="18"/>
    </row>
    <row r="76" spans="1:13" ht="18.75" x14ac:dyDescent="0.3">
      <c r="B76" s="374" t="s">
        <v>39</v>
      </c>
      <c r="C76" s="375"/>
      <c r="D76" s="375"/>
      <c r="E76" s="101">
        <f>E62-E69-E72</f>
        <v>1797869</v>
      </c>
      <c r="F76" s="107">
        <f t="shared" si="10"/>
        <v>4785055.9800199997</v>
      </c>
      <c r="G76" s="101">
        <f>G62-G69-G72</f>
        <v>2236585.5214300002</v>
      </c>
      <c r="H76" s="101">
        <f>H62-H69-H72</f>
        <v>1961076.4585899999</v>
      </c>
      <c r="I76" s="101">
        <f>I62-I69-I72</f>
        <v>206249</v>
      </c>
      <c r="J76" s="101">
        <f>J62-J69-J72</f>
        <v>167548</v>
      </c>
      <c r="K76" s="101">
        <f>K62-K69-K72</f>
        <v>213597</v>
      </c>
      <c r="L76" s="18"/>
    </row>
    <row r="77" spans="1:13" ht="18.75" x14ac:dyDescent="0.3">
      <c r="B77" s="372" t="s">
        <v>24</v>
      </c>
      <c r="C77" s="373"/>
      <c r="D77" s="373"/>
      <c r="E77" s="101">
        <f>E65</f>
        <v>56075.205379999999</v>
      </c>
      <c r="F77" s="107">
        <f t="shared" si="10"/>
        <v>63423.03727999999</v>
      </c>
      <c r="G77" s="101">
        <f t="shared" ref="G77:K78" si="11">G65</f>
        <v>40434.160920000002</v>
      </c>
      <c r="H77" s="101">
        <f t="shared" si="11"/>
        <v>22988.876359999991</v>
      </c>
      <c r="I77" s="101">
        <f t="shared" si="11"/>
        <v>0</v>
      </c>
      <c r="J77" s="101">
        <f t="shared" si="11"/>
        <v>0</v>
      </c>
      <c r="K77" s="101">
        <f t="shared" si="11"/>
        <v>0</v>
      </c>
      <c r="L77" s="18"/>
    </row>
    <row r="78" spans="1:13" ht="18.75" x14ac:dyDescent="0.3">
      <c r="B78" s="372" t="s">
        <v>31</v>
      </c>
      <c r="C78" s="373"/>
      <c r="D78" s="373"/>
      <c r="E78" s="101">
        <f>E66</f>
        <v>219815.44200000001</v>
      </c>
      <c r="F78" s="107">
        <f t="shared" si="10"/>
        <v>29696.778000000002</v>
      </c>
      <c r="G78" s="101">
        <f t="shared" si="11"/>
        <v>21392.631000000001</v>
      </c>
      <c r="H78" s="101">
        <f t="shared" si="11"/>
        <v>8196.6269999999986</v>
      </c>
      <c r="I78" s="101">
        <f t="shared" si="11"/>
        <v>35.840000000000003</v>
      </c>
      <c r="J78" s="101">
        <f t="shared" si="11"/>
        <v>35.840000000000003</v>
      </c>
      <c r="K78" s="101">
        <f t="shared" si="11"/>
        <v>35.840000000000003</v>
      </c>
      <c r="L78" s="18"/>
    </row>
    <row r="79" spans="1:13" ht="18.75" x14ac:dyDescent="0.3">
      <c r="B79" s="365" t="s">
        <v>40</v>
      </c>
      <c r="C79" s="366"/>
      <c r="D79" s="366"/>
      <c r="E79" s="102">
        <f>SUM(E74:E78)</f>
        <v>3223092.1787399999</v>
      </c>
      <c r="F79" s="107">
        <f t="shared" si="10"/>
        <v>7871768.9077800009</v>
      </c>
      <c r="G79" s="102">
        <f>SUM(G74:G78)</f>
        <v>3546346.3942000004</v>
      </c>
      <c r="H79" s="111">
        <f>SUM(H74:H78)</f>
        <v>3406336.26358</v>
      </c>
      <c r="I79" s="110">
        <f>SUM(I74:I78)</f>
        <v>321587.10200000019</v>
      </c>
      <c r="J79" s="102">
        <f>SUM(J74:J78)</f>
        <v>262027.57399999994</v>
      </c>
      <c r="K79" s="102">
        <f>SUM(K74:K78)</f>
        <v>335471.57399999996</v>
      </c>
      <c r="L79" s="18"/>
    </row>
    <row r="80" spans="1:13" x14ac:dyDescent="0.25">
      <c r="E80" s="12"/>
      <c r="F80" s="19"/>
      <c r="G80" s="12"/>
      <c r="H80" s="81"/>
      <c r="I80" s="20"/>
      <c r="J80" s="14"/>
      <c r="K80" s="14"/>
    </row>
    <row r="81" spans="5:11" ht="15.75" x14ac:dyDescent="0.25">
      <c r="E81" s="21"/>
      <c r="F81" s="191">
        <f t="shared" ref="F81:K81" si="12">F70+F73+F79</f>
        <v>7989837.4059300013</v>
      </c>
      <c r="G81" s="192">
        <f t="shared" si="12"/>
        <v>3624687.8299700003</v>
      </c>
      <c r="H81" s="192">
        <f t="shared" si="12"/>
        <v>3427602.87996</v>
      </c>
      <c r="I81" s="192">
        <f t="shared" si="12"/>
        <v>327740.58400000021</v>
      </c>
      <c r="J81" s="192">
        <f t="shared" si="12"/>
        <v>268181.05599999992</v>
      </c>
      <c r="K81" s="192">
        <f t="shared" si="12"/>
        <v>341625.05599999998</v>
      </c>
    </row>
    <row r="82" spans="5:11" ht="15.75" x14ac:dyDescent="0.25">
      <c r="F82" s="19"/>
      <c r="G82" s="12"/>
      <c r="H82" s="82"/>
      <c r="I82" s="20"/>
      <c r="J82" s="12"/>
      <c r="K82" s="12"/>
    </row>
    <row r="83" spans="5:11" ht="15.75" x14ac:dyDescent="0.25">
      <c r="G83" s="12"/>
      <c r="H83" s="82"/>
      <c r="I83" s="20"/>
      <c r="J83" s="12"/>
      <c r="K83" s="12"/>
    </row>
    <row r="84" spans="5:11" ht="15.75" x14ac:dyDescent="0.25">
      <c r="H84" s="82"/>
      <c r="I84" s="82"/>
      <c r="J84" s="82"/>
    </row>
    <row r="85" spans="5:11" x14ac:dyDescent="0.25">
      <c r="G85" s="12"/>
      <c r="H85" s="81"/>
      <c r="I85" s="20"/>
      <c r="J85" s="12"/>
      <c r="K85" s="12"/>
    </row>
    <row r="86" spans="5:11" x14ac:dyDescent="0.25">
      <c r="G86" s="100"/>
    </row>
    <row r="92" spans="5:11" x14ac:dyDescent="0.25">
      <c r="E92" s="12"/>
      <c r="F92" s="19"/>
      <c r="G92" s="12"/>
      <c r="H92" s="81"/>
      <c r="I92" s="20"/>
      <c r="J92" s="12"/>
      <c r="K92" s="12"/>
    </row>
    <row r="94" spans="5:11" x14ac:dyDescent="0.25">
      <c r="H94" s="81"/>
    </row>
    <row r="95" spans="5:11" x14ac:dyDescent="0.25">
      <c r="H95" s="81"/>
    </row>
  </sheetData>
  <sheetProtection formatCells="0" formatColumns="0" formatRows="0" insertColumns="0" insertRows="0" insertHyperlinks="0" deleteColumns="0" deleteRows="0" sort="0" autoFilter="0" pivotTables="0"/>
  <mergeCells count="102">
    <mergeCell ref="A23:A24"/>
    <mergeCell ref="B23:B24"/>
    <mergeCell ref="C23:C24"/>
    <mergeCell ref="A21:A22"/>
    <mergeCell ref="B21:B22"/>
    <mergeCell ref="C21:C22"/>
    <mergeCell ref="L21:L22"/>
    <mergeCell ref="A10:A13"/>
    <mergeCell ref="B10:B13"/>
    <mergeCell ref="A15:M15"/>
    <mergeCell ref="C10:C13"/>
    <mergeCell ref="L10:L13"/>
    <mergeCell ref="E10:E13"/>
    <mergeCell ref="D10:D13"/>
    <mergeCell ref="G10:K12"/>
    <mergeCell ref="A19:A20"/>
    <mergeCell ref="C19:C20"/>
    <mergeCell ref="B16:B18"/>
    <mergeCell ref="L19:L20"/>
    <mergeCell ref="M19:M20"/>
    <mergeCell ref="C16:C18"/>
    <mergeCell ref="A16:A18"/>
    <mergeCell ref="F10:F13"/>
    <mergeCell ref="E6:H6"/>
    <mergeCell ref="K6:M6"/>
    <mergeCell ref="M10:M13"/>
    <mergeCell ref="B8:M8"/>
    <mergeCell ref="M21:M22"/>
    <mergeCell ref="L23:L24"/>
    <mergeCell ref="M29:M34"/>
    <mergeCell ref="C29:C34"/>
    <mergeCell ref="L35:L36"/>
    <mergeCell ref="M35:M36"/>
    <mergeCell ref="L29:L34"/>
    <mergeCell ref="L25:L26"/>
    <mergeCell ref="M23:M24"/>
    <mergeCell ref="L27:L28"/>
    <mergeCell ref="B25:B26"/>
    <mergeCell ref="C25:C26"/>
    <mergeCell ref="M25:M28"/>
    <mergeCell ref="B27:B28"/>
    <mergeCell ref="C27:C28"/>
    <mergeCell ref="B29:B34"/>
    <mergeCell ref="G9:M9"/>
    <mergeCell ref="L16:L18"/>
    <mergeCell ref="M16:M18"/>
    <mergeCell ref="B19:B20"/>
    <mergeCell ref="B79:D79"/>
    <mergeCell ref="B77:D77"/>
    <mergeCell ref="B78:D78"/>
    <mergeCell ref="B76:D76"/>
    <mergeCell ref="B74:D74"/>
    <mergeCell ref="B75:D75"/>
    <mergeCell ref="B71:D71"/>
    <mergeCell ref="B72:D72"/>
    <mergeCell ref="B55:B56"/>
    <mergeCell ref="C55:C56"/>
    <mergeCell ref="B70:D70"/>
    <mergeCell ref="B68:D68"/>
    <mergeCell ref="B69:D69"/>
    <mergeCell ref="A66:D66"/>
    <mergeCell ref="A65:D65"/>
    <mergeCell ref="A64:D64"/>
    <mergeCell ref="L47:L48"/>
    <mergeCell ref="M47:M48"/>
    <mergeCell ref="A49:A50"/>
    <mergeCell ref="B49:B50"/>
    <mergeCell ref="C49:C50"/>
    <mergeCell ref="B73:D73"/>
    <mergeCell ref="L51:L54"/>
    <mergeCell ref="A60:D60"/>
    <mergeCell ref="A55:A56"/>
    <mergeCell ref="C51:C54"/>
    <mergeCell ref="A61:D61"/>
    <mergeCell ref="A51:A54"/>
    <mergeCell ref="B51:B54"/>
    <mergeCell ref="L49:L50"/>
    <mergeCell ref="M49:M50"/>
    <mergeCell ref="L40:L43"/>
    <mergeCell ref="A63:D63"/>
    <mergeCell ref="M57:M59"/>
    <mergeCell ref="A40:A43"/>
    <mergeCell ref="A62:D62"/>
    <mergeCell ref="A25:A26"/>
    <mergeCell ref="M51:M54"/>
    <mergeCell ref="M55:M56"/>
    <mergeCell ref="A35:A36"/>
    <mergeCell ref="B35:B36"/>
    <mergeCell ref="C35:C36"/>
    <mergeCell ref="B40:B43"/>
    <mergeCell ref="L58:L59"/>
    <mergeCell ref="A57:A59"/>
    <mergeCell ref="B57:B59"/>
    <mergeCell ref="C57:C59"/>
    <mergeCell ref="L55:L56"/>
    <mergeCell ref="M40:M43"/>
    <mergeCell ref="A27:A28"/>
    <mergeCell ref="C40:C43"/>
    <mergeCell ref="A29:A34"/>
    <mergeCell ref="B47:B48"/>
    <mergeCell ref="A47:A48"/>
    <mergeCell ref="C47:C48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N133"/>
  <sheetViews>
    <sheetView tabSelected="1" view="pageBreakPreview" topLeftCell="A57" zoomScale="70" zoomScaleNormal="70" zoomScaleSheetLayoutView="70" workbookViewId="0">
      <selection activeCell="L80" sqref="L80:L81"/>
    </sheetView>
  </sheetViews>
  <sheetFormatPr defaultColWidth="9.140625" defaultRowHeight="15" x14ac:dyDescent="0.25"/>
  <cols>
    <col min="1" max="1" width="9.140625" style="315"/>
    <col min="2" max="2" width="69" style="315" customWidth="1"/>
    <col min="3" max="3" width="17.85546875" style="315" customWidth="1"/>
    <col min="4" max="4" width="30.85546875" style="315" customWidth="1"/>
    <col min="5" max="5" width="20.5703125" style="315" hidden="1" customWidth="1"/>
    <col min="6" max="6" width="22.140625" style="325" customWidth="1"/>
    <col min="7" max="7" width="20.140625" style="315" customWidth="1"/>
    <col min="8" max="8" width="20.140625" style="323" customWidth="1"/>
    <col min="9" max="9" width="21.7109375" style="323" customWidth="1"/>
    <col min="10" max="10" width="21.85546875" style="315" customWidth="1"/>
    <col min="11" max="11" width="21.7109375" style="315" customWidth="1"/>
    <col min="12" max="12" width="21.140625" style="315" customWidth="1"/>
    <col min="13" max="13" width="50" style="315" customWidth="1"/>
    <col min="14" max="14" width="11.85546875" style="2" customWidth="1"/>
    <col min="15" max="16384" width="9.140625" style="2"/>
  </cols>
  <sheetData>
    <row r="1" spans="1:13" ht="15.75" customHeight="1" thickBot="1" x14ac:dyDescent="0.3">
      <c r="A1" s="238"/>
      <c r="B1" s="239"/>
      <c r="C1" s="240"/>
      <c r="D1" s="241"/>
      <c r="E1" s="241"/>
      <c r="F1" s="242"/>
      <c r="G1" s="243"/>
      <c r="H1" s="244"/>
      <c r="I1" s="244"/>
      <c r="J1" s="243"/>
      <c r="K1" s="243"/>
      <c r="L1" s="245"/>
      <c r="M1" s="245"/>
    </row>
    <row r="2" spans="1:13" ht="15" customHeight="1" x14ac:dyDescent="0.25">
      <c r="A2" s="426" t="s">
        <v>7</v>
      </c>
      <c r="B2" s="424" t="s">
        <v>8</v>
      </c>
      <c r="C2" s="424" t="s">
        <v>80</v>
      </c>
      <c r="D2" s="424" t="s">
        <v>9</v>
      </c>
      <c r="E2" s="424" t="s">
        <v>69</v>
      </c>
      <c r="F2" s="428" t="s">
        <v>10</v>
      </c>
      <c r="G2" s="432" t="s">
        <v>23</v>
      </c>
      <c r="H2" s="432"/>
      <c r="I2" s="432"/>
      <c r="J2" s="432"/>
      <c r="K2" s="432"/>
      <c r="L2" s="422" t="s">
        <v>11</v>
      </c>
      <c r="M2" s="430" t="s">
        <v>4</v>
      </c>
    </row>
    <row r="3" spans="1:13" x14ac:dyDescent="0.25">
      <c r="A3" s="427"/>
      <c r="B3" s="425"/>
      <c r="C3" s="425"/>
      <c r="D3" s="425"/>
      <c r="E3" s="425"/>
      <c r="F3" s="429"/>
      <c r="G3" s="433"/>
      <c r="H3" s="433"/>
      <c r="I3" s="433"/>
      <c r="J3" s="433"/>
      <c r="K3" s="433"/>
      <c r="L3" s="423"/>
      <c r="M3" s="431"/>
    </row>
    <row r="4" spans="1:13" ht="45.75" customHeight="1" x14ac:dyDescent="0.25">
      <c r="A4" s="427"/>
      <c r="B4" s="425"/>
      <c r="C4" s="425"/>
      <c r="D4" s="425"/>
      <c r="E4" s="425"/>
      <c r="F4" s="429"/>
      <c r="G4" s="246" t="s">
        <v>56</v>
      </c>
      <c r="H4" s="246" t="s">
        <v>57</v>
      </c>
      <c r="I4" s="246" t="s">
        <v>70</v>
      </c>
      <c r="J4" s="246" t="s">
        <v>71</v>
      </c>
      <c r="K4" s="246" t="s">
        <v>72</v>
      </c>
      <c r="L4" s="423"/>
      <c r="M4" s="431"/>
    </row>
    <row r="5" spans="1:13" ht="17.25" customHeight="1" x14ac:dyDescent="0.25">
      <c r="A5" s="247" t="s">
        <v>17</v>
      </c>
      <c r="B5" s="248">
        <v>2</v>
      </c>
      <c r="C5" s="248" t="s">
        <v>12</v>
      </c>
      <c r="D5" s="248" t="s">
        <v>55</v>
      </c>
      <c r="E5" s="248" t="s">
        <v>13</v>
      </c>
      <c r="F5" s="249" t="s">
        <v>13</v>
      </c>
      <c r="G5" s="248" t="s">
        <v>52</v>
      </c>
      <c r="H5" s="248" t="s">
        <v>14</v>
      </c>
      <c r="I5" s="248" t="s">
        <v>53</v>
      </c>
      <c r="J5" s="248" t="s">
        <v>15</v>
      </c>
      <c r="K5" s="248" t="s">
        <v>16</v>
      </c>
      <c r="L5" s="248" t="s">
        <v>18</v>
      </c>
      <c r="M5" s="250" t="s">
        <v>19</v>
      </c>
    </row>
    <row r="6" spans="1:13" ht="10.5" hidden="1" customHeight="1" x14ac:dyDescent="0.25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</row>
    <row r="7" spans="1:13" s="25" customFormat="1" ht="25.5" customHeight="1" x14ac:dyDescent="0.25">
      <c r="A7" s="413" t="s">
        <v>129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5"/>
    </row>
    <row r="8" spans="1:13" s="83" customFormat="1" ht="18.75" x14ac:dyDescent="0.25">
      <c r="A8" s="416" t="s">
        <v>17</v>
      </c>
      <c r="B8" s="434" t="s">
        <v>171</v>
      </c>
      <c r="C8" s="434" t="s">
        <v>73</v>
      </c>
      <c r="D8" s="251" t="s">
        <v>5</v>
      </c>
      <c r="E8" s="252">
        <f>SUM(E10:E14)</f>
        <v>4225099.1168600004</v>
      </c>
      <c r="F8" s="253">
        <f t="shared" ref="F8:F41" si="0">SUM(G8:K8)</f>
        <v>38515588.878120005</v>
      </c>
      <c r="G8" s="252">
        <f>SUM(G9:G14)-G12</f>
        <v>4853586.8967700005</v>
      </c>
      <c r="H8" s="252">
        <f>SUM(H9:H14)-H12</f>
        <v>5696773.1783199999</v>
      </c>
      <c r="I8" s="252">
        <f>SUM(I9:I14)-I12</f>
        <v>9602597.7330300007</v>
      </c>
      <c r="J8" s="252">
        <f>SUM(J9:J14)-J12</f>
        <v>9207365.5350000001</v>
      </c>
      <c r="K8" s="252">
        <f>SUM(K9:K14)-K12</f>
        <v>9155265.5350000001</v>
      </c>
      <c r="L8" s="398"/>
      <c r="M8" s="407"/>
    </row>
    <row r="9" spans="1:13" s="83" customFormat="1" ht="39" customHeight="1" x14ac:dyDescent="0.25">
      <c r="A9" s="416"/>
      <c r="B9" s="434"/>
      <c r="C9" s="434"/>
      <c r="D9" s="251" t="s">
        <v>65</v>
      </c>
      <c r="E9" s="254">
        <f>E28</f>
        <v>0</v>
      </c>
      <c r="F9" s="253">
        <f t="shared" si="0"/>
        <v>619929</v>
      </c>
      <c r="G9" s="254">
        <f>G28+G35</f>
        <v>46690</v>
      </c>
      <c r="H9" s="254">
        <f t="shared" ref="H9:K9" si="1">H28+H35</f>
        <v>141449</v>
      </c>
      <c r="I9" s="254">
        <f t="shared" si="1"/>
        <v>147735</v>
      </c>
      <c r="J9" s="254">
        <f t="shared" si="1"/>
        <v>140069</v>
      </c>
      <c r="K9" s="254">
        <f t="shared" si="1"/>
        <v>143986</v>
      </c>
      <c r="L9" s="398"/>
      <c r="M9" s="407"/>
    </row>
    <row r="10" spans="1:13" s="83" customFormat="1" ht="39.75" customHeight="1" x14ac:dyDescent="0.25">
      <c r="A10" s="416"/>
      <c r="B10" s="434"/>
      <c r="C10" s="434"/>
      <c r="D10" s="251" t="s">
        <v>2</v>
      </c>
      <c r="E10" s="254">
        <f>E15+E16+E29+E31</f>
        <v>3242446</v>
      </c>
      <c r="F10" s="253">
        <f t="shared" si="0"/>
        <v>25221931.836580001</v>
      </c>
      <c r="G10" s="254">
        <f>G15+G16+G29+G31+G22+G17+G33+G36+G37</f>
        <v>3536833</v>
      </c>
      <c r="H10" s="254">
        <f t="shared" ref="H10:K10" si="2">H15+H16+H29+H31+H22+H17+H33+H36+H37</f>
        <v>4017902.8365799999</v>
      </c>
      <c r="I10" s="254">
        <f t="shared" si="2"/>
        <v>6159010</v>
      </c>
      <c r="J10" s="254">
        <f t="shared" si="2"/>
        <v>5754093</v>
      </c>
      <c r="K10" s="254">
        <f t="shared" si="2"/>
        <v>5754093</v>
      </c>
      <c r="L10" s="398"/>
      <c r="M10" s="407"/>
    </row>
    <row r="11" spans="1:13" s="83" customFormat="1" ht="58.5" customHeight="1" x14ac:dyDescent="0.25">
      <c r="A11" s="416"/>
      <c r="B11" s="434"/>
      <c r="C11" s="434"/>
      <c r="D11" s="251" t="s">
        <v>77</v>
      </c>
      <c r="E11" s="254">
        <f>E18+E23+E24+E25+E26+E27+E30+E32</f>
        <v>711549.13716000004</v>
      </c>
      <c r="F11" s="253">
        <f t="shared" si="0"/>
        <v>10880404.053480001</v>
      </c>
      <c r="G11" s="254">
        <f>G18+G23+G24+G25+G26+G27+G30+G32+G34</f>
        <v>1064676.5543900002</v>
      </c>
      <c r="H11" s="254">
        <f>H18+H23+H24+H25+H26+H27+H30+H32+H34</f>
        <v>1206659.3752700002</v>
      </c>
      <c r="I11" s="254">
        <f t="shared" ref="I11:K11" si="3">I18+I23+I24+I25+I26+I27+I30+I32+I34</f>
        <v>2888331.0318200001</v>
      </c>
      <c r="J11" s="254">
        <f t="shared" si="3"/>
        <v>2888377.0460000001</v>
      </c>
      <c r="K11" s="254">
        <f t="shared" si="3"/>
        <v>2832360.0460000001</v>
      </c>
      <c r="L11" s="398"/>
      <c r="M11" s="407"/>
    </row>
    <row r="12" spans="1:13" s="83" customFormat="1" ht="77.25" customHeight="1" x14ac:dyDescent="0.25">
      <c r="A12" s="416"/>
      <c r="B12" s="434"/>
      <c r="C12" s="434"/>
      <c r="D12" s="251" t="s">
        <v>113</v>
      </c>
      <c r="E12" s="254">
        <f>E19</f>
        <v>0</v>
      </c>
      <c r="F12" s="253">
        <f t="shared" si="0"/>
        <v>1421991.8143800001</v>
      </c>
      <c r="G12" s="254">
        <f>G19</f>
        <v>4822.2330000000002</v>
      </c>
      <c r="H12" s="254">
        <f>H19</f>
        <v>75495.72338000001</v>
      </c>
      <c r="I12" s="254">
        <f>I19</f>
        <v>448982.05800000002</v>
      </c>
      <c r="J12" s="254">
        <f>J19</f>
        <v>446345.9</v>
      </c>
      <c r="K12" s="254">
        <f>K19</f>
        <v>446345.9</v>
      </c>
      <c r="L12" s="398"/>
      <c r="M12" s="407"/>
    </row>
    <row r="13" spans="1:13" s="83" customFormat="1" ht="74.25" customHeight="1" x14ac:dyDescent="0.25">
      <c r="A13" s="416"/>
      <c r="B13" s="434"/>
      <c r="C13" s="434"/>
      <c r="D13" s="255" t="s">
        <v>24</v>
      </c>
      <c r="E13" s="256">
        <f>E20</f>
        <v>262352.43170000002</v>
      </c>
      <c r="F13" s="253">
        <f t="shared" si="0"/>
        <v>1709475.0640600002</v>
      </c>
      <c r="G13" s="256">
        <f t="shared" ref="G13:K14" si="4">G20</f>
        <v>204913.88738000003</v>
      </c>
      <c r="H13" s="256">
        <f t="shared" si="4"/>
        <v>316853.18346999999</v>
      </c>
      <c r="I13" s="256">
        <f t="shared" si="4"/>
        <v>384366.13920999999</v>
      </c>
      <c r="J13" s="256">
        <f t="shared" si="4"/>
        <v>401670.92700000003</v>
      </c>
      <c r="K13" s="256">
        <f t="shared" si="4"/>
        <v>401670.92700000003</v>
      </c>
      <c r="L13" s="398"/>
      <c r="M13" s="407"/>
    </row>
    <row r="14" spans="1:13" s="83" customFormat="1" ht="60" customHeight="1" x14ac:dyDescent="0.25">
      <c r="A14" s="416"/>
      <c r="B14" s="434"/>
      <c r="C14" s="434"/>
      <c r="D14" s="255" t="s">
        <v>31</v>
      </c>
      <c r="E14" s="256">
        <f>E21</f>
        <v>8751.5480000000007</v>
      </c>
      <c r="F14" s="253">
        <f t="shared" si="0"/>
        <v>83848.924000000014</v>
      </c>
      <c r="G14" s="256">
        <f t="shared" si="4"/>
        <v>473.45499999999998</v>
      </c>
      <c r="H14" s="256">
        <f>H21</f>
        <v>13908.782999999999</v>
      </c>
      <c r="I14" s="256">
        <f t="shared" si="4"/>
        <v>23155.562000000002</v>
      </c>
      <c r="J14" s="256">
        <f t="shared" si="4"/>
        <v>23155.562000000002</v>
      </c>
      <c r="K14" s="256">
        <f t="shared" si="4"/>
        <v>23155.562000000002</v>
      </c>
      <c r="L14" s="398"/>
      <c r="M14" s="407"/>
    </row>
    <row r="15" spans="1:13" s="83" customFormat="1" ht="232.5" customHeight="1" x14ac:dyDescent="0.25">
      <c r="A15" s="257" t="s">
        <v>42</v>
      </c>
      <c r="B15" s="258" t="s">
        <v>210</v>
      </c>
      <c r="C15" s="259" t="s">
        <v>271</v>
      </c>
      <c r="D15" s="259" t="s">
        <v>2</v>
      </c>
      <c r="E15" s="260">
        <v>2978099</v>
      </c>
      <c r="F15" s="253">
        <f t="shared" si="0"/>
        <v>6995074</v>
      </c>
      <c r="G15" s="260">
        <f>3210098+35817-26457+2141-12+72690-9295</f>
        <v>3284982</v>
      </c>
      <c r="H15" s="260">
        <f>3234579-7647+20879+401185-1380+62684-208</f>
        <v>3710092</v>
      </c>
      <c r="I15" s="116">
        <f>5438708-90842-5347866</f>
        <v>0</v>
      </c>
      <c r="J15" s="260">
        <f>5438708-90842-5347866</f>
        <v>0</v>
      </c>
      <c r="K15" s="260">
        <f>5438708-90842-5347866</f>
        <v>0</v>
      </c>
      <c r="L15" s="261" t="s">
        <v>6</v>
      </c>
      <c r="M15" s="262" t="s">
        <v>54</v>
      </c>
    </row>
    <row r="16" spans="1:13" s="83" customFormat="1" ht="197.25" customHeight="1" x14ac:dyDescent="0.25">
      <c r="A16" s="247" t="s">
        <v>43</v>
      </c>
      <c r="B16" s="258" t="s">
        <v>211</v>
      </c>
      <c r="C16" s="259" t="s">
        <v>271</v>
      </c>
      <c r="D16" s="259" t="s">
        <v>2</v>
      </c>
      <c r="E16" s="260">
        <v>264347</v>
      </c>
      <c r="F16" s="253">
        <f t="shared" si="0"/>
        <v>538348</v>
      </c>
      <c r="G16" s="260">
        <f>198695-7084+64297-4057</f>
        <v>251851</v>
      </c>
      <c r="H16" s="260">
        <f>261340+12015-1177+12232+2087</f>
        <v>286497</v>
      </c>
      <c r="I16" s="116">
        <f>406227-406227</f>
        <v>0</v>
      </c>
      <c r="J16" s="260">
        <f>406227-406227</f>
        <v>0</v>
      </c>
      <c r="K16" s="260">
        <f>406227-406227</f>
        <v>0</v>
      </c>
      <c r="L16" s="261" t="s">
        <v>6</v>
      </c>
      <c r="M16" s="263" t="s">
        <v>61</v>
      </c>
    </row>
    <row r="17" spans="1:14" s="83" customFormat="1" ht="37.5" x14ac:dyDescent="0.25">
      <c r="A17" s="461" t="s">
        <v>44</v>
      </c>
      <c r="B17" s="419" t="s">
        <v>288</v>
      </c>
      <c r="C17" s="406" t="s">
        <v>73</v>
      </c>
      <c r="D17" s="259" t="s">
        <v>2</v>
      </c>
      <c r="E17" s="260"/>
      <c r="F17" s="253">
        <f t="shared" si="0"/>
        <v>1876.4740000000002</v>
      </c>
      <c r="G17" s="260">
        <v>0</v>
      </c>
      <c r="H17" s="260">
        <f>686.4+1190.074</f>
        <v>1876.4740000000002</v>
      </c>
      <c r="I17" s="116">
        <f>7297-7297</f>
        <v>0</v>
      </c>
      <c r="J17" s="260">
        <f>2286-2286</f>
        <v>0</v>
      </c>
      <c r="K17" s="260">
        <f>18072-18072</f>
        <v>0</v>
      </c>
      <c r="L17" s="402" t="s">
        <v>114</v>
      </c>
      <c r="M17" s="456" t="s">
        <v>289</v>
      </c>
    </row>
    <row r="18" spans="1:14" s="83" customFormat="1" ht="56.25" x14ac:dyDescent="0.25">
      <c r="A18" s="461"/>
      <c r="B18" s="419"/>
      <c r="C18" s="406"/>
      <c r="D18" s="259" t="s">
        <v>77</v>
      </c>
      <c r="E18" s="260">
        <f>711549.13716</f>
        <v>711549.13716000004</v>
      </c>
      <c r="F18" s="253">
        <f t="shared" si="0"/>
        <v>8454140.2886300012</v>
      </c>
      <c r="G18" s="260">
        <f>813042.768+77248+48404+50000-546+16195-4208.136-140544+551.999-38800+38800+22197.606+36148.9-2982-147146.506+680.29+G19-55085.004-10236.233-22594.977-185.59002-680.29-1120.3095-528.475-644.64-6043.49+6043.49+495.98757-732.65794-3188.29-261.55857-1200+130.5+1797.861-3567.48+600+181.2+598.401-4996.94311-4273.514-300-207.135-94.918-116.165-1692.9+130.5-35.58174+130.5</f>
        <v>666186.44169000012</v>
      </c>
      <c r="H18" s="260">
        <f>694150.73+10358+2022.403-158.20534+22400.39297+4646.48647+1180.2568+12308.26099+10648.93805-134.7-71.09335-641.68771-5840.64237+24083.303+1236.6+12307.256+44323.2-135+400+161253.96016+4804.226+1111.038+27758.66416+2731.29011+3866.099+11.63-210.24+6761.56394+4653.058+1912.919+7925.25779+2490.254+5064.841+6323.94966+3066.729+3833.342+3702.734-3262.7655+7320.924+5583.22235+6256.289+974.93131+5210.969+1900.338+2681.397-122953.62702</f>
        <v>983857.49247000017</v>
      </c>
      <c r="I18" s="330">
        <f>657054.848+10358+2022.403-0.00001+1294857.56301+24105.358+2147+148192.2+82030.6+25938+44188-2147-5201.08311-3050.30516-231-47734.5171-6000-347.3-4203.5305-97.40025+3107.536-1043.29087</f>
        <v>2223946.0810100003</v>
      </c>
      <c r="J18" s="116">
        <f>661113.65+10358+2022.403+1289164.835+24105.358+673+148192.2+82030.6+25938+44188-673+5924.18146</f>
        <v>2293037.2274600002</v>
      </c>
      <c r="K18" s="116">
        <f>661113.65+10358+2022.403+1289164.835+24105.358+5316+148192.2+82030.6+25938+44188-5316</f>
        <v>2287113.0460000001</v>
      </c>
      <c r="L18" s="402"/>
      <c r="M18" s="456"/>
      <c r="N18" s="83" t="s">
        <v>322</v>
      </c>
    </row>
    <row r="19" spans="1:14" s="83" customFormat="1" ht="78" customHeight="1" x14ac:dyDescent="0.25">
      <c r="A19" s="461"/>
      <c r="B19" s="419"/>
      <c r="C19" s="406"/>
      <c r="D19" s="259" t="s">
        <v>113</v>
      </c>
      <c r="E19" s="260">
        <v>0</v>
      </c>
      <c r="F19" s="253">
        <f t="shared" si="0"/>
        <v>1421991.8143800001</v>
      </c>
      <c r="G19" s="260">
        <f>9555.943+680.29-6414+1000</f>
        <v>4822.2330000000002</v>
      </c>
      <c r="H19" s="260">
        <f>10236.233+2022.403+600+1236.6+130624.82622+27758.66416-96983.003</f>
        <v>75495.72338000001</v>
      </c>
      <c r="I19" s="116">
        <f>10236.233+2022.403+434087.264+2983.458-347.3</f>
        <v>448982.05800000002</v>
      </c>
      <c r="J19" s="116">
        <f>10236.233+2022.403+434087.264</f>
        <v>446345.9</v>
      </c>
      <c r="K19" s="116">
        <f>10236.233+2022.403+434087.264</f>
        <v>446345.9</v>
      </c>
      <c r="L19" s="402"/>
      <c r="M19" s="456"/>
      <c r="N19" s="83" t="s">
        <v>303</v>
      </c>
    </row>
    <row r="20" spans="1:14" s="83" customFormat="1" ht="76.5" customHeight="1" x14ac:dyDescent="0.25">
      <c r="A20" s="461"/>
      <c r="B20" s="419"/>
      <c r="C20" s="406"/>
      <c r="D20" s="264" t="s">
        <v>24</v>
      </c>
      <c r="E20" s="265">
        <v>262352.43170000002</v>
      </c>
      <c r="F20" s="266">
        <f t="shared" si="0"/>
        <v>1709475.0640600002</v>
      </c>
      <c r="G20" s="265">
        <f>278507.29472+14583.509-23875.20965-37368.98325+114.8-798.99101-26919.17545+670.64302</f>
        <v>204913.88738000003</v>
      </c>
      <c r="H20" s="265">
        <f>278507.29472+14583.509+11107.25707-12894.15384-20202.57864+46006.51016-254.655</f>
        <v>316853.18346999999</v>
      </c>
      <c r="I20" s="236">
        <f>401890.927-16288.97389-1235.8139</f>
        <v>384366.13920999999</v>
      </c>
      <c r="J20" s="129">
        <f>401890.927-220</f>
        <v>401670.92700000003</v>
      </c>
      <c r="K20" s="129">
        <f>401890.927-220</f>
        <v>401670.92700000003</v>
      </c>
      <c r="L20" s="402"/>
      <c r="M20" s="456"/>
    </row>
    <row r="21" spans="1:14" s="83" customFormat="1" ht="60" customHeight="1" x14ac:dyDescent="0.25">
      <c r="A21" s="461"/>
      <c r="B21" s="419"/>
      <c r="C21" s="406"/>
      <c r="D21" s="264" t="s">
        <v>31</v>
      </c>
      <c r="E21" s="265">
        <v>8751.5480000000007</v>
      </c>
      <c r="F21" s="266">
        <f t="shared" si="0"/>
        <v>83848.924000000014</v>
      </c>
      <c r="G21" s="265">
        <v>473.45499999999998</v>
      </c>
      <c r="H21" s="265">
        <f>607.347+107.217+13194.219</f>
        <v>13908.782999999999</v>
      </c>
      <c r="I21" s="129">
        <v>23155.562000000002</v>
      </c>
      <c r="J21" s="129">
        <v>23155.562000000002</v>
      </c>
      <c r="K21" s="129">
        <v>23155.562000000002</v>
      </c>
      <c r="L21" s="402"/>
      <c r="M21" s="456"/>
      <c r="N21" s="112"/>
    </row>
    <row r="22" spans="1:14" s="83" customFormat="1" ht="109.5" customHeight="1" x14ac:dyDescent="0.25">
      <c r="A22" s="421" t="s">
        <v>45</v>
      </c>
      <c r="B22" s="417" t="s">
        <v>212</v>
      </c>
      <c r="C22" s="267" t="s">
        <v>168</v>
      </c>
      <c r="D22" s="264" t="s">
        <v>2</v>
      </c>
      <c r="E22" s="265"/>
      <c r="F22" s="266">
        <f t="shared" si="0"/>
        <v>19143.225999999999</v>
      </c>
      <c r="G22" s="265">
        <v>0</v>
      </c>
      <c r="H22" s="265">
        <f>20333.3-1190.074</f>
        <v>19143.225999999999</v>
      </c>
      <c r="I22" s="129">
        <v>0</v>
      </c>
      <c r="J22" s="129">
        <v>0</v>
      </c>
      <c r="K22" s="129">
        <v>0</v>
      </c>
      <c r="L22" s="420" t="s">
        <v>6</v>
      </c>
      <c r="M22" s="408" t="s">
        <v>247</v>
      </c>
      <c r="N22" s="112"/>
    </row>
    <row r="23" spans="1:14" s="83" customFormat="1" ht="144" customHeight="1" x14ac:dyDescent="0.25">
      <c r="A23" s="421"/>
      <c r="B23" s="417"/>
      <c r="C23" s="267" t="s">
        <v>73</v>
      </c>
      <c r="D23" s="268" t="s">
        <v>76</v>
      </c>
      <c r="E23" s="265">
        <v>0</v>
      </c>
      <c r="F23" s="266">
        <f t="shared" si="0"/>
        <v>692347.50697999995</v>
      </c>
      <c r="G23" s="265">
        <f>147146.506+13892.84739+78000+13000+6500-573.945+1461.55857-1797.861+2642.4-5212.475</f>
        <v>255059.03095999997</v>
      </c>
      <c r="H23" s="265">
        <f>140705.4-74635.34-22408.8404-3069.18497+17687.22831+990.54+3586.60598+205.79335-44107.07236-77.2956+3113.425+1752.99365</f>
        <v>23744.252959999994</v>
      </c>
      <c r="I23" s="236">
        <f>150243+51612-1206.8039+946.18054-199983.80789+8223.65431</f>
        <v>9834.2230600000057</v>
      </c>
      <c r="J23" s="129">
        <f>150243+51612</f>
        <v>201855</v>
      </c>
      <c r="K23" s="129">
        <f>150243+51612</f>
        <v>201855</v>
      </c>
      <c r="L23" s="420"/>
      <c r="M23" s="408"/>
      <c r="N23" s="83" t="s">
        <v>323</v>
      </c>
    </row>
    <row r="24" spans="1:14" s="83" customFormat="1" ht="64.5" customHeight="1" x14ac:dyDescent="0.25">
      <c r="A24" s="269" t="s">
        <v>100</v>
      </c>
      <c r="B24" s="270" t="s">
        <v>213</v>
      </c>
      <c r="C24" s="267" t="s">
        <v>73</v>
      </c>
      <c r="D24" s="268" t="s">
        <v>76</v>
      </c>
      <c r="E24" s="265">
        <v>0</v>
      </c>
      <c r="F24" s="266">
        <f t="shared" si="0"/>
        <v>1330705.5939699998</v>
      </c>
      <c r="G24" s="265">
        <f>140544+2982-94.91826</f>
        <v>143431.08173999999</v>
      </c>
      <c r="H24" s="265">
        <f>143445+3285+1825+19473.024-574.514</f>
        <v>167453.51</v>
      </c>
      <c r="I24" s="236">
        <f>143445+120450+79497-1277.715-1037.40866-2115.69265</f>
        <v>338961.18368999998</v>
      </c>
      <c r="J24" s="129">
        <f>143445+120450+79497-5924.18146</f>
        <v>337467.81854000001</v>
      </c>
      <c r="K24" s="129">
        <f>143445+120450+79497</f>
        <v>343392</v>
      </c>
      <c r="L24" s="271" t="s">
        <v>6</v>
      </c>
      <c r="M24" s="272" t="s">
        <v>140</v>
      </c>
      <c r="N24" s="83" t="s">
        <v>298</v>
      </c>
    </row>
    <row r="25" spans="1:14" s="83" customFormat="1" ht="64.5" customHeight="1" x14ac:dyDescent="0.25">
      <c r="A25" s="269" t="s">
        <v>141</v>
      </c>
      <c r="B25" s="270" t="s">
        <v>214</v>
      </c>
      <c r="C25" s="267" t="s">
        <v>73</v>
      </c>
      <c r="D25" s="268" t="s">
        <v>76</v>
      </c>
      <c r="E25" s="265">
        <v>0</v>
      </c>
      <c r="F25" s="266">
        <f t="shared" si="0"/>
        <v>0</v>
      </c>
      <c r="G25" s="265">
        <v>0</v>
      </c>
      <c r="H25" s="265">
        <v>0</v>
      </c>
      <c r="I25" s="129">
        <v>0</v>
      </c>
      <c r="J25" s="129">
        <v>0</v>
      </c>
      <c r="K25" s="129">
        <v>0</v>
      </c>
      <c r="L25" s="271" t="s">
        <v>6</v>
      </c>
      <c r="M25" s="272" t="s">
        <v>142</v>
      </c>
    </row>
    <row r="26" spans="1:14" s="83" customFormat="1" ht="56.25" x14ac:dyDescent="0.25">
      <c r="A26" s="269" t="s">
        <v>143</v>
      </c>
      <c r="B26" s="270" t="s">
        <v>215</v>
      </c>
      <c r="C26" s="267" t="s">
        <v>73</v>
      </c>
      <c r="D26" s="268" t="s">
        <v>76</v>
      </c>
      <c r="E26" s="265">
        <v>0</v>
      </c>
      <c r="F26" s="266">
        <f t="shared" si="0"/>
        <v>0</v>
      </c>
      <c r="G26" s="265">
        <v>0</v>
      </c>
      <c r="H26" s="265">
        <v>0</v>
      </c>
      <c r="I26" s="129">
        <v>0</v>
      </c>
      <c r="J26" s="129">
        <v>0</v>
      </c>
      <c r="K26" s="129">
        <v>0</v>
      </c>
      <c r="L26" s="271" t="s">
        <v>6</v>
      </c>
      <c r="M26" s="272" t="s">
        <v>98</v>
      </c>
    </row>
    <row r="27" spans="1:14" s="83" customFormat="1" ht="56.25" x14ac:dyDescent="0.25">
      <c r="A27" s="269" t="s">
        <v>144</v>
      </c>
      <c r="B27" s="270" t="s">
        <v>216</v>
      </c>
      <c r="C27" s="267" t="s">
        <v>73</v>
      </c>
      <c r="D27" s="268" t="s">
        <v>76</v>
      </c>
      <c r="E27" s="265">
        <v>0</v>
      </c>
      <c r="F27" s="266">
        <f t="shared" si="0"/>
        <v>0</v>
      </c>
      <c r="G27" s="265">
        <v>0</v>
      </c>
      <c r="H27" s="265">
        <v>0</v>
      </c>
      <c r="I27" s="129">
        <v>0</v>
      </c>
      <c r="J27" s="129">
        <v>0</v>
      </c>
      <c r="K27" s="129">
        <v>0</v>
      </c>
      <c r="L27" s="271" t="s">
        <v>6</v>
      </c>
      <c r="M27" s="272" t="s">
        <v>145</v>
      </c>
    </row>
    <row r="28" spans="1:14" s="83" customFormat="1" ht="110.25" customHeight="1" x14ac:dyDescent="0.25">
      <c r="A28" s="421" t="s">
        <v>154</v>
      </c>
      <c r="B28" s="417" t="s">
        <v>217</v>
      </c>
      <c r="C28" s="418" t="s">
        <v>271</v>
      </c>
      <c r="D28" s="259" t="s">
        <v>65</v>
      </c>
      <c r="E28" s="265">
        <v>0</v>
      </c>
      <c r="F28" s="266">
        <f t="shared" si="0"/>
        <v>188139</v>
      </c>
      <c r="G28" s="265">
        <f>45466+1224</f>
        <v>46690</v>
      </c>
      <c r="H28" s="265">
        <f>140069+1380</f>
        <v>141449</v>
      </c>
      <c r="I28" s="129">
        <f>140069-140069</f>
        <v>0</v>
      </c>
      <c r="J28" s="129">
        <f>140069-140069</f>
        <v>0</v>
      </c>
      <c r="K28" s="129">
        <f>143975+11-143986</f>
        <v>0</v>
      </c>
      <c r="L28" s="420" t="s">
        <v>6</v>
      </c>
      <c r="M28" s="408" t="s">
        <v>155</v>
      </c>
    </row>
    <row r="29" spans="1:14" s="83" customFormat="1" ht="93" customHeight="1" x14ac:dyDescent="0.25">
      <c r="A29" s="421"/>
      <c r="B29" s="417"/>
      <c r="C29" s="418"/>
      <c r="D29" s="259" t="s">
        <v>2</v>
      </c>
      <c r="E29" s="265">
        <v>0</v>
      </c>
      <c r="F29" s="266">
        <f t="shared" si="0"/>
        <v>0</v>
      </c>
      <c r="G29" s="265">
        <v>0</v>
      </c>
      <c r="H29" s="265">
        <v>0</v>
      </c>
      <c r="I29" s="129">
        <v>0</v>
      </c>
      <c r="J29" s="129">
        <v>0</v>
      </c>
      <c r="K29" s="129">
        <v>0</v>
      </c>
      <c r="L29" s="420"/>
      <c r="M29" s="408"/>
    </row>
    <row r="30" spans="1:14" s="83" customFormat="1" ht="90" customHeight="1" x14ac:dyDescent="0.25">
      <c r="A30" s="421"/>
      <c r="B30" s="417"/>
      <c r="C30" s="418"/>
      <c r="D30" s="259" t="s">
        <v>78</v>
      </c>
      <c r="E30" s="265">
        <v>0</v>
      </c>
      <c r="F30" s="266">
        <f t="shared" si="0"/>
        <v>0</v>
      </c>
      <c r="G30" s="265">
        <v>0</v>
      </c>
      <c r="H30" s="265">
        <v>0</v>
      </c>
      <c r="I30" s="129">
        <v>0</v>
      </c>
      <c r="J30" s="129">
        <v>0</v>
      </c>
      <c r="K30" s="129">
        <v>0</v>
      </c>
      <c r="L30" s="420"/>
      <c r="M30" s="408"/>
    </row>
    <row r="31" spans="1:14" s="83" customFormat="1" ht="75" customHeight="1" x14ac:dyDescent="0.25">
      <c r="A31" s="421" t="s">
        <v>156</v>
      </c>
      <c r="B31" s="417" t="s">
        <v>218</v>
      </c>
      <c r="C31" s="418" t="s">
        <v>73</v>
      </c>
      <c r="D31" s="259" t="s">
        <v>2</v>
      </c>
      <c r="E31" s="265">
        <v>0</v>
      </c>
      <c r="F31" s="266">
        <f t="shared" si="0"/>
        <v>0</v>
      </c>
      <c r="G31" s="265">
        <v>0</v>
      </c>
      <c r="H31" s="265">
        <v>0</v>
      </c>
      <c r="I31" s="129">
        <v>0</v>
      </c>
      <c r="J31" s="129">
        <v>0</v>
      </c>
      <c r="K31" s="129">
        <v>0</v>
      </c>
      <c r="L31" s="420" t="s">
        <v>6</v>
      </c>
      <c r="M31" s="408" t="s">
        <v>157</v>
      </c>
    </row>
    <row r="32" spans="1:14" s="83" customFormat="1" ht="81" customHeight="1" x14ac:dyDescent="0.25">
      <c r="A32" s="421"/>
      <c r="B32" s="417"/>
      <c r="C32" s="418"/>
      <c r="D32" s="259" t="s">
        <v>78</v>
      </c>
      <c r="E32" s="265">
        <v>0</v>
      </c>
      <c r="F32" s="266">
        <f t="shared" si="0"/>
        <v>0</v>
      </c>
      <c r="G32" s="265">
        <v>0</v>
      </c>
      <c r="H32" s="265">
        <v>0</v>
      </c>
      <c r="I32" s="129">
        <v>0</v>
      </c>
      <c r="J32" s="129">
        <v>0</v>
      </c>
      <c r="K32" s="129">
        <v>0</v>
      </c>
      <c r="L32" s="420"/>
      <c r="M32" s="408"/>
    </row>
    <row r="33" spans="1:14" s="83" customFormat="1" ht="133.5" customHeight="1" x14ac:dyDescent="0.25">
      <c r="A33" s="421" t="s">
        <v>258</v>
      </c>
      <c r="B33" s="417" t="s">
        <v>259</v>
      </c>
      <c r="C33" s="418" t="s">
        <v>168</v>
      </c>
      <c r="D33" s="259" t="s">
        <v>2</v>
      </c>
      <c r="E33" s="265">
        <v>0</v>
      </c>
      <c r="F33" s="266">
        <f t="shared" ref="F33:F34" si="5">SUM(G33:K33)</f>
        <v>294.13657999999998</v>
      </c>
      <c r="G33" s="265">
        <v>0</v>
      </c>
      <c r="H33" s="265">
        <v>294.13657999999998</v>
      </c>
      <c r="I33" s="129">
        <f>41350-41350</f>
        <v>0</v>
      </c>
      <c r="J33" s="129">
        <f>12954-12954</f>
        <v>0</v>
      </c>
      <c r="K33" s="129">
        <f>102408-102408</f>
        <v>0</v>
      </c>
      <c r="L33" s="420" t="s">
        <v>6</v>
      </c>
      <c r="M33" s="408" t="s">
        <v>290</v>
      </c>
    </row>
    <row r="34" spans="1:14" s="83" customFormat="1" ht="159" customHeight="1" x14ac:dyDescent="0.25">
      <c r="A34" s="421"/>
      <c r="B34" s="417"/>
      <c r="C34" s="418"/>
      <c r="D34" s="259" t="s">
        <v>78</v>
      </c>
      <c r="E34" s="265">
        <v>0</v>
      </c>
      <c r="F34" s="266">
        <f t="shared" si="5"/>
        <v>403210.66389999999</v>
      </c>
      <c r="G34" s="265">
        <v>0</v>
      </c>
      <c r="H34" s="265">
        <f>17301.16249+2526.076+10846.29+121.22342+636.6-173.01163+1055.624-438.328-271.51644</f>
        <v>31604.119839999996</v>
      </c>
      <c r="I34" s="129">
        <f>12162-12162+200253.78433+46190+69145.75973</f>
        <v>315589.54405999999</v>
      </c>
      <c r="J34" s="129">
        <v>56017</v>
      </c>
      <c r="K34" s="129">
        <f>30120-30120</f>
        <v>0</v>
      </c>
      <c r="L34" s="420"/>
      <c r="M34" s="408"/>
      <c r="N34" s="83" t="s">
        <v>324</v>
      </c>
    </row>
    <row r="35" spans="1:14" s="83" customFormat="1" ht="132" customHeight="1" x14ac:dyDescent="0.25">
      <c r="A35" s="457" t="s">
        <v>270</v>
      </c>
      <c r="B35" s="459" t="s">
        <v>274</v>
      </c>
      <c r="C35" s="438" t="s">
        <v>269</v>
      </c>
      <c r="D35" s="259" t="s">
        <v>65</v>
      </c>
      <c r="E35" s="265"/>
      <c r="F35" s="253">
        <f t="shared" ref="F35:F37" si="6">SUM(G35:K35)</f>
        <v>431790</v>
      </c>
      <c r="G35" s="265">
        <v>0</v>
      </c>
      <c r="H35" s="265">
        <v>0</v>
      </c>
      <c r="I35" s="236">
        <f>140069+7666</f>
        <v>147735</v>
      </c>
      <c r="J35" s="129">
        <v>140069</v>
      </c>
      <c r="K35" s="129">
        <f>143975+11</f>
        <v>143986</v>
      </c>
      <c r="L35" s="409" t="s">
        <v>6</v>
      </c>
      <c r="M35" s="411" t="s">
        <v>275</v>
      </c>
    </row>
    <row r="36" spans="1:14" s="83" customFormat="1" ht="138.75" customHeight="1" x14ac:dyDescent="0.25">
      <c r="A36" s="458"/>
      <c r="B36" s="460"/>
      <c r="C36" s="439"/>
      <c r="D36" s="259" t="s">
        <v>2</v>
      </c>
      <c r="E36" s="260">
        <v>2978099</v>
      </c>
      <c r="F36" s="253">
        <f t="shared" si="6"/>
        <v>16448515</v>
      </c>
      <c r="G36" s="260">
        <v>0</v>
      </c>
      <c r="H36" s="260">
        <v>0</v>
      </c>
      <c r="I36" s="330">
        <f>5438708-90842+362175+42742</f>
        <v>5752783</v>
      </c>
      <c r="J36" s="116">
        <f>5438708-90842</f>
        <v>5347866</v>
      </c>
      <c r="K36" s="116">
        <f>5438708-90831-11</f>
        <v>5347866</v>
      </c>
      <c r="L36" s="410"/>
      <c r="M36" s="412"/>
    </row>
    <row r="37" spans="1:14" s="83" customFormat="1" ht="350.25" customHeight="1" x14ac:dyDescent="0.25">
      <c r="A37" s="247" t="s">
        <v>272</v>
      </c>
      <c r="B37" s="258" t="s">
        <v>273</v>
      </c>
      <c r="C37" s="259" t="s">
        <v>269</v>
      </c>
      <c r="D37" s="259" t="s">
        <v>2</v>
      </c>
      <c r="E37" s="260">
        <v>264347</v>
      </c>
      <c r="F37" s="253">
        <f t="shared" si="6"/>
        <v>1218681</v>
      </c>
      <c r="G37" s="260">
        <v>0</v>
      </c>
      <c r="H37" s="260">
        <v>0</v>
      </c>
      <c r="I37" s="116">
        <v>406227</v>
      </c>
      <c r="J37" s="116">
        <v>406227</v>
      </c>
      <c r="K37" s="116">
        <v>406227</v>
      </c>
      <c r="L37" s="261" t="s">
        <v>6</v>
      </c>
      <c r="M37" s="263" t="s">
        <v>61</v>
      </c>
    </row>
    <row r="38" spans="1:14" s="83" customFormat="1" ht="18.75" x14ac:dyDescent="0.25">
      <c r="A38" s="416" t="s">
        <v>165</v>
      </c>
      <c r="B38" s="434" t="s">
        <v>172</v>
      </c>
      <c r="C38" s="434" t="s">
        <v>73</v>
      </c>
      <c r="D38" s="251" t="s">
        <v>5</v>
      </c>
      <c r="E38" s="252">
        <f>E40+E41+E39</f>
        <v>295275.34999999998</v>
      </c>
      <c r="F38" s="253">
        <f t="shared" si="0"/>
        <v>2709496.9434699998</v>
      </c>
      <c r="G38" s="252">
        <f>G40+G41+G39</f>
        <v>386688.90373000002</v>
      </c>
      <c r="H38" s="252">
        <f>H40+H41+H39</f>
        <v>493472.90046999999</v>
      </c>
      <c r="I38" s="95">
        <f>I40+I41+I39</f>
        <v>607904.99044000008</v>
      </c>
      <c r="J38" s="95">
        <f>J40+J41+J39</f>
        <v>611891.75037000002</v>
      </c>
      <c r="K38" s="95">
        <f>K40+K41+K39</f>
        <v>609538.39845999994</v>
      </c>
      <c r="L38" s="398"/>
      <c r="M38" s="407"/>
    </row>
    <row r="39" spans="1:14" s="83" customFormat="1" ht="39.75" customHeight="1" x14ac:dyDescent="0.25">
      <c r="A39" s="416"/>
      <c r="B39" s="434"/>
      <c r="C39" s="434"/>
      <c r="D39" s="251" t="s">
        <v>65</v>
      </c>
      <c r="E39" s="254">
        <f>E53</f>
        <v>0</v>
      </c>
      <c r="F39" s="253">
        <f t="shared" si="0"/>
        <v>658424.53700999997</v>
      </c>
      <c r="G39" s="254">
        <f>G53+G58</f>
        <v>54688.388480000001</v>
      </c>
      <c r="H39" s="254">
        <f>H53+H58</f>
        <v>125519.44619999998</v>
      </c>
      <c r="I39" s="140">
        <f>I53+I58</f>
        <v>160622.47536000004</v>
      </c>
      <c r="J39" s="140">
        <f>J53+J58</f>
        <v>156598.16683</v>
      </c>
      <c r="K39" s="140">
        <f>K53+K58</f>
        <v>160996.06013999999</v>
      </c>
      <c r="L39" s="398"/>
      <c r="M39" s="407"/>
    </row>
    <row r="40" spans="1:14" s="83" customFormat="1" ht="39.75" customHeight="1" x14ac:dyDescent="0.25">
      <c r="A40" s="416"/>
      <c r="B40" s="434"/>
      <c r="C40" s="434"/>
      <c r="D40" s="251" t="s">
        <v>2</v>
      </c>
      <c r="E40" s="254">
        <f>E42+E44+E46+E47+E49+E51+E54+E56</f>
        <v>216647</v>
      </c>
      <c r="F40" s="253">
        <f t="shared" si="0"/>
        <v>1059009.4919699999</v>
      </c>
      <c r="G40" s="140">
        <f t="shared" ref="G40:I40" si="7">G42+G44+G46+G47+G49+G51+G54+G56+G59+G61+G63</f>
        <v>225682.61152000001</v>
      </c>
      <c r="H40" s="140">
        <f t="shared" si="7"/>
        <v>219489.34278000001</v>
      </c>
      <c r="I40" s="140">
        <f t="shared" si="7"/>
        <v>205522.54464000001</v>
      </c>
      <c r="J40" s="140">
        <f>J42+J44+J46+J47+J49+J51+J54+J56+J59+J61+J63</f>
        <v>207431.05317</v>
      </c>
      <c r="K40" s="140">
        <f>K42+K44+K46+K47+K49+K51+K54+K56+K59+K61+K63</f>
        <v>200883.93985999998</v>
      </c>
      <c r="L40" s="398"/>
      <c r="M40" s="407"/>
    </row>
    <row r="41" spans="1:14" s="83" customFormat="1" ht="58.5" customHeight="1" x14ac:dyDescent="0.25">
      <c r="A41" s="416"/>
      <c r="B41" s="434"/>
      <c r="C41" s="434"/>
      <c r="D41" s="251" t="s">
        <v>77</v>
      </c>
      <c r="E41" s="254">
        <f>E45+E48+E50+E43+E52+E55+E57</f>
        <v>78628.350000000006</v>
      </c>
      <c r="F41" s="253">
        <f t="shared" si="0"/>
        <v>992062.91449000011</v>
      </c>
      <c r="G41" s="140">
        <f t="shared" ref="G41:I41" si="8">G45+G48+G50+G43+G52+G55+G57+G60+G62+G64</f>
        <v>106317.90373000001</v>
      </c>
      <c r="H41" s="140">
        <f t="shared" si="8"/>
        <v>148464.11148999998</v>
      </c>
      <c r="I41" s="140">
        <f t="shared" si="8"/>
        <v>241759.97044</v>
      </c>
      <c r="J41" s="140">
        <f>J45+J48+J50+J43+J52+J55+J57+J60+J62+J64</f>
        <v>247862.53036999999</v>
      </c>
      <c r="K41" s="140">
        <f>K45+K48+K50+K43+K52+K55+K57+K60+K62+K64</f>
        <v>247658.39846</v>
      </c>
      <c r="L41" s="398"/>
      <c r="M41" s="407"/>
    </row>
    <row r="42" spans="1:14" s="83" customFormat="1" ht="74.25" customHeight="1" x14ac:dyDescent="0.25">
      <c r="A42" s="404" t="s">
        <v>46</v>
      </c>
      <c r="B42" s="405" t="s">
        <v>256</v>
      </c>
      <c r="C42" s="406" t="s">
        <v>271</v>
      </c>
      <c r="D42" s="259" t="s">
        <v>2</v>
      </c>
      <c r="E42" s="260">
        <v>13649</v>
      </c>
      <c r="F42" s="253">
        <f t="shared" ref="F42:F91" si="9">SUM(G42:K42)</f>
        <v>28197</v>
      </c>
      <c r="G42" s="260">
        <v>14040</v>
      </c>
      <c r="H42" s="260">
        <v>14157</v>
      </c>
      <c r="I42" s="116">
        <f>14759-14759</f>
        <v>0</v>
      </c>
      <c r="J42" s="116">
        <f>14759-14759</f>
        <v>0</v>
      </c>
      <c r="K42" s="116">
        <f>14759-14759</f>
        <v>0</v>
      </c>
      <c r="L42" s="402" t="s">
        <v>295</v>
      </c>
      <c r="M42" s="397" t="s">
        <v>152</v>
      </c>
    </row>
    <row r="43" spans="1:14" s="83" customFormat="1" ht="81" customHeight="1" x14ac:dyDescent="0.25">
      <c r="A43" s="404"/>
      <c r="B43" s="405"/>
      <c r="C43" s="406"/>
      <c r="D43" s="259" t="s">
        <v>77</v>
      </c>
      <c r="E43" s="260">
        <v>0</v>
      </c>
      <c r="F43" s="253">
        <f t="shared" si="9"/>
        <v>13740.396999999999</v>
      </c>
      <c r="G43" s="260">
        <f>4207.099+1274</f>
        <v>5481.0990000000002</v>
      </c>
      <c r="H43" s="260">
        <f>5617.388+2641.91</f>
        <v>8259.2979999999989</v>
      </c>
      <c r="I43" s="116">
        <f>5617.388-5617.388</f>
        <v>0</v>
      </c>
      <c r="J43" s="116">
        <f>5617.388-5617.388</f>
        <v>0</v>
      </c>
      <c r="K43" s="116">
        <f>5617.388-5617.388</f>
        <v>0</v>
      </c>
      <c r="L43" s="402"/>
      <c r="M43" s="397"/>
    </row>
    <row r="44" spans="1:14" s="83" customFormat="1" ht="97.5" customHeight="1" x14ac:dyDescent="0.25">
      <c r="A44" s="404" t="s">
        <v>47</v>
      </c>
      <c r="B44" s="405" t="s">
        <v>219</v>
      </c>
      <c r="C44" s="406" t="s">
        <v>73</v>
      </c>
      <c r="D44" s="259" t="s">
        <v>2</v>
      </c>
      <c r="E44" s="260">
        <v>200475</v>
      </c>
      <c r="F44" s="253">
        <f t="shared" si="9"/>
        <v>104348</v>
      </c>
      <c r="G44" s="260">
        <f>202841-82029-16464</f>
        <v>104348</v>
      </c>
      <c r="H44" s="260">
        <f>202841-202841</f>
        <v>0</v>
      </c>
      <c r="I44" s="116">
        <f>202841-202841</f>
        <v>0</v>
      </c>
      <c r="J44" s="116">
        <v>0</v>
      </c>
      <c r="K44" s="116">
        <v>0</v>
      </c>
      <c r="L44" s="402" t="s">
        <v>6</v>
      </c>
      <c r="M44" s="397" t="s">
        <v>153</v>
      </c>
    </row>
    <row r="45" spans="1:14" s="83" customFormat="1" ht="78.75" customHeight="1" x14ac:dyDescent="0.25">
      <c r="A45" s="404"/>
      <c r="B45" s="405"/>
      <c r="C45" s="406"/>
      <c r="D45" s="259" t="s">
        <v>77</v>
      </c>
      <c r="E45" s="260">
        <v>70667.320000000007</v>
      </c>
      <c r="F45" s="253">
        <f t="shared" si="9"/>
        <v>87875.051999999996</v>
      </c>
      <c r="G45" s="260">
        <f>86888.555+684.497+302</f>
        <v>87875.051999999996</v>
      </c>
      <c r="H45" s="260">
        <v>0</v>
      </c>
      <c r="I45" s="116">
        <v>0</v>
      </c>
      <c r="J45" s="116">
        <v>0</v>
      </c>
      <c r="K45" s="116">
        <v>0</v>
      </c>
      <c r="L45" s="402"/>
      <c r="M45" s="397"/>
    </row>
    <row r="46" spans="1:14" s="83" customFormat="1" ht="99.75" customHeight="1" x14ac:dyDescent="0.25">
      <c r="A46" s="247" t="s">
        <v>48</v>
      </c>
      <c r="B46" s="273" t="s">
        <v>220</v>
      </c>
      <c r="C46" s="259" t="s">
        <v>73</v>
      </c>
      <c r="D46" s="259" t="s">
        <v>2</v>
      </c>
      <c r="E46" s="260">
        <v>93</v>
      </c>
      <c r="F46" s="253">
        <f t="shared" si="9"/>
        <v>197</v>
      </c>
      <c r="G46" s="260">
        <f>85-56</f>
        <v>29</v>
      </c>
      <c r="H46" s="260">
        <f>75-68</f>
        <v>7</v>
      </c>
      <c r="I46" s="116">
        <f>52+5</f>
        <v>57</v>
      </c>
      <c r="J46" s="116">
        <v>52</v>
      </c>
      <c r="K46" s="116">
        <v>52</v>
      </c>
      <c r="L46" s="261" t="s">
        <v>6</v>
      </c>
      <c r="M46" s="263" t="s">
        <v>25</v>
      </c>
    </row>
    <row r="47" spans="1:14" s="83" customFormat="1" ht="37.5" x14ac:dyDescent="0.25">
      <c r="A47" s="404" t="s">
        <v>49</v>
      </c>
      <c r="B47" s="405" t="s">
        <v>221</v>
      </c>
      <c r="C47" s="406" t="s">
        <v>73</v>
      </c>
      <c r="D47" s="259" t="s">
        <v>2</v>
      </c>
      <c r="E47" s="260">
        <v>1680</v>
      </c>
      <c r="F47" s="253">
        <f t="shared" si="9"/>
        <v>0</v>
      </c>
      <c r="G47" s="260">
        <v>0</v>
      </c>
      <c r="H47" s="260">
        <f>1680-1680</f>
        <v>0</v>
      </c>
      <c r="I47" s="116">
        <f>1680-1680</f>
        <v>0</v>
      </c>
      <c r="J47" s="116">
        <f>1680-1680</f>
        <v>0</v>
      </c>
      <c r="K47" s="116">
        <v>0</v>
      </c>
      <c r="L47" s="402" t="s">
        <v>6</v>
      </c>
      <c r="M47" s="397" t="s">
        <v>248</v>
      </c>
    </row>
    <row r="48" spans="1:14" s="83" customFormat="1" ht="56.25" x14ac:dyDescent="0.25">
      <c r="A48" s="404"/>
      <c r="B48" s="405"/>
      <c r="C48" s="406"/>
      <c r="D48" s="259" t="s">
        <v>77</v>
      </c>
      <c r="E48" s="260">
        <v>420</v>
      </c>
      <c r="F48" s="253">
        <f t="shared" si="9"/>
        <v>0</v>
      </c>
      <c r="G48" s="260">
        <v>0</v>
      </c>
      <c r="H48" s="260">
        <f>420-420</f>
        <v>0</v>
      </c>
      <c r="I48" s="116">
        <f>420-420</f>
        <v>0</v>
      </c>
      <c r="J48" s="116">
        <f>420-420</f>
        <v>0</v>
      </c>
      <c r="K48" s="116">
        <v>0</v>
      </c>
      <c r="L48" s="402"/>
      <c r="M48" s="397"/>
    </row>
    <row r="49" spans="1:14" s="83" customFormat="1" ht="37.5" x14ac:dyDescent="0.25">
      <c r="A49" s="404" t="s">
        <v>136</v>
      </c>
      <c r="B49" s="419" t="s">
        <v>222</v>
      </c>
      <c r="C49" s="406" t="s">
        <v>73</v>
      </c>
      <c r="D49" s="259" t="s">
        <v>2</v>
      </c>
      <c r="E49" s="260">
        <v>750</v>
      </c>
      <c r="F49" s="253">
        <f t="shared" si="9"/>
        <v>4374</v>
      </c>
      <c r="G49" s="260">
        <f>896-133</f>
        <v>763</v>
      </c>
      <c r="H49" s="260">
        <v>701.99999999999989</v>
      </c>
      <c r="I49" s="116">
        <f>790+142</f>
        <v>932</v>
      </c>
      <c r="J49" s="116">
        <f>822+147</f>
        <v>969</v>
      </c>
      <c r="K49" s="116">
        <f>854+154</f>
        <v>1008</v>
      </c>
      <c r="L49" s="402" t="s">
        <v>6</v>
      </c>
      <c r="M49" s="397" t="s">
        <v>58</v>
      </c>
    </row>
    <row r="50" spans="1:14" s="83" customFormat="1" ht="56.25" x14ac:dyDescent="0.25">
      <c r="A50" s="404"/>
      <c r="B50" s="419"/>
      <c r="C50" s="406"/>
      <c r="D50" s="259" t="s">
        <v>77</v>
      </c>
      <c r="E50" s="260">
        <v>7541.03</v>
      </c>
      <c r="F50" s="253">
        <f t="shared" si="9"/>
        <v>36665.560729999997</v>
      </c>
      <c r="G50" s="260">
        <f>9540.413-1810+254.60973-87.01</f>
        <v>7898.0127300000004</v>
      </c>
      <c r="H50" s="260">
        <v>7464.0630000000001</v>
      </c>
      <c r="I50" s="116">
        <f>6131.495+790+142</f>
        <v>7063.4949999999999</v>
      </c>
      <c r="J50" s="116">
        <f>6131.495+822+147</f>
        <v>7100.4949999999999</v>
      </c>
      <c r="K50" s="116">
        <f>6131.495+854+154</f>
        <v>7139.4949999999999</v>
      </c>
      <c r="L50" s="402"/>
      <c r="M50" s="397"/>
    </row>
    <row r="51" spans="1:14" s="83" customFormat="1" ht="125.25" customHeight="1" x14ac:dyDescent="0.25">
      <c r="A51" s="404" t="s">
        <v>137</v>
      </c>
      <c r="B51" s="405" t="s">
        <v>223</v>
      </c>
      <c r="C51" s="406" t="s">
        <v>73</v>
      </c>
      <c r="D51" s="259" t="s">
        <v>2</v>
      </c>
      <c r="E51" s="260">
        <v>0</v>
      </c>
      <c r="F51" s="253">
        <f t="shared" si="9"/>
        <v>64979</v>
      </c>
      <c r="G51" s="260">
        <f>62765+2214</f>
        <v>64979</v>
      </c>
      <c r="H51" s="260">
        <v>0</v>
      </c>
      <c r="I51" s="116">
        <v>0</v>
      </c>
      <c r="J51" s="116">
        <v>0</v>
      </c>
      <c r="K51" s="116">
        <v>0</v>
      </c>
      <c r="L51" s="402" t="s">
        <v>6</v>
      </c>
      <c r="M51" s="397" t="s">
        <v>159</v>
      </c>
    </row>
    <row r="52" spans="1:14" s="83" customFormat="1" ht="128.25" customHeight="1" x14ac:dyDescent="0.25">
      <c r="A52" s="404"/>
      <c r="B52" s="405"/>
      <c r="C52" s="406"/>
      <c r="D52" s="259" t="s">
        <v>77</v>
      </c>
      <c r="E52" s="260">
        <v>0</v>
      </c>
      <c r="F52" s="253">
        <f t="shared" si="9"/>
        <v>0</v>
      </c>
      <c r="G52" s="260">
        <v>0</v>
      </c>
      <c r="H52" s="260">
        <v>0</v>
      </c>
      <c r="I52" s="116">
        <v>0</v>
      </c>
      <c r="J52" s="116">
        <v>0</v>
      </c>
      <c r="K52" s="116">
        <v>0</v>
      </c>
      <c r="L52" s="402"/>
      <c r="M52" s="397"/>
    </row>
    <row r="53" spans="1:14" s="83" customFormat="1" ht="36.75" customHeight="1" x14ac:dyDescent="0.25">
      <c r="A53" s="404" t="s">
        <v>138</v>
      </c>
      <c r="B53" s="405" t="s">
        <v>224</v>
      </c>
      <c r="C53" s="406" t="s">
        <v>73</v>
      </c>
      <c r="D53" s="259" t="s">
        <v>65</v>
      </c>
      <c r="E53" s="260">
        <v>0</v>
      </c>
      <c r="F53" s="253">
        <f t="shared" si="9"/>
        <v>658424.53700999997</v>
      </c>
      <c r="G53" s="260">
        <v>54688.388480000001</v>
      </c>
      <c r="H53" s="260">
        <f>134386.38781+0.01251-0.0125-8866.94162</f>
        <v>125519.44619999998</v>
      </c>
      <c r="I53" s="116">
        <f>148706.477+0.01309-0.01309+6564.88863+0.00437+3121.63087+2229.47786-0.00337</f>
        <v>160622.47536000004</v>
      </c>
      <c r="J53" s="116">
        <f>148891.32119-0.01332+7715.06971+0.00242-8.21317</f>
        <v>156598.16683</v>
      </c>
      <c r="K53" s="116">
        <f>161337.9-341.83986</f>
        <v>160996.06013999999</v>
      </c>
      <c r="L53" s="402" t="s">
        <v>6</v>
      </c>
      <c r="M53" s="397" t="s">
        <v>158</v>
      </c>
    </row>
    <row r="54" spans="1:14" s="83" customFormat="1" ht="37.5" x14ac:dyDescent="0.25">
      <c r="A54" s="404"/>
      <c r="B54" s="405"/>
      <c r="C54" s="406"/>
      <c r="D54" s="259" t="s">
        <v>2</v>
      </c>
      <c r="E54" s="260">
        <v>0</v>
      </c>
      <c r="F54" s="253">
        <f t="shared" si="9"/>
        <v>413963.27196999994</v>
      </c>
      <c r="G54" s="260">
        <v>41523.611519999999</v>
      </c>
      <c r="H54" s="260">
        <f>71548.61219-0.01251+16233.70287+0.00963-5791.9694</f>
        <v>81990.342779999992</v>
      </c>
      <c r="I54" s="116">
        <f>94272.63+1895.36913-0.82+1456.36214+0.00337</f>
        <v>97623.544640000007</v>
      </c>
      <c r="J54" s="116">
        <f>95082.62-4.78683</f>
        <v>95077.833169999998</v>
      </c>
      <c r="K54" s="116">
        <f>97956.1-208.16014</f>
        <v>97747.939859999999</v>
      </c>
      <c r="L54" s="402"/>
      <c r="M54" s="397"/>
      <c r="N54" s="83" t="s">
        <v>299</v>
      </c>
    </row>
    <row r="55" spans="1:14" s="83" customFormat="1" ht="56.25" x14ac:dyDescent="0.25">
      <c r="A55" s="404"/>
      <c r="B55" s="405"/>
      <c r="C55" s="406"/>
      <c r="D55" s="259" t="s">
        <v>77</v>
      </c>
      <c r="E55" s="260">
        <v>0</v>
      </c>
      <c r="F55" s="253">
        <f t="shared" si="9"/>
        <v>115438.09008000001</v>
      </c>
      <c r="G55" s="260">
        <f>5063.74</f>
        <v>5063.74</v>
      </c>
      <c r="H55" s="260">
        <f>42928.98455+0.00046-16233.9942-1761.36</f>
        <v>24933.630810000002</v>
      </c>
      <c r="I55" s="116">
        <f>43815.30126-16104.48772+16.21604+0.00042+557.43444+443</f>
        <v>28727.464440000003</v>
      </c>
      <c r="J55" s="116">
        <f>27965.43-1.47163</f>
        <v>27963.95837</v>
      </c>
      <c r="K55" s="116">
        <f>28810.34-61.04354</f>
        <v>28749.296460000001</v>
      </c>
      <c r="L55" s="402"/>
      <c r="M55" s="397"/>
    </row>
    <row r="56" spans="1:14" s="83" customFormat="1" ht="78.75" customHeight="1" x14ac:dyDescent="0.25">
      <c r="A56" s="404" t="s">
        <v>161</v>
      </c>
      <c r="B56" s="405" t="s">
        <v>225</v>
      </c>
      <c r="C56" s="406" t="s">
        <v>168</v>
      </c>
      <c r="D56" s="259" t="s">
        <v>2</v>
      </c>
      <c r="E56" s="260">
        <v>0</v>
      </c>
      <c r="F56" s="253">
        <f t="shared" si="9"/>
        <v>429675</v>
      </c>
      <c r="G56" s="260">
        <v>0</v>
      </c>
      <c r="H56" s="260">
        <f>145724-10977-12114</f>
        <v>122633</v>
      </c>
      <c r="I56" s="116">
        <f>102076+814</f>
        <v>102890</v>
      </c>
      <c r="J56" s="116">
        <v>102076</v>
      </c>
      <c r="K56" s="116">
        <v>102076</v>
      </c>
      <c r="L56" s="402" t="s">
        <v>6</v>
      </c>
      <c r="M56" s="397" t="s">
        <v>226</v>
      </c>
    </row>
    <row r="57" spans="1:14" s="83" customFormat="1" ht="56.25" x14ac:dyDescent="0.25">
      <c r="A57" s="404"/>
      <c r="B57" s="405"/>
      <c r="C57" s="406"/>
      <c r="D57" s="259" t="s">
        <v>77</v>
      </c>
      <c r="E57" s="260">
        <v>0</v>
      </c>
      <c r="F57" s="253">
        <f t="shared" si="9"/>
        <v>737315.34467999998</v>
      </c>
      <c r="G57" s="260">
        <v>0</v>
      </c>
      <c r="H57" s="260">
        <f>16192+86888.555+11044.922+1646.643-1220-0.00032-2099-1346-3300</f>
        <v>107807.11967999999</v>
      </c>
      <c r="I57" s="116">
        <f>158205.607+53564-443+231+1026.101-6614.697</f>
        <v>205969.011</v>
      </c>
      <c r="J57" s="116">
        <f>158205.607+53564</f>
        <v>211769.60699999999</v>
      </c>
      <c r="K57" s="116">
        <f>158205.607+53564</f>
        <v>211769.60699999999</v>
      </c>
      <c r="L57" s="402"/>
      <c r="M57" s="397"/>
    </row>
    <row r="58" spans="1:14" s="83" customFormat="1" ht="36.75" customHeight="1" x14ac:dyDescent="0.25">
      <c r="A58" s="404" t="s">
        <v>167</v>
      </c>
      <c r="B58" s="405" t="s">
        <v>189</v>
      </c>
      <c r="C58" s="406" t="s">
        <v>168</v>
      </c>
      <c r="D58" s="259" t="s">
        <v>65</v>
      </c>
      <c r="E58" s="260">
        <v>0</v>
      </c>
      <c r="F58" s="253">
        <f t="shared" si="9"/>
        <v>0</v>
      </c>
      <c r="G58" s="260">
        <v>0</v>
      </c>
      <c r="H58" s="260">
        <v>0</v>
      </c>
      <c r="I58" s="116">
        <v>0</v>
      </c>
      <c r="J58" s="116">
        <v>0</v>
      </c>
      <c r="K58" s="116">
        <v>0</v>
      </c>
      <c r="L58" s="402" t="s">
        <v>6</v>
      </c>
      <c r="M58" s="397" t="s">
        <v>190</v>
      </c>
    </row>
    <row r="59" spans="1:14" s="83" customFormat="1" ht="37.5" x14ac:dyDescent="0.25">
      <c r="A59" s="404"/>
      <c r="B59" s="405"/>
      <c r="C59" s="406"/>
      <c r="D59" s="259" t="s">
        <v>2</v>
      </c>
      <c r="E59" s="260">
        <v>0</v>
      </c>
      <c r="F59" s="253">
        <f t="shared" si="9"/>
        <v>0</v>
      </c>
      <c r="G59" s="260">
        <v>0</v>
      </c>
      <c r="H59" s="260">
        <v>0</v>
      </c>
      <c r="I59" s="116">
        <v>0</v>
      </c>
      <c r="J59" s="116">
        <v>0</v>
      </c>
      <c r="K59" s="116">
        <v>0</v>
      </c>
      <c r="L59" s="402"/>
      <c r="M59" s="397"/>
    </row>
    <row r="60" spans="1:14" s="83" customFormat="1" ht="56.25" customHeight="1" x14ac:dyDescent="0.25">
      <c r="A60" s="404"/>
      <c r="B60" s="405"/>
      <c r="C60" s="406"/>
      <c r="D60" s="259" t="s">
        <v>77</v>
      </c>
      <c r="E60" s="260">
        <v>0</v>
      </c>
      <c r="F60" s="253">
        <f t="shared" si="9"/>
        <v>0</v>
      </c>
      <c r="G60" s="260">
        <v>0</v>
      </c>
      <c r="H60" s="260">
        <v>0</v>
      </c>
      <c r="I60" s="116">
        <v>0</v>
      </c>
      <c r="J60" s="116">
        <v>0</v>
      </c>
      <c r="K60" s="116">
        <v>0</v>
      </c>
      <c r="L60" s="402"/>
      <c r="M60" s="397"/>
    </row>
    <row r="61" spans="1:14" s="83" customFormat="1" ht="86.25" customHeight="1" x14ac:dyDescent="0.25">
      <c r="A61" s="440" t="s">
        <v>267</v>
      </c>
      <c r="B61" s="441" t="s">
        <v>308</v>
      </c>
      <c r="C61" s="442" t="s">
        <v>313</v>
      </c>
      <c r="D61" s="339" t="s">
        <v>2</v>
      </c>
      <c r="E61" s="330">
        <v>0</v>
      </c>
      <c r="F61" s="340">
        <f t="shared" ref="F61:F62" si="10">SUM(G61:K61)</f>
        <v>9256.2199999999993</v>
      </c>
      <c r="G61" s="330">
        <v>0</v>
      </c>
      <c r="H61" s="330">
        <v>0</v>
      </c>
      <c r="I61" s="330">
        <v>0</v>
      </c>
      <c r="J61" s="330">
        <v>9256.2199999999993</v>
      </c>
      <c r="K61" s="330">
        <v>0</v>
      </c>
      <c r="L61" s="466" t="s">
        <v>6</v>
      </c>
      <c r="M61" s="467" t="s">
        <v>309</v>
      </c>
    </row>
    <row r="62" spans="1:14" s="83" customFormat="1" ht="86.25" customHeight="1" x14ac:dyDescent="0.25">
      <c r="A62" s="440"/>
      <c r="B62" s="441"/>
      <c r="C62" s="442"/>
      <c r="D62" s="339" t="s">
        <v>77</v>
      </c>
      <c r="E62" s="330">
        <v>0</v>
      </c>
      <c r="F62" s="340">
        <f t="shared" si="10"/>
        <v>1028.47</v>
      </c>
      <c r="G62" s="330">
        <v>0</v>
      </c>
      <c r="H62" s="330">
        <v>0</v>
      </c>
      <c r="I62" s="330">
        <v>0</v>
      </c>
      <c r="J62" s="330">
        <v>1028.47</v>
      </c>
      <c r="K62" s="330">
        <v>0</v>
      </c>
      <c r="L62" s="466"/>
      <c r="M62" s="467"/>
    </row>
    <row r="63" spans="1:14" s="83" customFormat="1" ht="64.5" customHeight="1" x14ac:dyDescent="0.25">
      <c r="A63" s="440" t="s">
        <v>319</v>
      </c>
      <c r="B63" s="441" t="s">
        <v>320</v>
      </c>
      <c r="C63" s="442" t="s">
        <v>313</v>
      </c>
      <c r="D63" s="345" t="s">
        <v>2</v>
      </c>
      <c r="E63" s="330">
        <v>0</v>
      </c>
      <c r="F63" s="340">
        <f t="shared" ref="F63:F64" si="11">SUM(G63:K63)</f>
        <v>4020</v>
      </c>
      <c r="G63" s="330">
        <v>0</v>
      </c>
      <c r="H63" s="330">
        <v>0</v>
      </c>
      <c r="I63" s="330">
        <v>4020</v>
      </c>
      <c r="J63" s="330">
        <v>0</v>
      </c>
      <c r="K63" s="330">
        <v>0</v>
      </c>
      <c r="L63" s="466" t="s">
        <v>6</v>
      </c>
      <c r="M63" s="467" t="s">
        <v>321</v>
      </c>
    </row>
    <row r="64" spans="1:14" s="83" customFormat="1" ht="72" customHeight="1" x14ac:dyDescent="0.25">
      <c r="A64" s="440"/>
      <c r="B64" s="441"/>
      <c r="C64" s="442"/>
      <c r="D64" s="345" t="s">
        <v>77</v>
      </c>
      <c r="E64" s="330">
        <v>0</v>
      </c>
      <c r="F64" s="340">
        <f t="shared" si="11"/>
        <v>0</v>
      </c>
      <c r="G64" s="330">
        <v>0</v>
      </c>
      <c r="H64" s="330">
        <v>0</v>
      </c>
      <c r="I64" s="330">
        <v>0</v>
      </c>
      <c r="J64" s="330">
        <v>0</v>
      </c>
      <c r="K64" s="330">
        <v>0</v>
      </c>
      <c r="L64" s="466"/>
      <c r="M64" s="467"/>
    </row>
    <row r="65" spans="1:14" s="83" customFormat="1" ht="18.75" x14ac:dyDescent="0.25">
      <c r="A65" s="465" t="s">
        <v>12</v>
      </c>
      <c r="B65" s="462" t="s">
        <v>173</v>
      </c>
      <c r="C65" s="437" t="s">
        <v>73</v>
      </c>
      <c r="D65" s="274" t="s">
        <v>5</v>
      </c>
      <c r="E65" s="275">
        <f>E66</f>
        <v>9428.6200000000008</v>
      </c>
      <c r="F65" s="276">
        <f t="shared" si="9"/>
        <v>44866.777000000002</v>
      </c>
      <c r="G65" s="275">
        <f t="shared" ref="G65:K66" si="12">G66</f>
        <v>8708.8200000000015</v>
      </c>
      <c r="H65" s="275">
        <f t="shared" si="12"/>
        <v>9838.2390000000014</v>
      </c>
      <c r="I65" s="141">
        <f t="shared" si="12"/>
        <v>10581.603999999999</v>
      </c>
      <c r="J65" s="141">
        <f t="shared" si="12"/>
        <v>7869.0569999999998</v>
      </c>
      <c r="K65" s="141">
        <f t="shared" si="12"/>
        <v>7869.0569999999998</v>
      </c>
      <c r="L65" s="463"/>
      <c r="M65" s="464"/>
    </row>
    <row r="66" spans="1:14" s="83" customFormat="1" ht="80.25" customHeight="1" x14ac:dyDescent="0.25">
      <c r="A66" s="465"/>
      <c r="B66" s="462"/>
      <c r="C66" s="437"/>
      <c r="D66" s="274" t="s">
        <v>79</v>
      </c>
      <c r="E66" s="277">
        <f>E67</f>
        <v>9428.6200000000008</v>
      </c>
      <c r="F66" s="276">
        <f t="shared" si="9"/>
        <v>44866.777000000002</v>
      </c>
      <c r="G66" s="277">
        <f t="shared" si="12"/>
        <v>8708.8200000000015</v>
      </c>
      <c r="H66" s="277">
        <f t="shared" si="12"/>
        <v>9838.2390000000014</v>
      </c>
      <c r="I66" s="142">
        <f t="shared" si="12"/>
        <v>10581.603999999999</v>
      </c>
      <c r="J66" s="142">
        <f t="shared" si="12"/>
        <v>7869.0569999999998</v>
      </c>
      <c r="K66" s="142">
        <f t="shared" si="12"/>
        <v>7869.0569999999998</v>
      </c>
      <c r="L66" s="463"/>
      <c r="M66" s="464"/>
    </row>
    <row r="67" spans="1:14" s="83" customFormat="1" ht="132.75" customHeight="1" x14ac:dyDescent="0.25">
      <c r="A67" s="278" t="s">
        <v>50</v>
      </c>
      <c r="B67" s="279" t="s">
        <v>301</v>
      </c>
      <c r="C67" s="280" t="s">
        <v>73</v>
      </c>
      <c r="D67" s="281" t="s">
        <v>79</v>
      </c>
      <c r="E67" s="282">
        <v>9428.6200000000008</v>
      </c>
      <c r="F67" s="283">
        <f t="shared" si="9"/>
        <v>44866.777000000002</v>
      </c>
      <c r="G67" s="282">
        <f>11009.555-0.4-551.999-1748.336</f>
        <v>8708.8200000000015</v>
      </c>
      <c r="H67" s="284">
        <f>10457.156+124.448-743.365</f>
        <v>9838.2390000000014</v>
      </c>
      <c r="I67" s="202">
        <f>8888.507+1693.097</f>
        <v>10581.603999999999</v>
      </c>
      <c r="J67" s="202">
        <f>8888.507-1019.45</f>
        <v>7869.0569999999998</v>
      </c>
      <c r="K67" s="202">
        <v>7869.0569999999998</v>
      </c>
      <c r="L67" s="285" t="s">
        <v>6</v>
      </c>
      <c r="M67" s="286" t="s">
        <v>97</v>
      </c>
    </row>
    <row r="68" spans="1:14" s="83" customFormat="1" ht="29.25" customHeight="1" x14ac:dyDescent="0.25">
      <c r="A68" s="416" t="s">
        <v>55</v>
      </c>
      <c r="B68" s="434" t="s">
        <v>281</v>
      </c>
      <c r="C68" s="434" t="s">
        <v>168</v>
      </c>
      <c r="D68" s="251" t="s">
        <v>5</v>
      </c>
      <c r="E68" s="252">
        <f>E70+E71</f>
        <v>0</v>
      </c>
      <c r="F68" s="253">
        <f t="shared" ref="F68:F75" si="13">SUM(G68:K68)</f>
        <v>594280.89925000002</v>
      </c>
      <c r="G68" s="252">
        <f>G70+G71</f>
        <v>0</v>
      </c>
      <c r="H68" s="252">
        <f>H70+H71</f>
        <v>0</v>
      </c>
      <c r="I68" s="95">
        <f>I70+I71+I69</f>
        <v>243114.01124999998</v>
      </c>
      <c r="J68" s="95">
        <f t="shared" ref="J68:K68" si="14">J70+J71+J69</f>
        <v>195250.88799999998</v>
      </c>
      <c r="K68" s="95">
        <f t="shared" si="14"/>
        <v>155916</v>
      </c>
      <c r="L68" s="398"/>
      <c r="M68" s="407"/>
    </row>
    <row r="69" spans="1:14" s="83" customFormat="1" ht="39.75" customHeight="1" x14ac:dyDescent="0.25">
      <c r="A69" s="416"/>
      <c r="B69" s="434"/>
      <c r="C69" s="434"/>
      <c r="D69" s="251" t="s">
        <v>65</v>
      </c>
      <c r="E69" s="252"/>
      <c r="F69" s="253">
        <f t="shared" si="13"/>
        <v>63613.67</v>
      </c>
      <c r="G69" s="254">
        <f>G72+G75</f>
        <v>0</v>
      </c>
      <c r="H69" s="254">
        <f t="shared" ref="H69:K69" si="15">H72+H75</f>
        <v>0</v>
      </c>
      <c r="I69" s="140">
        <f t="shared" si="15"/>
        <v>63613.67</v>
      </c>
      <c r="J69" s="140">
        <f t="shared" si="15"/>
        <v>0</v>
      </c>
      <c r="K69" s="140">
        <f t="shared" si="15"/>
        <v>0</v>
      </c>
      <c r="L69" s="398"/>
      <c r="M69" s="407"/>
    </row>
    <row r="70" spans="1:14" s="83" customFormat="1" ht="39.75" customHeight="1" x14ac:dyDescent="0.25">
      <c r="A70" s="416"/>
      <c r="B70" s="434"/>
      <c r="C70" s="434"/>
      <c r="D70" s="251" t="s">
        <v>2</v>
      </c>
      <c r="E70" s="254">
        <f>E73</f>
        <v>0</v>
      </c>
      <c r="F70" s="253">
        <f t="shared" si="13"/>
        <v>406148.45542000001</v>
      </c>
      <c r="G70" s="254">
        <f>G73+G76+G78+G80</f>
        <v>0</v>
      </c>
      <c r="H70" s="254">
        <f t="shared" ref="H70:K70" si="16">H73+H76+H78+H80</f>
        <v>0</v>
      </c>
      <c r="I70" s="254">
        <f t="shared" si="16"/>
        <v>109942.65922</v>
      </c>
      <c r="J70" s="254">
        <f t="shared" si="16"/>
        <v>175725.79619999998</v>
      </c>
      <c r="K70" s="254">
        <f t="shared" si="16"/>
        <v>120480</v>
      </c>
      <c r="L70" s="398"/>
      <c r="M70" s="407"/>
    </row>
    <row r="71" spans="1:14" s="83" customFormat="1" ht="58.5" customHeight="1" x14ac:dyDescent="0.25">
      <c r="A71" s="416"/>
      <c r="B71" s="434"/>
      <c r="C71" s="434"/>
      <c r="D71" s="251" t="s">
        <v>77</v>
      </c>
      <c r="E71" s="254">
        <f>E74</f>
        <v>0</v>
      </c>
      <c r="F71" s="253">
        <f t="shared" si="13"/>
        <v>124518.77382999999</v>
      </c>
      <c r="G71" s="254">
        <f>G74+G77+G79+G81</f>
        <v>0</v>
      </c>
      <c r="H71" s="254">
        <f t="shared" ref="H71:K71" si="17">H74+H77+H79+H81</f>
        <v>0</v>
      </c>
      <c r="I71" s="254">
        <f t="shared" si="17"/>
        <v>69557.682029999996</v>
      </c>
      <c r="J71" s="254">
        <f t="shared" si="17"/>
        <v>19525.091799999998</v>
      </c>
      <c r="K71" s="254">
        <f t="shared" si="17"/>
        <v>35436</v>
      </c>
      <c r="L71" s="398"/>
      <c r="M71" s="407"/>
    </row>
    <row r="72" spans="1:14" s="83" customFormat="1" ht="66.75" customHeight="1" x14ac:dyDescent="0.25">
      <c r="A72" s="468" t="s">
        <v>81</v>
      </c>
      <c r="B72" s="459" t="s">
        <v>264</v>
      </c>
      <c r="C72" s="438" t="s">
        <v>168</v>
      </c>
      <c r="D72" s="259" t="s">
        <v>65</v>
      </c>
      <c r="E72" s="287"/>
      <c r="F72" s="253">
        <f t="shared" si="13"/>
        <v>56192.6</v>
      </c>
      <c r="G72" s="260">
        <v>0</v>
      </c>
      <c r="H72" s="260">
        <v>0</v>
      </c>
      <c r="I72" s="116">
        <v>56192.6</v>
      </c>
      <c r="J72" s="116">
        <v>0</v>
      </c>
      <c r="K72" s="116">
        <v>0</v>
      </c>
      <c r="L72" s="473" t="s">
        <v>6</v>
      </c>
      <c r="M72" s="411" t="s">
        <v>287</v>
      </c>
    </row>
    <row r="73" spans="1:14" s="83" customFormat="1" ht="66.75" customHeight="1" x14ac:dyDescent="0.25">
      <c r="A73" s="469"/>
      <c r="B73" s="471"/>
      <c r="C73" s="472"/>
      <c r="D73" s="259" t="s">
        <v>2</v>
      </c>
      <c r="E73" s="288">
        <v>0</v>
      </c>
      <c r="F73" s="253">
        <f t="shared" si="13"/>
        <v>346511.42640999996</v>
      </c>
      <c r="G73" s="288">
        <v>0</v>
      </c>
      <c r="H73" s="288">
        <v>0</v>
      </c>
      <c r="I73" s="138">
        <f>41350+68104-69378.79429+59532.273-4386.807</f>
        <v>95220.671709999995</v>
      </c>
      <c r="J73" s="341">
        <f>12954+81082.88+54845.8747</f>
        <v>148882.75469999999</v>
      </c>
      <c r="K73" s="138">
        <v>102408</v>
      </c>
      <c r="L73" s="474"/>
      <c r="M73" s="476"/>
    </row>
    <row r="74" spans="1:14" s="83" customFormat="1" ht="59.25" customHeight="1" x14ac:dyDescent="0.25">
      <c r="A74" s="470"/>
      <c r="B74" s="460"/>
      <c r="C74" s="439"/>
      <c r="D74" s="259" t="s">
        <v>77</v>
      </c>
      <c r="E74" s="288">
        <v>0</v>
      </c>
      <c r="F74" s="253">
        <f t="shared" si="13"/>
        <v>63486.226589999998</v>
      </c>
      <c r="G74" s="288">
        <v>0</v>
      </c>
      <c r="H74" s="288">
        <v>0</v>
      </c>
      <c r="I74" s="341">
        <f>12162-1465.57571+6614.697-487.423</f>
        <v>16823.69829</v>
      </c>
      <c r="J74" s="341">
        <f>3810+12732.5283</f>
        <v>16542.528299999998</v>
      </c>
      <c r="K74" s="138">
        <v>30120</v>
      </c>
      <c r="L74" s="475"/>
      <c r="M74" s="412"/>
      <c r="N74" s="83" t="s">
        <v>297</v>
      </c>
    </row>
    <row r="75" spans="1:14" s="83" customFormat="1" ht="59.25" customHeight="1" x14ac:dyDescent="0.25">
      <c r="A75" s="468" t="s">
        <v>192</v>
      </c>
      <c r="B75" s="459" t="s">
        <v>265</v>
      </c>
      <c r="C75" s="438" t="s">
        <v>168</v>
      </c>
      <c r="D75" s="259" t="s">
        <v>65</v>
      </c>
      <c r="E75" s="288"/>
      <c r="F75" s="253">
        <f t="shared" si="13"/>
        <v>7421.0700000000006</v>
      </c>
      <c r="G75" s="288">
        <v>0</v>
      </c>
      <c r="H75" s="288">
        <v>0</v>
      </c>
      <c r="I75" s="138">
        <f>6656.6+764.47</f>
        <v>7421.0700000000006</v>
      </c>
      <c r="J75" s="138">
        <v>0</v>
      </c>
      <c r="K75" s="138">
        <v>0</v>
      </c>
      <c r="L75" s="473" t="s">
        <v>6</v>
      </c>
      <c r="M75" s="411" t="s">
        <v>296</v>
      </c>
    </row>
    <row r="76" spans="1:14" s="83" customFormat="1" ht="66.75" customHeight="1" x14ac:dyDescent="0.25">
      <c r="A76" s="469"/>
      <c r="B76" s="471"/>
      <c r="C76" s="472"/>
      <c r="D76" s="259" t="s">
        <v>2</v>
      </c>
      <c r="E76" s="288">
        <v>0</v>
      </c>
      <c r="F76" s="253">
        <f t="shared" ref="F76:F77" si="18">SUM(G76:K76)</f>
        <v>37921.319009999999</v>
      </c>
      <c r="G76" s="288">
        <v>0</v>
      </c>
      <c r="H76" s="288">
        <v>0</v>
      </c>
      <c r="I76" s="138">
        <f>7297-3255.49286+1923.48037</f>
        <v>5964.9875099999999</v>
      </c>
      <c r="J76" s="341">
        <f>2286+11598.3315</f>
        <v>13884.3315</v>
      </c>
      <c r="K76" s="138">
        <v>18072</v>
      </c>
      <c r="L76" s="474"/>
      <c r="M76" s="476"/>
    </row>
    <row r="77" spans="1:14" s="83" customFormat="1" ht="66.75" customHeight="1" x14ac:dyDescent="0.25">
      <c r="A77" s="470"/>
      <c r="B77" s="460"/>
      <c r="C77" s="439"/>
      <c r="D77" s="259" t="s">
        <v>77</v>
      </c>
      <c r="E77" s="288">
        <v>0</v>
      </c>
      <c r="F77" s="253">
        <f t="shared" si="18"/>
        <v>58619.687239999999</v>
      </c>
      <c r="G77" s="288">
        <v>0</v>
      </c>
      <c r="H77" s="288">
        <v>0</v>
      </c>
      <c r="I77" s="138">
        <f>2147-958.32142+3050.30516+47522</f>
        <v>51760.983739999996</v>
      </c>
      <c r="J77" s="341">
        <f>673+869.7035</f>
        <v>1542.7035000000001</v>
      </c>
      <c r="K77" s="138">
        <v>5316</v>
      </c>
      <c r="L77" s="475"/>
      <c r="M77" s="412"/>
      <c r="N77" s="83" t="s">
        <v>300</v>
      </c>
    </row>
    <row r="78" spans="1:14" s="83" customFormat="1" ht="99.75" customHeight="1" x14ac:dyDescent="0.25">
      <c r="A78" s="404" t="s">
        <v>276</v>
      </c>
      <c r="B78" s="405" t="s">
        <v>266</v>
      </c>
      <c r="C78" s="406" t="s">
        <v>168</v>
      </c>
      <c r="D78" s="259" t="s">
        <v>2</v>
      </c>
      <c r="E78" s="288">
        <v>0</v>
      </c>
      <c r="F78" s="253">
        <f t="shared" ref="F78:F79" si="19">SUM(G78:K78)</f>
        <v>21715.71</v>
      </c>
      <c r="G78" s="288">
        <v>0</v>
      </c>
      <c r="H78" s="288">
        <v>0</v>
      </c>
      <c r="I78" s="138">
        <v>8757</v>
      </c>
      <c r="J78" s="341">
        <f>7523+5435.71</f>
        <v>12958.71</v>
      </c>
      <c r="K78" s="138">
        <v>0</v>
      </c>
      <c r="L78" s="455" t="s">
        <v>6</v>
      </c>
      <c r="M78" s="444" t="s">
        <v>315</v>
      </c>
    </row>
    <row r="79" spans="1:14" s="83" customFormat="1" ht="94.5" customHeight="1" x14ac:dyDescent="0.25">
      <c r="A79" s="404"/>
      <c r="B79" s="405"/>
      <c r="C79" s="406"/>
      <c r="D79" s="259" t="s">
        <v>77</v>
      </c>
      <c r="E79" s="288">
        <v>0</v>
      </c>
      <c r="F79" s="253">
        <f t="shared" si="19"/>
        <v>2412.8599999999997</v>
      </c>
      <c r="G79" s="288">
        <v>0</v>
      </c>
      <c r="H79" s="288">
        <v>0</v>
      </c>
      <c r="I79" s="138">
        <v>973</v>
      </c>
      <c r="J79" s="341">
        <v>1439.86</v>
      </c>
      <c r="K79" s="138">
        <v>0</v>
      </c>
      <c r="L79" s="455"/>
      <c r="M79" s="444"/>
    </row>
    <row r="80" spans="1:14" s="83" customFormat="1" ht="37.5" customHeight="1" x14ac:dyDescent="0.25">
      <c r="A80" s="440" t="s">
        <v>312</v>
      </c>
      <c r="B80" s="441" t="s">
        <v>314</v>
      </c>
      <c r="C80" s="442" t="s">
        <v>269</v>
      </c>
      <c r="D80" s="343" t="s">
        <v>2</v>
      </c>
      <c r="E80" s="341">
        <v>0</v>
      </c>
      <c r="F80" s="340">
        <f t="shared" ref="F80:F81" si="20">SUM(G80:K80)</f>
        <v>0</v>
      </c>
      <c r="G80" s="341">
        <v>0</v>
      </c>
      <c r="H80" s="341">
        <v>0</v>
      </c>
      <c r="I80" s="341">
        <v>0</v>
      </c>
      <c r="J80" s="341">
        <v>0</v>
      </c>
      <c r="K80" s="341">
        <v>0</v>
      </c>
      <c r="L80" s="443" t="s">
        <v>6</v>
      </c>
      <c r="M80" s="444" t="s">
        <v>329</v>
      </c>
    </row>
    <row r="81" spans="1:14" s="83" customFormat="1" ht="63" customHeight="1" x14ac:dyDescent="0.25">
      <c r="A81" s="440"/>
      <c r="B81" s="441"/>
      <c r="C81" s="442"/>
      <c r="D81" s="343" t="s">
        <v>77</v>
      </c>
      <c r="E81" s="341">
        <v>0</v>
      </c>
      <c r="F81" s="340">
        <f t="shared" si="20"/>
        <v>0</v>
      </c>
      <c r="G81" s="341">
        <v>0</v>
      </c>
      <c r="H81" s="341">
        <v>0</v>
      </c>
      <c r="I81" s="341">
        <v>0</v>
      </c>
      <c r="J81" s="341">
        <v>0</v>
      </c>
      <c r="K81" s="341">
        <v>0</v>
      </c>
      <c r="L81" s="443"/>
      <c r="M81" s="444"/>
    </row>
    <row r="82" spans="1:14" s="83" customFormat="1" ht="18.75" x14ac:dyDescent="0.25">
      <c r="A82" s="416" t="s">
        <v>13</v>
      </c>
      <c r="B82" s="434" t="s">
        <v>253</v>
      </c>
      <c r="C82" s="434" t="s">
        <v>73</v>
      </c>
      <c r="D82" s="251" t="s">
        <v>5</v>
      </c>
      <c r="E82" s="252" t="e">
        <f>E83+E84+E85</f>
        <v>#REF!</v>
      </c>
      <c r="F82" s="253">
        <f t="shared" si="9"/>
        <v>363416.67322000006</v>
      </c>
      <c r="G82" s="252">
        <f>G83+G84+G85</f>
        <v>252377.24121000001</v>
      </c>
      <c r="H82" s="252">
        <f>H83+H84+H85</f>
        <v>36014.711280000003</v>
      </c>
      <c r="I82" s="95">
        <f>I83+I84+I85</f>
        <v>20863.72</v>
      </c>
      <c r="J82" s="95">
        <f>J83+J84+J85</f>
        <v>20861.751210000002</v>
      </c>
      <c r="K82" s="95">
        <f>K83+K84+K85</f>
        <v>33299.249519999998</v>
      </c>
      <c r="L82" s="398"/>
      <c r="M82" s="407"/>
    </row>
    <row r="83" spans="1:14" s="83" customFormat="1" ht="37.5" customHeight="1" x14ac:dyDescent="0.25">
      <c r="A83" s="416"/>
      <c r="B83" s="434"/>
      <c r="C83" s="434"/>
      <c r="D83" s="251" t="s">
        <v>65</v>
      </c>
      <c r="E83" s="254">
        <f>E93+E86</f>
        <v>5515.06754</v>
      </c>
      <c r="F83" s="253">
        <f t="shared" si="9"/>
        <v>50274.158920000002</v>
      </c>
      <c r="G83" s="254">
        <f>G93+G86</f>
        <v>2513.4090200000001</v>
      </c>
      <c r="H83" s="254">
        <f>H93+H86</f>
        <v>8962.1834399999989</v>
      </c>
      <c r="I83" s="140">
        <f>I93+I86</f>
        <v>9412.4784099999997</v>
      </c>
      <c r="J83" s="140">
        <f>J93+J86</f>
        <v>9411.0309100000013</v>
      </c>
      <c r="K83" s="140">
        <f>K93+K86</f>
        <v>19975.057139999997</v>
      </c>
      <c r="L83" s="398"/>
      <c r="M83" s="407"/>
    </row>
    <row r="84" spans="1:14" s="83" customFormat="1" ht="39.75" customHeight="1" x14ac:dyDescent="0.25">
      <c r="A84" s="416"/>
      <c r="B84" s="434"/>
      <c r="C84" s="434"/>
      <c r="D84" s="251" t="s">
        <v>2</v>
      </c>
      <c r="E84" s="254" t="e">
        <f>E94+E87+E89+E91+#REF!</f>
        <v>#REF!</v>
      </c>
      <c r="F84" s="253">
        <f t="shared" si="9"/>
        <v>18258.861809999999</v>
      </c>
      <c r="G84" s="254">
        <f>G94+G87+G89+G91+G96</f>
        <v>2338.5909799999999</v>
      </c>
      <c r="H84" s="254">
        <f t="shared" ref="H84:K84" si="21">H94+H87+H89+H91+H96</f>
        <v>2987.4165599999997</v>
      </c>
      <c r="I84" s="140">
        <f t="shared" si="21"/>
        <v>3137.4915899999996</v>
      </c>
      <c r="J84" s="140">
        <f t="shared" si="21"/>
        <v>3137.0102999999999</v>
      </c>
      <c r="K84" s="140">
        <f t="shared" si="21"/>
        <v>6658.3523799999994</v>
      </c>
      <c r="L84" s="398"/>
      <c r="M84" s="407"/>
    </row>
    <row r="85" spans="1:14" s="83" customFormat="1" ht="58.5" customHeight="1" x14ac:dyDescent="0.25">
      <c r="A85" s="416"/>
      <c r="B85" s="434"/>
      <c r="C85" s="434"/>
      <c r="D85" s="251" t="s">
        <v>77</v>
      </c>
      <c r="E85" s="254" t="e">
        <f>E95+E88+E90+E92+#REF!+E97</f>
        <v>#REF!</v>
      </c>
      <c r="F85" s="253">
        <f t="shared" si="9"/>
        <v>294883.65249000007</v>
      </c>
      <c r="G85" s="254">
        <f>G95+G88+G90+G92+G97</f>
        <v>247525.24121000001</v>
      </c>
      <c r="H85" s="254">
        <f t="shared" ref="H85:K85" si="22">H95+H88+H90+H92+H97</f>
        <v>24065.111280000001</v>
      </c>
      <c r="I85" s="140">
        <f t="shared" si="22"/>
        <v>8313.75</v>
      </c>
      <c r="J85" s="140">
        <f t="shared" si="22"/>
        <v>8313.7099999999991</v>
      </c>
      <c r="K85" s="140">
        <f t="shared" si="22"/>
        <v>6665.84</v>
      </c>
      <c r="L85" s="398"/>
      <c r="M85" s="407"/>
    </row>
    <row r="86" spans="1:14" s="83" customFormat="1" ht="37.5" customHeight="1" x14ac:dyDescent="0.25">
      <c r="A86" s="404" t="s">
        <v>83</v>
      </c>
      <c r="B86" s="405" t="s">
        <v>227</v>
      </c>
      <c r="C86" s="406" t="s">
        <v>73</v>
      </c>
      <c r="D86" s="259" t="s">
        <v>65</v>
      </c>
      <c r="E86" s="260">
        <v>3107.4</v>
      </c>
      <c r="F86" s="253">
        <f t="shared" si="9"/>
        <v>13225.057139999999</v>
      </c>
      <c r="G86" s="260">
        <v>0</v>
      </c>
      <c r="H86" s="260">
        <v>0</v>
      </c>
      <c r="I86" s="116">
        <v>0</v>
      </c>
      <c r="J86" s="116">
        <v>0</v>
      </c>
      <c r="K86" s="116">
        <f>13225.06-0.00286</f>
        <v>13225.057139999999</v>
      </c>
      <c r="L86" s="402" t="s">
        <v>6</v>
      </c>
      <c r="M86" s="408" t="s">
        <v>151</v>
      </c>
    </row>
    <row r="87" spans="1:14" s="83" customFormat="1" ht="37.5" x14ac:dyDescent="0.25">
      <c r="A87" s="404"/>
      <c r="B87" s="405"/>
      <c r="C87" s="406"/>
      <c r="D87" s="259" t="s">
        <v>2</v>
      </c>
      <c r="E87" s="260">
        <v>1035.8</v>
      </c>
      <c r="F87" s="253">
        <f t="shared" si="9"/>
        <v>4408.3523799999994</v>
      </c>
      <c r="G87" s="260">
        <v>0</v>
      </c>
      <c r="H87" s="260">
        <v>0</v>
      </c>
      <c r="I87" s="116">
        <v>0</v>
      </c>
      <c r="J87" s="116">
        <v>0</v>
      </c>
      <c r="K87" s="116">
        <f>4408.34952+0.00048-0.00048+0.00286</f>
        <v>4408.3523799999994</v>
      </c>
      <c r="L87" s="402"/>
      <c r="M87" s="408"/>
    </row>
    <row r="88" spans="1:14" s="83" customFormat="1" ht="56.25" x14ac:dyDescent="0.25">
      <c r="A88" s="404"/>
      <c r="B88" s="405"/>
      <c r="C88" s="406"/>
      <c r="D88" s="259" t="s">
        <v>78</v>
      </c>
      <c r="E88" s="260">
        <v>103.58</v>
      </c>
      <c r="F88" s="253">
        <f t="shared" si="9"/>
        <v>440.84</v>
      </c>
      <c r="G88" s="260">
        <v>0</v>
      </c>
      <c r="H88" s="260">
        <v>0</v>
      </c>
      <c r="I88" s="116">
        <v>0</v>
      </c>
      <c r="J88" s="116">
        <v>0</v>
      </c>
      <c r="K88" s="116">
        <v>440.84</v>
      </c>
      <c r="L88" s="402"/>
      <c r="M88" s="408"/>
    </row>
    <row r="89" spans="1:14" s="83" customFormat="1" ht="66" customHeight="1" x14ac:dyDescent="0.25">
      <c r="A89" s="404" t="s">
        <v>277</v>
      </c>
      <c r="B89" s="405" t="s">
        <v>191</v>
      </c>
      <c r="C89" s="406" t="s">
        <v>73</v>
      </c>
      <c r="D89" s="259" t="s">
        <v>2</v>
      </c>
      <c r="E89" s="288">
        <v>497</v>
      </c>
      <c r="F89" s="253">
        <f t="shared" si="9"/>
        <v>1500</v>
      </c>
      <c r="G89" s="288">
        <v>1500</v>
      </c>
      <c r="H89" s="288">
        <v>0</v>
      </c>
      <c r="I89" s="138">
        <v>0</v>
      </c>
      <c r="J89" s="138">
        <v>0</v>
      </c>
      <c r="K89" s="138">
        <v>0</v>
      </c>
      <c r="L89" s="455" t="s">
        <v>6</v>
      </c>
      <c r="M89" s="456" t="s">
        <v>228</v>
      </c>
    </row>
    <row r="90" spans="1:14" s="83" customFormat="1" ht="69" customHeight="1" x14ac:dyDescent="0.25">
      <c r="A90" s="404"/>
      <c r="B90" s="405"/>
      <c r="C90" s="406"/>
      <c r="D90" s="259" t="s">
        <v>78</v>
      </c>
      <c r="E90" s="288">
        <v>1488.3896299999999</v>
      </c>
      <c r="F90" s="253">
        <f t="shared" si="9"/>
        <v>48042.383000000002</v>
      </c>
      <c r="G90" s="288">
        <f>1500+776.01</f>
        <v>2276.0100000000002</v>
      </c>
      <c r="H90" s="288">
        <f>8000+15766.373</f>
        <v>23766.373</v>
      </c>
      <c r="I90" s="138">
        <v>8000</v>
      </c>
      <c r="J90" s="341">
        <v>8000</v>
      </c>
      <c r="K90" s="341">
        <v>6000</v>
      </c>
      <c r="L90" s="455"/>
      <c r="M90" s="456"/>
      <c r="N90" s="83" t="s">
        <v>325</v>
      </c>
    </row>
    <row r="91" spans="1:14" s="83" customFormat="1" ht="37.5" x14ac:dyDescent="0.25">
      <c r="A91" s="399" t="s">
        <v>278</v>
      </c>
      <c r="B91" s="400" t="s">
        <v>229</v>
      </c>
      <c r="C91" s="401" t="s">
        <v>73</v>
      </c>
      <c r="D91" s="289" t="s">
        <v>2</v>
      </c>
      <c r="E91" s="290">
        <v>0</v>
      </c>
      <c r="F91" s="291">
        <f t="shared" si="9"/>
        <v>0</v>
      </c>
      <c r="G91" s="290">
        <v>0</v>
      </c>
      <c r="H91" s="290">
        <v>0</v>
      </c>
      <c r="I91" s="139">
        <v>0</v>
      </c>
      <c r="J91" s="139">
        <v>0</v>
      </c>
      <c r="K91" s="139">
        <v>0</v>
      </c>
      <c r="L91" s="402" t="s">
        <v>6</v>
      </c>
      <c r="M91" s="403" t="s">
        <v>104</v>
      </c>
    </row>
    <row r="92" spans="1:14" s="83" customFormat="1" ht="56.25" x14ac:dyDescent="0.25">
      <c r="A92" s="399"/>
      <c r="B92" s="400"/>
      <c r="C92" s="401"/>
      <c r="D92" s="259" t="s">
        <v>78</v>
      </c>
      <c r="E92" s="288">
        <v>0</v>
      </c>
      <c r="F92" s="253">
        <f t="shared" ref="F92:F109" si="23">SUM(G92:K92)</f>
        <v>0</v>
      </c>
      <c r="G92" s="290">
        <v>0</v>
      </c>
      <c r="H92" s="290">
        <v>0</v>
      </c>
      <c r="I92" s="139">
        <v>0</v>
      </c>
      <c r="J92" s="139">
        <v>0</v>
      </c>
      <c r="K92" s="139">
        <v>0</v>
      </c>
      <c r="L92" s="402"/>
      <c r="M92" s="403"/>
    </row>
    <row r="93" spans="1:14" s="83" customFormat="1" ht="36.75" customHeight="1" x14ac:dyDescent="0.25">
      <c r="A93" s="404" t="s">
        <v>279</v>
      </c>
      <c r="B93" s="405" t="s">
        <v>230</v>
      </c>
      <c r="C93" s="406" t="s">
        <v>73</v>
      </c>
      <c r="D93" s="259" t="s">
        <v>65</v>
      </c>
      <c r="E93" s="260">
        <v>2407.6675399999999</v>
      </c>
      <c r="F93" s="253">
        <f t="shared" si="23"/>
        <v>37049.101779999997</v>
      </c>
      <c r="G93" s="260">
        <f>2513.37858+0.03044</f>
        <v>2513.4090200000001</v>
      </c>
      <c r="H93" s="260">
        <f>7596.17106+1816.24334-362.1334-88.09756</f>
        <v>8962.1834399999989</v>
      </c>
      <c r="I93" s="116">
        <f>9412.48-0.00525+0.00366</f>
        <v>9412.4784099999997</v>
      </c>
      <c r="J93" s="116">
        <f>9411.03+0.00091</f>
        <v>9411.0309100000013</v>
      </c>
      <c r="K93" s="116">
        <v>6750</v>
      </c>
      <c r="L93" s="402" t="s">
        <v>6</v>
      </c>
      <c r="M93" s="408" t="s">
        <v>231</v>
      </c>
    </row>
    <row r="94" spans="1:14" s="83" customFormat="1" ht="37.5" x14ac:dyDescent="0.25">
      <c r="A94" s="404"/>
      <c r="B94" s="405"/>
      <c r="C94" s="406"/>
      <c r="D94" s="259" t="s">
        <v>2</v>
      </c>
      <c r="E94" s="260">
        <v>802.55584999999996</v>
      </c>
      <c r="F94" s="253">
        <f t="shared" si="23"/>
        <v>12350.509429999998</v>
      </c>
      <c r="G94" s="260">
        <f>837.79285+0.79813</f>
        <v>838.59098000000006</v>
      </c>
      <c r="H94" s="260">
        <f>2532.82894+604.75666-29.36585-120.80319</f>
        <v>2987.4165599999997</v>
      </c>
      <c r="I94" s="116">
        <f>3137.49+0.00159+0.00366-0.00366</f>
        <v>3137.4915899999996</v>
      </c>
      <c r="J94" s="116">
        <f>3137.02-0.0097</f>
        <v>3137.0102999999999</v>
      </c>
      <c r="K94" s="116">
        <v>2250</v>
      </c>
      <c r="L94" s="402"/>
      <c r="M94" s="408"/>
    </row>
    <row r="95" spans="1:14" s="83" customFormat="1" ht="58.5" customHeight="1" x14ac:dyDescent="0.25">
      <c r="A95" s="404"/>
      <c r="B95" s="405"/>
      <c r="C95" s="406"/>
      <c r="D95" s="259" t="s">
        <v>78</v>
      </c>
      <c r="E95" s="260">
        <v>80.255589999999998</v>
      </c>
      <c r="F95" s="253">
        <f t="shared" si="23"/>
        <v>1234.97756</v>
      </c>
      <c r="G95" s="260">
        <v>83.77928</v>
      </c>
      <c r="H95" s="260">
        <f>253.2057+60.54128+0.00001-2.93659-12.07212</f>
        <v>298.73827999999997</v>
      </c>
      <c r="I95" s="116">
        <v>313.75</v>
      </c>
      <c r="J95" s="116">
        <v>313.70999999999998</v>
      </c>
      <c r="K95" s="116">
        <v>225</v>
      </c>
      <c r="L95" s="402"/>
      <c r="M95" s="408"/>
    </row>
    <row r="96" spans="1:14" s="83" customFormat="1" ht="81.75" customHeight="1" x14ac:dyDescent="0.25">
      <c r="A96" s="399" t="s">
        <v>280</v>
      </c>
      <c r="B96" s="400" t="s">
        <v>291</v>
      </c>
      <c r="C96" s="401" t="s">
        <v>73</v>
      </c>
      <c r="D96" s="259" t="s">
        <v>2</v>
      </c>
      <c r="E96" s="260"/>
      <c r="F96" s="253">
        <f t="shared" si="23"/>
        <v>0</v>
      </c>
      <c r="G96" s="260">
        <v>0</v>
      </c>
      <c r="H96" s="260">
        <f>294.13658-294.13658</f>
        <v>0</v>
      </c>
      <c r="I96" s="116">
        <v>0</v>
      </c>
      <c r="J96" s="116">
        <v>0</v>
      </c>
      <c r="K96" s="116">
        <v>0</v>
      </c>
      <c r="L96" s="402" t="s">
        <v>6</v>
      </c>
      <c r="M96" s="403" t="s">
        <v>292</v>
      </c>
    </row>
    <row r="97" spans="1:13" s="83" customFormat="1" ht="90" customHeight="1" x14ac:dyDescent="0.25">
      <c r="A97" s="399"/>
      <c r="B97" s="400"/>
      <c r="C97" s="401"/>
      <c r="D97" s="289" t="s">
        <v>78</v>
      </c>
      <c r="E97" s="290">
        <v>0</v>
      </c>
      <c r="F97" s="253">
        <f t="shared" si="23"/>
        <v>245165.45193000001</v>
      </c>
      <c r="G97" s="290">
        <f>130402+133500-222.6-9160.13926-11232.70813-1302.28573+3802.28573+2619.70032-3240.801</f>
        <v>245165.45193000001</v>
      </c>
      <c r="H97" s="290">
        <f>17301.16249+2526.076+10846.29+121.22342+636.6-173.01163-31258.34028</f>
        <v>0</v>
      </c>
      <c r="I97" s="139">
        <v>0</v>
      </c>
      <c r="J97" s="139">
        <v>0</v>
      </c>
      <c r="K97" s="139">
        <v>0</v>
      </c>
      <c r="L97" s="402"/>
      <c r="M97" s="403"/>
    </row>
    <row r="98" spans="1:13" s="83" customFormat="1" ht="18.75" x14ac:dyDescent="0.25">
      <c r="A98" s="416" t="s">
        <v>52</v>
      </c>
      <c r="B98" s="434" t="s">
        <v>252</v>
      </c>
      <c r="C98" s="434" t="s">
        <v>73</v>
      </c>
      <c r="D98" s="251" t="s">
        <v>5</v>
      </c>
      <c r="E98" s="252">
        <f>E99+E100</f>
        <v>0</v>
      </c>
      <c r="F98" s="253">
        <f t="shared" si="23"/>
        <v>0</v>
      </c>
      <c r="G98" s="252">
        <f>G99+G100</f>
        <v>0</v>
      </c>
      <c r="H98" s="252">
        <f>H99+H100</f>
        <v>0</v>
      </c>
      <c r="I98" s="95">
        <f>I99+I100</f>
        <v>0</v>
      </c>
      <c r="J98" s="95">
        <f>J99+J100</f>
        <v>0</v>
      </c>
      <c r="K98" s="95">
        <f>K99+K100</f>
        <v>0</v>
      </c>
      <c r="L98" s="398"/>
      <c r="M98" s="407"/>
    </row>
    <row r="99" spans="1:13" s="83" customFormat="1" ht="39.75" customHeight="1" x14ac:dyDescent="0.25">
      <c r="A99" s="416"/>
      <c r="B99" s="434"/>
      <c r="C99" s="434"/>
      <c r="D99" s="251" t="s">
        <v>2</v>
      </c>
      <c r="E99" s="254">
        <f>E101</f>
        <v>0</v>
      </c>
      <c r="F99" s="253">
        <f t="shared" si="23"/>
        <v>0</v>
      </c>
      <c r="G99" s="254">
        <f t="shared" ref="G99:K100" si="24">G101</f>
        <v>0</v>
      </c>
      <c r="H99" s="254">
        <f t="shared" si="24"/>
        <v>0</v>
      </c>
      <c r="I99" s="140">
        <f t="shared" si="24"/>
        <v>0</v>
      </c>
      <c r="J99" s="140">
        <f t="shared" si="24"/>
        <v>0</v>
      </c>
      <c r="K99" s="140">
        <f t="shared" si="24"/>
        <v>0</v>
      </c>
      <c r="L99" s="398"/>
      <c r="M99" s="407"/>
    </row>
    <row r="100" spans="1:13" s="83" customFormat="1" ht="58.5" customHeight="1" x14ac:dyDescent="0.25">
      <c r="A100" s="416"/>
      <c r="B100" s="434"/>
      <c r="C100" s="434"/>
      <c r="D100" s="251" t="s">
        <v>77</v>
      </c>
      <c r="E100" s="254">
        <f>E102</f>
        <v>0</v>
      </c>
      <c r="F100" s="253">
        <f t="shared" si="23"/>
        <v>0</v>
      </c>
      <c r="G100" s="254">
        <f t="shared" si="24"/>
        <v>0</v>
      </c>
      <c r="H100" s="254">
        <f t="shared" si="24"/>
        <v>0</v>
      </c>
      <c r="I100" s="140">
        <f t="shared" si="24"/>
        <v>0</v>
      </c>
      <c r="J100" s="140">
        <f t="shared" si="24"/>
        <v>0</v>
      </c>
      <c r="K100" s="140">
        <f t="shared" si="24"/>
        <v>0</v>
      </c>
      <c r="L100" s="398"/>
      <c r="M100" s="407"/>
    </row>
    <row r="101" spans="1:13" s="83" customFormat="1" ht="37.5" x14ac:dyDescent="0.25">
      <c r="A101" s="404" t="s">
        <v>101</v>
      </c>
      <c r="B101" s="405" t="s">
        <v>232</v>
      </c>
      <c r="C101" s="406" t="s">
        <v>73</v>
      </c>
      <c r="D101" s="259" t="s">
        <v>2</v>
      </c>
      <c r="E101" s="288">
        <v>0</v>
      </c>
      <c r="F101" s="253">
        <f t="shared" si="23"/>
        <v>0</v>
      </c>
      <c r="G101" s="288">
        <v>0</v>
      </c>
      <c r="H101" s="288">
        <v>0</v>
      </c>
      <c r="I101" s="138">
        <v>0</v>
      </c>
      <c r="J101" s="138">
        <v>0</v>
      </c>
      <c r="K101" s="138">
        <v>0</v>
      </c>
      <c r="L101" s="455" t="s">
        <v>6</v>
      </c>
      <c r="M101" s="456" t="s">
        <v>233</v>
      </c>
    </row>
    <row r="102" spans="1:13" s="83" customFormat="1" ht="60" customHeight="1" x14ac:dyDescent="0.25">
      <c r="A102" s="404"/>
      <c r="B102" s="405"/>
      <c r="C102" s="406"/>
      <c r="D102" s="259" t="s">
        <v>77</v>
      </c>
      <c r="E102" s="288">
        <v>0</v>
      </c>
      <c r="F102" s="253">
        <f t="shared" si="23"/>
        <v>0</v>
      </c>
      <c r="G102" s="288">
        <v>0</v>
      </c>
      <c r="H102" s="288">
        <v>0</v>
      </c>
      <c r="I102" s="138">
        <v>0</v>
      </c>
      <c r="J102" s="138">
        <v>0</v>
      </c>
      <c r="K102" s="138">
        <v>0</v>
      </c>
      <c r="L102" s="455"/>
      <c r="M102" s="456"/>
    </row>
    <row r="103" spans="1:13" ht="18.75" x14ac:dyDescent="0.25">
      <c r="A103" s="435" t="s">
        <v>27</v>
      </c>
      <c r="B103" s="436"/>
      <c r="C103" s="436"/>
      <c r="D103" s="436"/>
      <c r="E103" s="292" t="e">
        <f>E104+E105+E106+E108+E109</f>
        <v>#REF!</v>
      </c>
      <c r="F103" s="293">
        <f t="shared" si="23"/>
        <v>42227650.171060003</v>
      </c>
      <c r="G103" s="292">
        <f>G104+G105+G106+G108+G109</f>
        <v>5501361.8617099999</v>
      </c>
      <c r="H103" s="292">
        <f>H104+H105+H106+H108+H109</f>
        <v>6236099.0290699992</v>
      </c>
      <c r="I103" s="292">
        <f>I104+I105+I106+I108+I109</f>
        <v>10485062.058720002</v>
      </c>
      <c r="J103" s="292">
        <f>J104+J105+J106+J108+J109</f>
        <v>10043238.98158</v>
      </c>
      <c r="K103" s="292">
        <f>K104+K105+K106+K108+K109</f>
        <v>9961888.239980001</v>
      </c>
      <c r="L103" s="294"/>
      <c r="M103" s="295"/>
    </row>
    <row r="104" spans="1:13" ht="18.75" x14ac:dyDescent="0.25">
      <c r="A104" s="447" t="s">
        <v>65</v>
      </c>
      <c r="B104" s="448"/>
      <c r="C104" s="448"/>
      <c r="D104" s="448"/>
      <c r="E104" s="296">
        <f>E83</f>
        <v>5515.06754</v>
      </c>
      <c r="F104" s="293">
        <f t="shared" si="23"/>
        <v>1392241.3659299999</v>
      </c>
      <c r="G104" s="296">
        <f t="shared" ref="G104:H104" si="25">G83+G9+G39+G69</f>
        <v>103891.7975</v>
      </c>
      <c r="H104" s="296">
        <f t="shared" si="25"/>
        <v>275930.62963999994</v>
      </c>
      <c r="I104" s="296">
        <f>I83+I9+I39+I69</f>
        <v>381383.62377000001</v>
      </c>
      <c r="J104" s="296">
        <f t="shared" ref="J104:K104" si="26">J83+J9+J39+J69</f>
        <v>306078.19773999997</v>
      </c>
      <c r="K104" s="296">
        <f t="shared" si="26"/>
        <v>324957.11728000001</v>
      </c>
      <c r="L104" s="297"/>
      <c r="M104" s="298"/>
    </row>
    <row r="105" spans="1:13" ht="18.75" x14ac:dyDescent="0.25">
      <c r="A105" s="447" t="s">
        <v>2</v>
      </c>
      <c r="B105" s="448"/>
      <c r="C105" s="448"/>
      <c r="D105" s="448"/>
      <c r="E105" s="296" t="e">
        <f>E10+#REF!+E40+E84+E99</f>
        <v>#REF!</v>
      </c>
      <c r="F105" s="293">
        <f t="shared" si="23"/>
        <v>26705348.645779997</v>
      </c>
      <c r="G105" s="296">
        <f>G10+G40+G84+G99+G70</f>
        <v>3764854.2024999997</v>
      </c>
      <c r="H105" s="296">
        <f>H10+H40+H84+H99+H70</f>
        <v>4240379.5959199993</v>
      </c>
      <c r="I105" s="296">
        <f>I10+I40+I84+I99+I70</f>
        <v>6477612.6954499995</v>
      </c>
      <c r="J105" s="296">
        <f>J10+J40+J84+J99+J70</f>
        <v>6140386.8596700002</v>
      </c>
      <c r="K105" s="296">
        <f>K10+K40+K84+K99+K70</f>
        <v>6082115.2922400003</v>
      </c>
      <c r="L105" s="297"/>
      <c r="M105" s="298"/>
    </row>
    <row r="106" spans="1:13" ht="18.75" x14ac:dyDescent="0.25">
      <c r="A106" s="447" t="s">
        <v>77</v>
      </c>
      <c r="B106" s="448"/>
      <c r="C106" s="448"/>
      <c r="D106" s="448"/>
      <c r="E106" s="296" t="e">
        <f>E11+E41+E66+E85+E100</f>
        <v>#REF!</v>
      </c>
      <c r="F106" s="293">
        <f t="shared" si="23"/>
        <v>12336736.171289999</v>
      </c>
      <c r="G106" s="296">
        <f>G11+G41+G66+G85+G100+G71</f>
        <v>1427228.51933</v>
      </c>
      <c r="H106" s="296">
        <f>H11+H41+H66+H85+H100+H71</f>
        <v>1389026.8370400004</v>
      </c>
      <c r="I106" s="296">
        <f>I11+I41+I66+I85+I100+I71</f>
        <v>3218544.0382899996</v>
      </c>
      <c r="J106" s="296">
        <f>J11+J41+J66+J85+J100+J71</f>
        <v>3171947.43517</v>
      </c>
      <c r="K106" s="296">
        <f>K11+K41+K66+K85+K100+K71</f>
        <v>3129989.3414599998</v>
      </c>
      <c r="L106" s="299"/>
      <c r="M106" s="298"/>
    </row>
    <row r="107" spans="1:13" ht="18.75" x14ac:dyDescent="0.3">
      <c r="A107" s="453" t="s">
        <v>113</v>
      </c>
      <c r="B107" s="454"/>
      <c r="C107" s="454"/>
      <c r="D107" s="454"/>
      <c r="E107" s="300">
        <f>E19</f>
        <v>0</v>
      </c>
      <c r="F107" s="293">
        <f t="shared" si="23"/>
        <v>1421991.8143800001</v>
      </c>
      <c r="G107" s="300">
        <f>G19</f>
        <v>4822.2330000000002</v>
      </c>
      <c r="H107" s="300">
        <f>H19</f>
        <v>75495.72338000001</v>
      </c>
      <c r="I107" s="300">
        <f>I19</f>
        <v>448982.05800000002</v>
      </c>
      <c r="J107" s="300">
        <f>J19</f>
        <v>446345.9</v>
      </c>
      <c r="K107" s="300">
        <f>K19</f>
        <v>446345.9</v>
      </c>
      <c r="L107" s="301"/>
      <c r="M107" s="302"/>
    </row>
    <row r="108" spans="1:13" ht="18.75" x14ac:dyDescent="0.3">
      <c r="A108" s="453" t="s">
        <v>24</v>
      </c>
      <c r="B108" s="454"/>
      <c r="C108" s="454"/>
      <c r="D108" s="454"/>
      <c r="E108" s="300">
        <f>E13</f>
        <v>262352.43170000002</v>
      </c>
      <c r="F108" s="293">
        <f t="shared" si="23"/>
        <v>1709475.0640600002</v>
      </c>
      <c r="G108" s="300">
        <f t="shared" ref="G108:K109" si="27">G13</f>
        <v>204913.88738000003</v>
      </c>
      <c r="H108" s="300">
        <f t="shared" si="27"/>
        <v>316853.18346999999</v>
      </c>
      <c r="I108" s="300">
        <f t="shared" si="27"/>
        <v>384366.13920999999</v>
      </c>
      <c r="J108" s="300">
        <f t="shared" si="27"/>
        <v>401670.92700000003</v>
      </c>
      <c r="K108" s="300">
        <f t="shared" si="27"/>
        <v>401670.92700000003</v>
      </c>
      <c r="L108" s="301"/>
      <c r="M108" s="302"/>
    </row>
    <row r="109" spans="1:13" ht="19.5" thickBot="1" x14ac:dyDescent="0.35">
      <c r="A109" s="451" t="s">
        <v>31</v>
      </c>
      <c r="B109" s="452"/>
      <c r="C109" s="452"/>
      <c r="D109" s="452"/>
      <c r="E109" s="303">
        <f>E14</f>
        <v>8751.5480000000007</v>
      </c>
      <c r="F109" s="304">
        <f t="shared" si="23"/>
        <v>83848.924000000014</v>
      </c>
      <c r="G109" s="303">
        <f t="shared" si="27"/>
        <v>473.45499999999998</v>
      </c>
      <c r="H109" s="303">
        <f t="shared" si="27"/>
        <v>13908.782999999999</v>
      </c>
      <c r="I109" s="303">
        <f t="shared" si="27"/>
        <v>23155.562000000002</v>
      </c>
      <c r="J109" s="303">
        <f t="shared" si="27"/>
        <v>23155.562000000002</v>
      </c>
      <c r="K109" s="303">
        <f t="shared" si="27"/>
        <v>23155.562000000002</v>
      </c>
      <c r="L109" s="305"/>
      <c r="M109" s="306"/>
    </row>
    <row r="110" spans="1:13" ht="15.75" x14ac:dyDescent="0.25">
      <c r="A110" s="307"/>
      <c r="B110" s="307"/>
      <c r="C110" s="307"/>
      <c r="D110" s="307"/>
      <c r="E110" s="308"/>
      <c r="F110" s="309"/>
      <c r="G110" s="308"/>
      <c r="H110" s="310"/>
      <c r="I110" s="311"/>
      <c r="J110" s="312"/>
      <c r="K110" s="312"/>
      <c r="L110" s="313"/>
      <c r="M110" s="314"/>
    </row>
    <row r="111" spans="1:13" ht="18.75" x14ac:dyDescent="0.3">
      <c r="B111" s="449" t="s">
        <v>35</v>
      </c>
      <c r="C111" s="450"/>
      <c r="D111" s="450"/>
      <c r="E111" s="316">
        <f>E42</f>
        <v>13649</v>
      </c>
      <c r="F111" s="317">
        <f>SUM(G111:K111)</f>
        <v>28197</v>
      </c>
      <c r="G111" s="316">
        <f>G42</f>
        <v>14040</v>
      </c>
      <c r="H111" s="316">
        <f>H42</f>
        <v>14157</v>
      </c>
      <c r="I111" s="316">
        <f>I42</f>
        <v>0</v>
      </c>
      <c r="J111" s="316">
        <f>J42</f>
        <v>0</v>
      </c>
      <c r="K111" s="316">
        <f>K42</f>
        <v>0</v>
      </c>
      <c r="L111" s="318"/>
    </row>
    <row r="112" spans="1:13" ht="18.75" x14ac:dyDescent="0.3">
      <c r="B112" s="449" t="s">
        <v>37</v>
      </c>
      <c r="C112" s="450"/>
      <c r="D112" s="450"/>
      <c r="E112" s="316">
        <f>E43</f>
        <v>0</v>
      </c>
      <c r="F112" s="317">
        <f>SUM(G112:K112)</f>
        <v>836293.85144999996</v>
      </c>
      <c r="G112" s="316">
        <f>16195+G43-5837-4996.94311</f>
        <v>10842.155890000002</v>
      </c>
      <c r="H112" s="316">
        <f>H43+10358+4339.86647-5840.643+0.00063</f>
        <v>17116.522099999998</v>
      </c>
      <c r="I112" s="316">
        <f>I43+24105.358-4763.838+200253.78433+16.19211+I90-873.45302+69145.75973+8223.65431</f>
        <v>304107.45746000001</v>
      </c>
      <c r="J112" s="316">
        <f>J43+24105.358+200000+56017</f>
        <v>280122.35800000001</v>
      </c>
      <c r="K112" s="316">
        <f>K43+24105.358+200000</f>
        <v>224105.35800000001</v>
      </c>
    </row>
    <row r="113" spans="2:12" ht="18.75" x14ac:dyDescent="0.3">
      <c r="B113" s="445" t="s">
        <v>36</v>
      </c>
      <c r="C113" s="446"/>
      <c r="D113" s="446"/>
      <c r="E113" s="319">
        <f>SUM(E111:E112)</f>
        <v>13649</v>
      </c>
      <c r="F113" s="319">
        <f t="shared" ref="F113:K113" si="28">SUM(F111:F112)</f>
        <v>864490.85144999996</v>
      </c>
      <c r="G113" s="319">
        <f t="shared" si="28"/>
        <v>24882.155890000002</v>
      </c>
      <c r="H113" s="319">
        <f t="shared" si="28"/>
        <v>31273.522099999998</v>
      </c>
      <c r="I113" s="319">
        <f t="shared" si="28"/>
        <v>304107.45746000001</v>
      </c>
      <c r="J113" s="319">
        <f t="shared" si="28"/>
        <v>280122.35800000001</v>
      </c>
      <c r="K113" s="319">
        <f t="shared" si="28"/>
        <v>224105.35800000001</v>
      </c>
    </row>
    <row r="114" spans="2:12" ht="18.75" x14ac:dyDescent="0.3">
      <c r="B114" s="449" t="s">
        <v>116</v>
      </c>
      <c r="C114" s="450"/>
      <c r="D114" s="450"/>
      <c r="E114" s="316">
        <v>0</v>
      </c>
      <c r="F114" s="317">
        <f>SUM(G114:K114)</f>
        <v>0</v>
      </c>
      <c r="G114" s="316">
        <f>10317.004-6043.49-4273.514</f>
        <v>0</v>
      </c>
      <c r="H114" s="316">
        <v>0</v>
      </c>
      <c r="I114" s="316">
        <v>0</v>
      </c>
      <c r="J114" s="316">
        <v>0</v>
      </c>
      <c r="K114" s="316">
        <v>0</v>
      </c>
      <c r="L114" s="320"/>
    </row>
    <row r="115" spans="2:12" ht="18.75" x14ac:dyDescent="0.3">
      <c r="B115" s="449" t="s">
        <v>117</v>
      </c>
      <c r="C115" s="450"/>
      <c r="D115" s="450"/>
      <c r="E115" s="316">
        <v>0</v>
      </c>
      <c r="F115" s="317">
        <f t="shared" ref="F115:F121" si="29">SUM(G115:K115)</f>
        <v>0</v>
      </c>
      <c r="G115" s="316">
        <v>0</v>
      </c>
      <c r="H115" s="316">
        <v>0</v>
      </c>
      <c r="I115" s="316">
        <v>0</v>
      </c>
      <c r="J115" s="316">
        <v>0</v>
      </c>
      <c r="K115" s="316">
        <v>0</v>
      </c>
      <c r="L115" s="320"/>
    </row>
    <row r="116" spans="2:12" ht="18.75" x14ac:dyDescent="0.3">
      <c r="B116" s="445" t="s">
        <v>118</v>
      </c>
      <c r="C116" s="446"/>
      <c r="D116" s="446"/>
      <c r="E116" s="319">
        <f>SUM(E114:E115)</f>
        <v>0</v>
      </c>
      <c r="F116" s="317">
        <f t="shared" si="29"/>
        <v>0</v>
      </c>
      <c r="G116" s="319">
        <f>SUM(G114:G115)</f>
        <v>0</v>
      </c>
      <c r="H116" s="319">
        <f>SUM(H114:H115)</f>
        <v>0</v>
      </c>
      <c r="I116" s="319">
        <f>SUM(I114:I115)</f>
        <v>0</v>
      </c>
      <c r="J116" s="319">
        <f>SUM(J114:J115)</f>
        <v>0</v>
      </c>
      <c r="K116" s="319">
        <f>SUM(K114:K115)</f>
        <v>0</v>
      </c>
      <c r="L116" s="320"/>
    </row>
    <row r="117" spans="2:12" ht="18.75" x14ac:dyDescent="0.3">
      <c r="B117" s="449" t="s">
        <v>68</v>
      </c>
      <c r="C117" s="450"/>
      <c r="D117" s="450"/>
      <c r="E117" s="316">
        <f>E104</f>
        <v>5515.06754</v>
      </c>
      <c r="F117" s="317">
        <f t="shared" si="29"/>
        <v>1392241.3659299999</v>
      </c>
      <c r="G117" s="316">
        <f>G104</f>
        <v>103891.7975</v>
      </c>
      <c r="H117" s="316">
        <f>H104</f>
        <v>275930.62963999994</v>
      </c>
      <c r="I117" s="316">
        <f>I104</f>
        <v>381383.62377000001</v>
      </c>
      <c r="J117" s="316">
        <f>J104</f>
        <v>306078.19773999997</v>
      </c>
      <c r="K117" s="316">
        <f>K104</f>
        <v>324957.11728000001</v>
      </c>
    </row>
    <row r="118" spans="2:12" ht="18.75" x14ac:dyDescent="0.3">
      <c r="B118" s="449" t="s">
        <v>39</v>
      </c>
      <c r="C118" s="450"/>
      <c r="D118" s="450"/>
      <c r="E118" s="316" t="e">
        <f>E105-E111-E115</f>
        <v>#REF!</v>
      </c>
      <c r="F118" s="317">
        <f t="shared" si="29"/>
        <v>26677151.645779997</v>
      </c>
      <c r="G118" s="316">
        <f>G105-G111-G115</f>
        <v>3750814.2024999997</v>
      </c>
      <c r="H118" s="316">
        <f>H105-H111-H115</f>
        <v>4226222.5959199993</v>
      </c>
      <c r="I118" s="316">
        <f>I105-I111-I115</f>
        <v>6477612.6954499995</v>
      </c>
      <c r="J118" s="316">
        <f>J105-J111-J115</f>
        <v>6140386.8596700002</v>
      </c>
      <c r="K118" s="316">
        <f>K105-K111-K115</f>
        <v>6082115.2922400003</v>
      </c>
    </row>
    <row r="119" spans="2:12" ht="18.75" x14ac:dyDescent="0.3">
      <c r="B119" s="449" t="s">
        <v>38</v>
      </c>
      <c r="C119" s="450"/>
      <c r="D119" s="450"/>
      <c r="E119" s="316" t="e">
        <f>E106-E112-E114</f>
        <v>#REF!</v>
      </c>
      <c r="F119" s="317">
        <f t="shared" si="29"/>
        <v>11500442.319839999</v>
      </c>
      <c r="G119" s="316">
        <f>G106-G112-G114</f>
        <v>1416386.36344</v>
      </c>
      <c r="H119" s="316">
        <f>H106-H112-H114</f>
        <v>1371910.3149400004</v>
      </c>
      <c r="I119" s="316">
        <f>I106-I112-I114</f>
        <v>2914436.5808299994</v>
      </c>
      <c r="J119" s="316">
        <f>J106-J112-J114</f>
        <v>2891825.0771699999</v>
      </c>
      <c r="K119" s="316">
        <f>K106-K112-K114</f>
        <v>2905883.9834599998</v>
      </c>
    </row>
    <row r="120" spans="2:12" ht="18.75" x14ac:dyDescent="0.3">
      <c r="B120" s="449" t="s">
        <v>24</v>
      </c>
      <c r="C120" s="450"/>
      <c r="D120" s="450"/>
      <c r="E120" s="316">
        <f>E108</f>
        <v>262352.43170000002</v>
      </c>
      <c r="F120" s="317">
        <f t="shared" si="29"/>
        <v>1709475.0640600002</v>
      </c>
      <c r="G120" s="316">
        <f t="shared" ref="G120:K121" si="30">G108</f>
        <v>204913.88738000003</v>
      </c>
      <c r="H120" s="316">
        <f t="shared" si="30"/>
        <v>316853.18346999999</v>
      </c>
      <c r="I120" s="316">
        <f t="shared" si="30"/>
        <v>384366.13920999999</v>
      </c>
      <c r="J120" s="316">
        <f t="shared" si="30"/>
        <v>401670.92700000003</v>
      </c>
      <c r="K120" s="316">
        <f t="shared" si="30"/>
        <v>401670.92700000003</v>
      </c>
    </row>
    <row r="121" spans="2:12" ht="18.75" x14ac:dyDescent="0.3">
      <c r="B121" s="449" t="s">
        <v>31</v>
      </c>
      <c r="C121" s="450"/>
      <c r="D121" s="450"/>
      <c r="E121" s="316">
        <f>E109</f>
        <v>8751.5480000000007</v>
      </c>
      <c r="F121" s="317">
        <f t="shared" si="29"/>
        <v>83848.924000000014</v>
      </c>
      <c r="G121" s="316">
        <f t="shared" si="30"/>
        <v>473.45499999999998</v>
      </c>
      <c r="H121" s="316">
        <f t="shared" si="30"/>
        <v>13908.782999999999</v>
      </c>
      <c r="I121" s="316">
        <f t="shared" si="30"/>
        <v>23155.562000000002</v>
      </c>
      <c r="J121" s="316">
        <f t="shared" si="30"/>
        <v>23155.562000000002</v>
      </c>
      <c r="K121" s="316">
        <f t="shared" si="30"/>
        <v>23155.562000000002</v>
      </c>
    </row>
    <row r="122" spans="2:12" ht="18.75" x14ac:dyDescent="0.3">
      <c r="B122" s="445" t="s">
        <v>40</v>
      </c>
      <c r="C122" s="446"/>
      <c r="D122" s="446"/>
      <c r="E122" s="319" t="e">
        <f t="shared" ref="E122:K122" si="31">SUM(E117:E121)</f>
        <v>#REF!</v>
      </c>
      <c r="F122" s="317">
        <f t="shared" si="31"/>
        <v>41363159.31961</v>
      </c>
      <c r="G122" s="319">
        <f t="shared" si="31"/>
        <v>5476479.7058199998</v>
      </c>
      <c r="H122" s="319">
        <f t="shared" si="31"/>
        <v>6204825.5069699995</v>
      </c>
      <c r="I122" s="321">
        <f t="shared" si="31"/>
        <v>10180954.601260001</v>
      </c>
      <c r="J122" s="319">
        <f t="shared" si="31"/>
        <v>9763116.6235799994</v>
      </c>
      <c r="K122" s="319">
        <f t="shared" si="31"/>
        <v>9737782.8819800001</v>
      </c>
    </row>
    <row r="123" spans="2:12" x14ac:dyDescent="0.25">
      <c r="F123" s="322"/>
    </row>
    <row r="124" spans="2:12" x14ac:dyDescent="0.25">
      <c r="F124" s="324">
        <f t="shared" ref="F124:K124" si="32">F113+F116+F122</f>
        <v>42227650.171059996</v>
      </c>
      <c r="G124" s="318">
        <f t="shared" si="32"/>
        <v>5501361.8617099999</v>
      </c>
      <c r="H124" s="318">
        <f t="shared" si="32"/>
        <v>6236099.0290699992</v>
      </c>
      <c r="I124" s="318">
        <f t="shared" si="32"/>
        <v>10485062.05872</v>
      </c>
      <c r="J124" s="318">
        <f t="shared" si="32"/>
        <v>10043238.98158</v>
      </c>
      <c r="K124" s="318">
        <f t="shared" si="32"/>
        <v>9961888.239980001</v>
      </c>
    </row>
    <row r="125" spans="2:12" ht="15.75" x14ac:dyDescent="0.25">
      <c r="H125" s="326"/>
      <c r="I125" s="327"/>
      <c r="J125" s="328"/>
      <c r="K125" s="328"/>
    </row>
    <row r="126" spans="2:12" ht="15.75" x14ac:dyDescent="0.25">
      <c r="G126" s="318"/>
      <c r="H126" s="326"/>
    </row>
    <row r="127" spans="2:12" ht="15.75" x14ac:dyDescent="0.25">
      <c r="H127" s="326">
        <v>1219793.196</v>
      </c>
      <c r="I127" s="323">
        <v>1221758.808</v>
      </c>
      <c r="J127" s="315">
        <v>1216477.405</v>
      </c>
    </row>
    <row r="128" spans="2:12" x14ac:dyDescent="0.25">
      <c r="H128" s="327">
        <f>H119-H127</f>
        <v>152117.11894000042</v>
      </c>
      <c r="I128" s="327">
        <f>I119-I127</f>
        <v>1692677.7728299994</v>
      </c>
      <c r="J128" s="327">
        <f>J119-J127</f>
        <v>1675347.6721699999</v>
      </c>
    </row>
    <row r="129" spans="8:8" x14ac:dyDescent="0.25">
      <c r="H129" s="327"/>
    </row>
    <row r="131" spans="8:8" x14ac:dyDescent="0.25">
      <c r="H131" s="329"/>
    </row>
    <row r="132" spans="8:8" x14ac:dyDescent="0.25">
      <c r="H132" s="329"/>
    </row>
    <row r="133" spans="8:8" x14ac:dyDescent="0.25">
      <c r="H133" s="329"/>
    </row>
  </sheetData>
  <mergeCells count="189">
    <mergeCell ref="L68:L71"/>
    <mergeCell ref="M68:M71"/>
    <mergeCell ref="A68:A71"/>
    <mergeCell ref="B68:B71"/>
    <mergeCell ref="C68:C71"/>
    <mergeCell ref="A78:A79"/>
    <mergeCell ref="B78:B79"/>
    <mergeCell ref="C78:C79"/>
    <mergeCell ref="L78:L79"/>
    <mergeCell ref="M78:M79"/>
    <mergeCell ref="A72:A74"/>
    <mergeCell ref="B72:B74"/>
    <mergeCell ref="C72:C74"/>
    <mergeCell ref="L72:L74"/>
    <mergeCell ref="M72:M74"/>
    <mergeCell ref="M75:M77"/>
    <mergeCell ref="L75:L77"/>
    <mergeCell ref="C75:C77"/>
    <mergeCell ref="B75:B77"/>
    <mergeCell ref="A75:A77"/>
    <mergeCell ref="A51:A52"/>
    <mergeCell ref="L56:L57"/>
    <mergeCell ref="M56:M57"/>
    <mergeCell ref="B65:B66"/>
    <mergeCell ref="L65:L66"/>
    <mergeCell ref="M65:M66"/>
    <mergeCell ref="M58:M60"/>
    <mergeCell ref="A56:A57"/>
    <mergeCell ref="B56:B57"/>
    <mergeCell ref="C56:C57"/>
    <mergeCell ref="A65:A66"/>
    <mergeCell ref="A61:A62"/>
    <mergeCell ref="B61:B62"/>
    <mergeCell ref="C61:C62"/>
    <mergeCell ref="L61:L62"/>
    <mergeCell ref="M61:M62"/>
    <mergeCell ref="C63:C64"/>
    <mergeCell ref="L63:L64"/>
    <mergeCell ref="M63:M64"/>
    <mergeCell ref="M44:M45"/>
    <mergeCell ref="L44:L45"/>
    <mergeCell ref="A35:A36"/>
    <mergeCell ref="B35:B36"/>
    <mergeCell ref="A58:A60"/>
    <mergeCell ref="B58:B60"/>
    <mergeCell ref="A17:A21"/>
    <mergeCell ref="B17:B21"/>
    <mergeCell ref="C17:C21"/>
    <mergeCell ref="L17:L21"/>
    <mergeCell ref="M17:M21"/>
    <mergeCell ref="A22:A23"/>
    <mergeCell ref="B22:B23"/>
    <mergeCell ref="M22:M23"/>
    <mergeCell ref="L22:L23"/>
    <mergeCell ref="A33:A34"/>
    <mergeCell ref="B33:B34"/>
    <mergeCell ref="C33:C34"/>
    <mergeCell ref="L33:L34"/>
    <mergeCell ref="M33:M34"/>
    <mergeCell ref="B51:B52"/>
    <mergeCell ref="C51:C52"/>
    <mergeCell ref="C58:C60"/>
    <mergeCell ref="L58:L60"/>
    <mergeCell ref="L101:L102"/>
    <mergeCell ref="M101:M102"/>
    <mergeCell ref="A98:A100"/>
    <mergeCell ref="B98:B100"/>
    <mergeCell ref="C98:C100"/>
    <mergeCell ref="L98:L100"/>
    <mergeCell ref="M98:M100"/>
    <mergeCell ref="A101:A102"/>
    <mergeCell ref="B101:B102"/>
    <mergeCell ref="C101:C102"/>
    <mergeCell ref="M89:M90"/>
    <mergeCell ref="A86:A88"/>
    <mergeCell ref="C86:C88"/>
    <mergeCell ref="L86:L88"/>
    <mergeCell ref="M86:M88"/>
    <mergeCell ref="B86:B88"/>
    <mergeCell ref="L91:L92"/>
    <mergeCell ref="M91:M92"/>
    <mergeCell ref="A91:A92"/>
    <mergeCell ref="B91:B92"/>
    <mergeCell ref="A80:A81"/>
    <mergeCell ref="B80:B81"/>
    <mergeCell ref="C80:C81"/>
    <mergeCell ref="L80:L81"/>
    <mergeCell ref="M80:M81"/>
    <mergeCell ref="B122:D122"/>
    <mergeCell ref="A106:D106"/>
    <mergeCell ref="A105:D105"/>
    <mergeCell ref="B120:D120"/>
    <mergeCell ref="B121:D121"/>
    <mergeCell ref="B112:D112"/>
    <mergeCell ref="B111:D111"/>
    <mergeCell ref="B113:D113"/>
    <mergeCell ref="A109:D109"/>
    <mergeCell ref="A108:D108"/>
    <mergeCell ref="B119:D119"/>
    <mergeCell ref="B118:D118"/>
    <mergeCell ref="B114:D114"/>
    <mergeCell ref="B115:D115"/>
    <mergeCell ref="B116:D116"/>
    <mergeCell ref="A107:D107"/>
    <mergeCell ref="A104:D104"/>
    <mergeCell ref="B117:D117"/>
    <mergeCell ref="L89:L90"/>
    <mergeCell ref="A8:A14"/>
    <mergeCell ref="B8:B14"/>
    <mergeCell ref="C8:C14"/>
    <mergeCell ref="B38:B41"/>
    <mergeCell ref="C38:C41"/>
    <mergeCell ref="A82:A85"/>
    <mergeCell ref="A103:D103"/>
    <mergeCell ref="A47:A48"/>
    <mergeCell ref="B47:B48"/>
    <mergeCell ref="C47:C48"/>
    <mergeCell ref="C65:C66"/>
    <mergeCell ref="B82:B85"/>
    <mergeCell ref="C82:C85"/>
    <mergeCell ref="A93:A95"/>
    <mergeCell ref="B93:B95"/>
    <mergeCell ref="C93:C95"/>
    <mergeCell ref="C44:C45"/>
    <mergeCell ref="B44:B45"/>
    <mergeCell ref="A28:A30"/>
    <mergeCell ref="A42:A43"/>
    <mergeCell ref="B42:B43"/>
    <mergeCell ref="C35:C36"/>
    <mergeCell ref="A63:A64"/>
    <mergeCell ref="B63:B64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L35:L36"/>
    <mergeCell ref="M35:M36"/>
    <mergeCell ref="A7:M7"/>
    <mergeCell ref="L8:L14"/>
    <mergeCell ref="M8:M14"/>
    <mergeCell ref="A38:A41"/>
    <mergeCell ref="L49:L50"/>
    <mergeCell ref="M49:M50"/>
    <mergeCell ref="C42:C43"/>
    <mergeCell ref="L42:L43"/>
    <mergeCell ref="M42:M43"/>
    <mergeCell ref="A44:A45"/>
    <mergeCell ref="B28:B30"/>
    <mergeCell ref="C28:C30"/>
    <mergeCell ref="B49:B50"/>
    <mergeCell ref="C49:C50"/>
    <mergeCell ref="A49:A50"/>
    <mergeCell ref="M28:M30"/>
    <mergeCell ref="L28:L30"/>
    <mergeCell ref="B31:B32"/>
    <mergeCell ref="A31:A32"/>
    <mergeCell ref="C31:C32"/>
    <mergeCell ref="L31:L32"/>
    <mergeCell ref="M31:M32"/>
    <mergeCell ref="M47:M48"/>
    <mergeCell ref="L38:L41"/>
    <mergeCell ref="A96:A97"/>
    <mergeCell ref="B96:B97"/>
    <mergeCell ref="C96:C97"/>
    <mergeCell ref="L96:L97"/>
    <mergeCell ref="M96:M97"/>
    <mergeCell ref="L51:L52"/>
    <mergeCell ref="M51:M52"/>
    <mergeCell ref="A53:A55"/>
    <mergeCell ref="B53:B55"/>
    <mergeCell ref="C53:C55"/>
    <mergeCell ref="L53:L55"/>
    <mergeCell ref="M53:M55"/>
    <mergeCell ref="C91:C92"/>
    <mergeCell ref="A89:A90"/>
    <mergeCell ref="B89:B90"/>
    <mergeCell ref="C89:C90"/>
    <mergeCell ref="L93:L95"/>
    <mergeCell ref="L47:L48"/>
    <mergeCell ref="M38:M41"/>
    <mergeCell ref="M93:M95"/>
    <mergeCell ref="L82:L85"/>
    <mergeCell ref="M82:M85"/>
  </mergeCells>
  <pageMargins left="0.19685039370078741" right="0.19685039370078741" top="0.59055118110236227" bottom="0.19685039370078741" header="0.39370078740157483" footer="0"/>
  <pageSetup paperSize="9" scale="44" firstPageNumber="5" fitToHeight="0" orientation="landscape" useFirstPageNumber="1" r:id="rId1"/>
  <headerFooter alignWithMargins="0">
    <oddHeader>&amp;C&amp;"Times New Roman,обычный"&amp;12&amp;K000000&amp;P</oddHeader>
  </headerFooter>
  <rowBreaks count="3" manualBreakCount="3">
    <brk id="32" max="12" man="1"/>
    <brk id="41" max="12" man="1"/>
    <brk id="7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100"/>
  <sheetViews>
    <sheetView view="pageBreakPreview" topLeftCell="A10" zoomScale="70" zoomScaleNormal="70" zoomScaleSheetLayoutView="70" workbookViewId="0">
      <selection activeCell="B25" sqref="B25:B26"/>
    </sheetView>
  </sheetViews>
  <sheetFormatPr defaultColWidth="9.140625" defaultRowHeight="15" x14ac:dyDescent="0.25"/>
  <cols>
    <col min="1" max="1" width="8.28515625" style="2" customWidth="1"/>
    <col min="2" max="2" width="66.85546875" style="2" customWidth="1"/>
    <col min="3" max="3" width="18.5703125" style="38" customWidth="1"/>
    <col min="4" max="4" width="31.140625" style="2" customWidth="1"/>
    <col min="5" max="5" width="20.7109375" style="2" hidden="1" customWidth="1"/>
    <col min="6" max="6" width="21.7109375" style="22" customWidth="1"/>
    <col min="7" max="7" width="18" style="2" customWidth="1"/>
    <col min="8" max="9" width="18" style="83" customWidth="1"/>
    <col min="10" max="11" width="18" style="2" customWidth="1"/>
    <col min="12" max="12" width="23.42578125" style="2" customWidth="1"/>
    <col min="13" max="13" width="44.140625" style="2" customWidth="1"/>
    <col min="14" max="16" width="23.140625" style="2" hidden="1" customWidth="1"/>
    <col min="17" max="17" width="20" style="2" hidden="1" customWidth="1"/>
    <col min="18" max="18" width="23.42578125" style="23" customWidth="1"/>
    <col min="19" max="20" width="9.140625" style="23" customWidth="1"/>
    <col min="21" max="28" width="9.140625" style="23"/>
    <col min="29" max="16384" width="9.140625" style="2"/>
  </cols>
  <sheetData>
    <row r="1" spans="1:20" ht="15.75" customHeight="1" thickBot="1" x14ac:dyDescent="0.3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209"/>
      <c r="M1" s="209"/>
      <c r="N1" s="92"/>
      <c r="O1" s="92"/>
      <c r="P1" s="92"/>
    </row>
    <row r="2" spans="1:20" ht="15.75" customHeight="1" x14ac:dyDescent="0.25">
      <c r="A2" s="504" t="s">
        <v>0</v>
      </c>
      <c r="B2" s="497" t="s">
        <v>8</v>
      </c>
      <c r="C2" s="497" t="s">
        <v>85</v>
      </c>
      <c r="D2" s="497" t="s">
        <v>9</v>
      </c>
      <c r="E2" s="497" t="s">
        <v>69</v>
      </c>
      <c r="F2" s="507" t="s">
        <v>10</v>
      </c>
      <c r="G2" s="497" t="s">
        <v>22</v>
      </c>
      <c r="H2" s="497"/>
      <c r="I2" s="497"/>
      <c r="J2" s="497"/>
      <c r="K2" s="497"/>
      <c r="L2" s="503" t="s">
        <v>11</v>
      </c>
      <c r="M2" s="499" t="s">
        <v>4</v>
      </c>
      <c r="N2" s="66"/>
      <c r="O2" s="66"/>
      <c r="P2" s="66"/>
    </row>
    <row r="3" spans="1:20" ht="15.75" customHeight="1" x14ac:dyDescent="0.25">
      <c r="A3" s="505"/>
      <c r="B3" s="498"/>
      <c r="C3" s="498"/>
      <c r="D3" s="506"/>
      <c r="E3" s="498"/>
      <c r="F3" s="508"/>
      <c r="G3" s="498"/>
      <c r="H3" s="498"/>
      <c r="I3" s="498"/>
      <c r="J3" s="498"/>
      <c r="K3" s="498"/>
      <c r="L3" s="502"/>
      <c r="M3" s="500"/>
      <c r="N3" s="66"/>
      <c r="O3" s="66"/>
      <c r="P3" s="66"/>
    </row>
    <row r="4" spans="1:20" ht="46.5" customHeight="1" x14ac:dyDescent="0.25">
      <c r="A4" s="505"/>
      <c r="B4" s="498"/>
      <c r="C4" s="506"/>
      <c r="D4" s="506"/>
      <c r="E4" s="498"/>
      <c r="F4" s="508"/>
      <c r="G4" s="208" t="s">
        <v>56</v>
      </c>
      <c r="H4" s="85" t="s">
        <v>57</v>
      </c>
      <c r="I4" s="85" t="s">
        <v>70</v>
      </c>
      <c r="J4" s="208" t="s">
        <v>71</v>
      </c>
      <c r="K4" s="208" t="s">
        <v>72</v>
      </c>
      <c r="L4" s="502"/>
      <c r="M4" s="500"/>
      <c r="N4" s="66" t="s">
        <v>66</v>
      </c>
      <c r="O4" s="66" t="s">
        <v>67</v>
      </c>
      <c r="P4" s="66"/>
    </row>
    <row r="5" spans="1:20" ht="21" customHeight="1" x14ac:dyDescent="0.25">
      <c r="A5" s="8">
        <v>1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20" ht="33" customHeight="1" x14ac:dyDescent="0.25">
      <c r="A6" s="501" t="s">
        <v>130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0"/>
      <c r="N6" s="66"/>
      <c r="O6" s="66"/>
      <c r="P6" s="66"/>
    </row>
    <row r="7" spans="1:20" s="83" customFormat="1" ht="18.75" x14ac:dyDescent="0.25">
      <c r="A7" s="491" t="s">
        <v>17</v>
      </c>
      <c r="B7" s="492" t="s">
        <v>174</v>
      </c>
      <c r="C7" s="492" t="s">
        <v>73</v>
      </c>
      <c r="D7" s="225" t="s">
        <v>5</v>
      </c>
      <c r="E7" s="95">
        <f>E8</f>
        <v>1000</v>
      </c>
      <c r="F7" s="108">
        <f t="shared" ref="F7:F41" si="0">SUM(G7:K7)</f>
        <v>5000</v>
      </c>
      <c r="G7" s="95">
        <f t="shared" ref="G7:K8" si="1">G8</f>
        <v>1000</v>
      </c>
      <c r="H7" s="95">
        <f t="shared" si="1"/>
        <v>1000</v>
      </c>
      <c r="I7" s="95">
        <f t="shared" si="1"/>
        <v>1000</v>
      </c>
      <c r="J7" s="95">
        <f t="shared" si="1"/>
        <v>1000</v>
      </c>
      <c r="K7" s="95">
        <f t="shared" si="1"/>
        <v>1000</v>
      </c>
      <c r="L7" s="493"/>
      <c r="M7" s="494"/>
      <c r="N7" s="157"/>
      <c r="O7" s="157"/>
      <c r="P7" s="157"/>
    </row>
    <row r="8" spans="1:20" s="83" customFormat="1" ht="58.5" customHeight="1" x14ac:dyDescent="0.25">
      <c r="A8" s="491"/>
      <c r="B8" s="492"/>
      <c r="C8" s="492"/>
      <c r="D8" s="225" t="s">
        <v>77</v>
      </c>
      <c r="E8" s="140">
        <f>E9</f>
        <v>1000</v>
      </c>
      <c r="F8" s="108">
        <f t="shared" si="0"/>
        <v>5000</v>
      </c>
      <c r="G8" s="140">
        <f t="shared" si="1"/>
        <v>1000</v>
      </c>
      <c r="H8" s="140">
        <f t="shared" si="1"/>
        <v>1000</v>
      </c>
      <c r="I8" s="140">
        <f t="shared" si="1"/>
        <v>1000</v>
      </c>
      <c r="J8" s="140">
        <f t="shared" si="1"/>
        <v>1000</v>
      </c>
      <c r="K8" s="140">
        <f t="shared" si="1"/>
        <v>1000</v>
      </c>
      <c r="L8" s="493"/>
      <c r="M8" s="494"/>
      <c r="N8" s="157"/>
      <c r="O8" s="157"/>
      <c r="P8" s="157"/>
    </row>
    <row r="9" spans="1:20" s="83" customFormat="1" ht="66.75" customHeight="1" x14ac:dyDescent="0.25">
      <c r="A9" s="226" t="s">
        <v>42</v>
      </c>
      <c r="B9" s="228" t="s">
        <v>234</v>
      </c>
      <c r="C9" s="229" t="s">
        <v>73</v>
      </c>
      <c r="D9" s="229" t="s">
        <v>78</v>
      </c>
      <c r="E9" s="138">
        <v>1000</v>
      </c>
      <c r="F9" s="108">
        <f t="shared" si="0"/>
        <v>5000</v>
      </c>
      <c r="G9" s="138">
        <v>1000</v>
      </c>
      <c r="H9" s="138">
        <v>1000</v>
      </c>
      <c r="I9" s="138">
        <v>1000</v>
      </c>
      <c r="J9" s="138">
        <v>1000</v>
      </c>
      <c r="K9" s="138">
        <v>1000</v>
      </c>
      <c r="L9" s="231" t="s">
        <v>6</v>
      </c>
      <c r="M9" s="230" t="s">
        <v>125</v>
      </c>
      <c r="N9" s="158">
        <v>0</v>
      </c>
      <c r="O9" s="159">
        <v>0</v>
      </c>
      <c r="P9" s="160">
        <f>N9-O9</f>
        <v>0</v>
      </c>
    </row>
    <row r="10" spans="1:20" s="83" customFormat="1" ht="18.75" x14ac:dyDescent="0.3">
      <c r="A10" s="360" t="s">
        <v>165</v>
      </c>
      <c r="B10" s="371" t="s">
        <v>175</v>
      </c>
      <c r="C10" s="370" t="s">
        <v>73</v>
      </c>
      <c r="D10" s="131" t="s">
        <v>5</v>
      </c>
      <c r="E10" s="132">
        <f>E11+E12</f>
        <v>88624.948039999988</v>
      </c>
      <c r="F10" s="108">
        <f t="shared" si="0"/>
        <v>1033475.4109799999</v>
      </c>
      <c r="G10" s="132">
        <f>G11+G12</f>
        <v>538377.00601000001</v>
      </c>
      <c r="H10" s="132">
        <f>H11+H12</f>
        <v>109897.36130000002</v>
      </c>
      <c r="I10" s="132">
        <f>I11+I12</f>
        <v>133281.05366999999</v>
      </c>
      <c r="J10" s="132">
        <f>J11+J12</f>
        <v>125959.99499999998</v>
      </c>
      <c r="K10" s="132">
        <f>K11+K12</f>
        <v>125959.99499999998</v>
      </c>
      <c r="L10" s="387"/>
      <c r="M10" s="385"/>
      <c r="N10" s="161"/>
      <c r="O10" s="161"/>
      <c r="P10" s="161"/>
    </row>
    <row r="11" spans="1:20" s="83" customFormat="1" ht="56.25" x14ac:dyDescent="0.3">
      <c r="A11" s="360"/>
      <c r="B11" s="371"/>
      <c r="C11" s="370"/>
      <c r="D11" s="216" t="s">
        <v>76</v>
      </c>
      <c r="E11" s="134">
        <f>E13+E15+E16+E17+E18</f>
        <v>74745.548039999994</v>
      </c>
      <c r="F11" s="108">
        <f t="shared" si="0"/>
        <v>849260.39562999993</v>
      </c>
      <c r="G11" s="134">
        <f>G13+G15+G16+G17+G18</f>
        <v>458851.30935999996</v>
      </c>
      <c r="H11" s="134">
        <f>H13+H15+H16+H17+H18</f>
        <v>89632.296700000021</v>
      </c>
      <c r="I11" s="134">
        <f>I13+I15+I16+I17+I18+I19</f>
        <v>112578.40356999998</v>
      </c>
      <c r="J11" s="134">
        <f t="shared" ref="J11:K11" si="2">J13+J15+J16+J17+J18+J19</f>
        <v>94099.192999999985</v>
      </c>
      <c r="K11" s="134">
        <f t="shared" si="2"/>
        <v>94099.192999999985</v>
      </c>
      <c r="L11" s="387"/>
      <c r="M11" s="385"/>
      <c r="N11" s="161"/>
      <c r="O11" s="161"/>
      <c r="P11" s="161"/>
      <c r="Q11" s="81"/>
    </row>
    <row r="12" spans="1:20" s="83" customFormat="1" ht="75" x14ac:dyDescent="0.3">
      <c r="A12" s="360"/>
      <c r="B12" s="371"/>
      <c r="C12" s="370"/>
      <c r="D12" s="214" t="s">
        <v>24</v>
      </c>
      <c r="E12" s="135">
        <f>E14</f>
        <v>13879.4</v>
      </c>
      <c r="F12" s="108">
        <f t="shared" si="0"/>
        <v>184215.01535</v>
      </c>
      <c r="G12" s="135">
        <f>G14</f>
        <v>79525.696650000013</v>
      </c>
      <c r="H12" s="135">
        <f>H14</f>
        <v>20265.064600000002</v>
      </c>
      <c r="I12" s="135">
        <f>I14</f>
        <v>20702.650099999999</v>
      </c>
      <c r="J12" s="135">
        <f>J14</f>
        <v>31860.802</v>
      </c>
      <c r="K12" s="135">
        <f>K14</f>
        <v>31860.802</v>
      </c>
      <c r="L12" s="387"/>
      <c r="M12" s="385"/>
      <c r="N12" s="161"/>
      <c r="O12" s="161"/>
      <c r="P12" s="161"/>
      <c r="R12" s="81"/>
      <c r="S12" s="162"/>
      <c r="T12" s="162"/>
    </row>
    <row r="13" spans="1:20" s="83" customFormat="1" ht="56.25" x14ac:dyDescent="0.25">
      <c r="A13" s="351" t="s">
        <v>46</v>
      </c>
      <c r="B13" s="356" t="s">
        <v>235</v>
      </c>
      <c r="C13" s="359" t="s">
        <v>73</v>
      </c>
      <c r="D13" s="212" t="s">
        <v>76</v>
      </c>
      <c r="E13" s="128">
        <v>74745.548039999994</v>
      </c>
      <c r="F13" s="108">
        <f t="shared" si="0"/>
        <v>801968.25162999984</v>
      </c>
      <c r="G13" s="129">
        <f>94313.663+826+375808.1-4392+416.394-416.394-3674-5175.2291-0.62092+1284.7+1163.01-5864.4+100+144.5996-490.90722</f>
        <v>454042.91535999998</v>
      </c>
      <c r="H13" s="129">
        <f>85063.651+379358.914+815-379358.914+89.67471-0.00001-386.9-300-15.989</f>
        <v>85265.43670000002</v>
      </c>
      <c r="I13" s="129">
        <f>84343.23+379358.914+815-379358.914+86.83357+803.16343+164.566+61.9632-600.44263</f>
        <v>85674.313569999984</v>
      </c>
      <c r="J13" s="129">
        <f>84343.23+379358.914+815-379358.914+3169.997+164.566</f>
        <v>88492.792999999991</v>
      </c>
      <c r="K13" s="129">
        <f>84343.23+379358.914+815-379358.914+3169.997+164.566</f>
        <v>88492.792999999991</v>
      </c>
      <c r="L13" s="347" t="s">
        <v>114</v>
      </c>
      <c r="M13" s="358" t="s">
        <v>126</v>
      </c>
      <c r="N13" s="158">
        <v>1441905</v>
      </c>
      <c r="O13" s="163">
        <v>1369809</v>
      </c>
      <c r="P13" s="163">
        <f>N13-O13</f>
        <v>72096</v>
      </c>
    </row>
    <row r="14" spans="1:20" s="83" customFormat="1" ht="75" x14ac:dyDescent="0.25">
      <c r="A14" s="351"/>
      <c r="B14" s="356"/>
      <c r="C14" s="359"/>
      <c r="D14" s="212" t="s">
        <v>24</v>
      </c>
      <c r="E14" s="128">
        <v>13879.4</v>
      </c>
      <c r="F14" s="108">
        <f t="shared" si="0"/>
        <v>184215.01535</v>
      </c>
      <c r="G14" s="129">
        <f>23525.8+67644.22765+4275-3353.795-7429.2-5136.336</f>
        <v>79525.696650000013</v>
      </c>
      <c r="H14" s="129">
        <f>23525.8+68725.479+4275-68725.479+804.08-3133.17921-4813.6+0.02381-393.06</f>
        <v>20265.064600000002</v>
      </c>
      <c r="I14" s="236">
        <f>31860.802-9178.9699-1979.182</f>
        <v>20702.650099999999</v>
      </c>
      <c r="J14" s="129">
        <v>31860.802</v>
      </c>
      <c r="K14" s="129">
        <v>31860.802</v>
      </c>
      <c r="L14" s="347"/>
      <c r="M14" s="358"/>
      <c r="N14" s="163"/>
      <c r="O14" s="163"/>
      <c r="P14" s="163"/>
    </row>
    <row r="15" spans="1:20" s="83" customFormat="1" ht="156.75" customHeight="1" x14ac:dyDescent="0.25">
      <c r="A15" s="223" t="s">
        <v>47</v>
      </c>
      <c r="B15" s="130" t="s">
        <v>236</v>
      </c>
      <c r="C15" s="224" t="s">
        <v>73</v>
      </c>
      <c r="D15" s="222" t="s">
        <v>76</v>
      </c>
      <c r="E15" s="129">
        <v>0</v>
      </c>
      <c r="F15" s="115">
        <f t="shared" si="0"/>
        <v>416.39400000000001</v>
      </c>
      <c r="G15" s="129">
        <v>416.39400000000001</v>
      </c>
      <c r="H15" s="129">
        <v>0</v>
      </c>
      <c r="I15" s="129">
        <v>0</v>
      </c>
      <c r="J15" s="129">
        <v>0</v>
      </c>
      <c r="K15" s="129">
        <v>0</v>
      </c>
      <c r="L15" s="218" t="s">
        <v>6</v>
      </c>
      <c r="M15" s="215" t="s">
        <v>162</v>
      </c>
    </row>
    <row r="16" spans="1:20" s="83" customFormat="1" ht="78" customHeight="1" x14ac:dyDescent="0.25">
      <c r="A16" s="223" t="s">
        <v>48</v>
      </c>
      <c r="B16" s="130" t="s">
        <v>237</v>
      </c>
      <c r="C16" s="224" t="s">
        <v>73</v>
      </c>
      <c r="D16" s="222" t="s">
        <v>76</v>
      </c>
      <c r="E16" s="129">
        <v>0</v>
      </c>
      <c r="F16" s="115">
        <f t="shared" si="0"/>
        <v>25578.059999999998</v>
      </c>
      <c r="G16" s="129">
        <v>4392</v>
      </c>
      <c r="H16" s="129">
        <f>4380-13.14</f>
        <v>4366.8599999999997</v>
      </c>
      <c r="I16" s="129">
        <f>4380+1226.4</f>
        <v>5606.4</v>
      </c>
      <c r="J16" s="129">
        <f>4380+1226.4</f>
        <v>5606.4</v>
      </c>
      <c r="K16" s="129">
        <f>4380+1226.4</f>
        <v>5606.4</v>
      </c>
      <c r="L16" s="218" t="s">
        <v>6</v>
      </c>
      <c r="M16" s="215" t="s">
        <v>146</v>
      </c>
    </row>
    <row r="17" spans="1:18" s="83" customFormat="1" ht="58.5" customHeight="1" x14ac:dyDescent="0.25">
      <c r="A17" s="223" t="s">
        <v>49</v>
      </c>
      <c r="B17" s="130" t="s">
        <v>238</v>
      </c>
      <c r="C17" s="224" t="s">
        <v>73</v>
      </c>
      <c r="D17" s="222" t="s">
        <v>76</v>
      </c>
      <c r="E17" s="129">
        <v>0</v>
      </c>
      <c r="F17" s="115">
        <f t="shared" si="0"/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218" t="s">
        <v>6</v>
      </c>
      <c r="M17" s="215" t="s">
        <v>98</v>
      </c>
    </row>
    <row r="18" spans="1:18" s="83" customFormat="1" ht="117.75" customHeight="1" x14ac:dyDescent="0.25">
      <c r="A18" s="232" t="s">
        <v>136</v>
      </c>
      <c r="B18" s="233" t="s">
        <v>239</v>
      </c>
      <c r="C18" s="234" t="s">
        <v>73</v>
      </c>
      <c r="D18" s="210" t="s">
        <v>76</v>
      </c>
      <c r="E18" s="139">
        <v>0</v>
      </c>
      <c r="F18" s="108">
        <f t="shared" si="0"/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227" t="s">
        <v>6</v>
      </c>
      <c r="M18" s="217" t="s">
        <v>103</v>
      </c>
      <c r="N18" s="164"/>
    </row>
    <row r="19" spans="1:18" s="83" customFormat="1" ht="162.75" customHeight="1" x14ac:dyDescent="0.25">
      <c r="A19" s="232" t="s">
        <v>137</v>
      </c>
      <c r="B19" s="233" t="s">
        <v>282</v>
      </c>
      <c r="C19" s="234" t="s">
        <v>168</v>
      </c>
      <c r="D19" s="210" t="s">
        <v>76</v>
      </c>
      <c r="E19" s="139">
        <v>0</v>
      </c>
      <c r="F19" s="108">
        <f t="shared" ref="F19" si="3">SUM(G19:K19)</f>
        <v>21297.69</v>
      </c>
      <c r="G19" s="127">
        <v>0</v>
      </c>
      <c r="H19" s="127">
        <v>0</v>
      </c>
      <c r="I19" s="127">
        <v>21297.69</v>
      </c>
      <c r="J19" s="127">
        <v>0</v>
      </c>
      <c r="K19" s="127">
        <v>0</v>
      </c>
      <c r="L19" s="227" t="s">
        <v>6</v>
      </c>
      <c r="M19" s="217" t="s">
        <v>228</v>
      </c>
      <c r="N19" s="164"/>
    </row>
    <row r="20" spans="1:18" s="83" customFormat="1" ht="18.75" x14ac:dyDescent="0.25">
      <c r="A20" s="360" t="s">
        <v>12</v>
      </c>
      <c r="B20" s="371" t="s">
        <v>240</v>
      </c>
      <c r="C20" s="370" t="s">
        <v>73</v>
      </c>
      <c r="D20" s="131" t="s">
        <v>5</v>
      </c>
      <c r="E20" s="132" t="e">
        <f>E21+E22</f>
        <v>#REF!</v>
      </c>
      <c r="F20" s="108">
        <f t="shared" si="0"/>
        <v>3984</v>
      </c>
      <c r="G20" s="132">
        <f>G21+G22</f>
        <v>0</v>
      </c>
      <c r="H20" s="132">
        <f>H21+H22</f>
        <v>0</v>
      </c>
      <c r="I20" s="132">
        <f>I21+I22</f>
        <v>3984</v>
      </c>
      <c r="J20" s="132">
        <f>J21+J22</f>
        <v>0</v>
      </c>
      <c r="K20" s="132">
        <f>K21+K22</f>
        <v>0</v>
      </c>
      <c r="L20" s="367"/>
      <c r="M20" s="353"/>
      <c r="N20" s="158"/>
      <c r="O20" s="163">
        <v>503399.7</v>
      </c>
      <c r="P20" s="163">
        <f t="shared" ref="P20:P28" si="4">N20-O20</f>
        <v>-503399.7</v>
      </c>
    </row>
    <row r="21" spans="1:18" s="83" customFormat="1" ht="36.75" customHeight="1" x14ac:dyDescent="0.25">
      <c r="A21" s="360"/>
      <c r="B21" s="371"/>
      <c r="C21" s="370"/>
      <c r="D21" s="216" t="s">
        <v>2</v>
      </c>
      <c r="E21" s="134" t="e">
        <f>E23+#REF!</f>
        <v>#REF!</v>
      </c>
      <c r="F21" s="108">
        <f t="shared" si="0"/>
        <v>3984</v>
      </c>
      <c r="G21" s="134">
        <f t="shared" ref="G21:H21" si="5">G23+G27+G25</f>
        <v>0</v>
      </c>
      <c r="H21" s="134">
        <f t="shared" si="5"/>
        <v>0</v>
      </c>
      <c r="I21" s="134">
        <f>I23+I27+I25</f>
        <v>3984</v>
      </c>
      <c r="J21" s="134">
        <f t="shared" ref="J21:K21" si="6">J23+J27+J25</f>
        <v>0</v>
      </c>
      <c r="K21" s="134">
        <f t="shared" si="6"/>
        <v>0</v>
      </c>
      <c r="L21" s="367"/>
      <c r="M21" s="353"/>
      <c r="N21" s="158">
        <v>67697</v>
      </c>
      <c r="O21" s="163">
        <v>67697</v>
      </c>
      <c r="P21" s="163">
        <f t="shared" si="4"/>
        <v>0</v>
      </c>
    </row>
    <row r="22" spans="1:18" s="83" customFormat="1" ht="61.5" customHeight="1" x14ac:dyDescent="0.25">
      <c r="A22" s="360"/>
      <c r="B22" s="371"/>
      <c r="C22" s="370"/>
      <c r="D22" s="216" t="s">
        <v>76</v>
      </c>
      <c r="E22" s="135" t="e">
        <f>E24+#REF!</f>
        <v>#REF!</v>
      </c>
      <c r="F22" s="108">
        <f t="shared" si="0"/>
        <v>0</v>
      </c>
      <c r="G22" s="135">
        <f t="shared" ref="G22:H22" si="7">G24+G28+G26</f>
        <v>0</v>
      </c>
      <c r="H22" s="135">
        <f t="shared" si="7"/>
        <v>0</v>
      </c>
      <c r="I22" s="135">
        <f>I24+I28+I26</f>
        <v>0</v>
      </c>
      <c r="J22" s="135">
        <f t="shared" ref="J22:K22" si="8">J24+J28+J26</f>
        <v>0</v>
      </c>
      <c r="K22" s="135">
        <f t="shared" si="8"/>
        <v>0</v>
      </c>
      <c r="L22" s="367"/>
      <c r="M22" s="353"/>
      <c r="N22" s="158">
        <v>1326</v>
      </c>
      <c r="O22" s="163">
        <v>1326</v>
      </c>
      <c r="P22" s="163">
        <f t="shared" si="4"/>
        <v>0</v>
      </c>
    </row>
    <row r="23" spans="1:18" s="83" customFormat="1" ht="84.75" customHeight="1" x14ac:dyDescent="0.25">
      <c r="A23" s="481" t="s">
        <v>50</v>
      </c>
      <c r="B23" s="483" t="s">
        <v>257</v>
      </c>
      <c r="C23" s="485" t="s">
        <v>73</v>
      </c>
      <c r="D23" s="342" t="s">
        <v>2</v>
      </c>
      <c r="E23" s="127">
        <v>0</v>
      </c>
      <c r="F23" s="108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487" t="s">
        <v>6</v>
      </c>
      <c r="M23" s="489" t="s">
        <v>193</v>
      </c>
      <c r="N23" s="158"/>
      <c r="O23" s="163">
        <v>0</v>
      </c>
      <c r="P23" s="163">
        <f t="shared" si="4"/>
        <v>0</v>
      </c>
      <c r="Q23" s="81"/>
      <c r="R23" s="81"/>
    </row>
    <row r="24" spans="1:18" s="83" customFormat="1" ht="91.5" customHeight="1" x14ac:dyDescent="0.25">
      <c r="A24" s="482"/>
      <c r="B24" s="484"/>
      <c r="C24" s="486"/>
      <c r="D24" s="342" t="s">
        <v>76</v>
      </c>
      <c r="E24" s="127">
        <v>0</v>
      </c>
      <c r="F24" s="108">
        <f t="shared" si="0"/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488"/>
      <c r="M24" s="490"/>
      <c r="N24" s="158"/>
      <c r="O24" s="163">
        <v>0</v>
      </c>
      <c r="P24" s="163">
        <f t="shared" si="4"/>
        <v>0</v>
      </c>
      <c r="Q24" s="81"/>
      <c r="R24" s="81"/>
    </row>
    <row r="25" spans="1:18" s="83" customFormat="1" ht="37.5" x14ac:dyDescent="0.25">
      <c r="A25" s="481" t="s">
        <v>51</v>
      </c>
      <c r="B25" s="483" t="s">
        <v>317</v>
      </c>
      <c r="C25" s="485" t="s">
        <v>269</v>
      </c>
      <c r="D25" s="346" t="s">
        <v>2</v>
      </c>
      <c r="E25" s="127">
        <v>0</v>
      </c>
      <c r="F25" s="108">
        <f t="shared" ref="F25:F26" si="9">SUM(G25:K25)</f>
        <v>3984</v>
      </c>
      <c r="G25" s="127">
        <v>0</v>
      </c>
      <c r="H25" s="127">
        <v>0</v>
      </c>
      <c r="I25" s="127">
        <v>3984</v>
      </c>
      <c r="J25" s="127">
        <v>0</v>
      </c>
      <c r="K25" s="127">
        <v>0</v>
      </c>
      <c r="L25" s="487" t="s">
        <v>6</v>
      </c>
      <c r="M25" s="489" t="s">
        <v>318</v>
      </c>
      <c r="N25" s="158"/>
      <c r="O25" s="163">
        <v>0</v>
      </c>
      <c r="P25" s="163">
        <f t="shared" si="4"/>
        <v>0</v>
      </c>
      <c r="Q25" s="81"/>
      <c r="R25" s="81"/>
    </row>
    <row r="26" spans="1:18" s="83" customFormat="1" ht="56.25" x14ac:dyDescent="0.25">
      <c r="A26" s="482"/>
      <c r="B26" s="484"/>
      <c r="C26" s="486"/>
      <c r="D26" s="346" t="s">
        <v>76</v>
      </c>
      <c r="E26" s="127">
        <v>0</v>
      </c>
      <c r="F26" s="108">
        <f t="shared" si="9"/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488"/>
      <c r="M26" s="490"/>
      <c r="N26" s="158"/>
      <c r="O26" s="163">
        <v>0</v>
      </c>
      <c r="P26" s="163">
        <f t="shared" si="4"/>
        <v>0</v>
      </c>
      <c r="Q26" s="81"/>
      <c r="R26" s="81"/>
    </row>
    <row r="27" spans="1:18" s="83" customFormat="1" ht="37.5" x14ac:dyDescent="0.25">
      <c r="A27" s="481" t="s">
        <v>316</v>
      </c>
      <c r="B27" s="483" t="s">
        <v>283</v>
      </c>
      <c r="C27" s="485" t="s">
        <v>269</v>
      </c>
      <c r="D27" s="346" t="s">
        <v>2</v>
      </c>
      <c r="E27" s="127">
        <v>0</v>
      </c>
      <c r="F27" s="108">
        <f t="shared" ref="F27:F28" si="10">SUM(G27:K27)</f>
        <v>0</v>
      </c>
      <c r="G27" s="127">
        <v>0</v>
      </c>
      <c r="H27" s="127">
        <v>0</v>
      </c>
      <c r="I27" s="127">
        <f>3984-3984</f>
        <v>0</v>
      </c>
      <c r="J27" s="127">
        <v>0</v>
      </c>
      <c r="K27" s="127">
        <v>0</v>
      </c>
      <c r="L27" s="487" t="s">
        <v>6</v>
      </c>
      <c r="M27" s="489" t="s">
        <v>284</v>
      </c>
      <c r="N27" s="158"/>
      <c r="O27" s="163">
        <v>0</v>
      </c>
      <c r="P27" s="163">
        <f t="shared" si="4"/>
        <v>0</v>
      </c>
      <c r="Q27" s="81"/>
      <c r="R27" s="81"/>
    </row>
    <row r="28" spans="1:18" s="83" customFormat="1" ht="56.25" x14ac:dyDescent="0.25">
      <c r="A28" s="482"/>
      <c r="B28" s="484"/>
      <c r="C28" s="486"/>
      <c r="D28" s="346" t="s">
        <v>76</v>
      </c>
      <c r="E28" s="127">
        <v>0</v>
      </c>
      <c r="F28" s="108">
        <f t="shared" si="10"/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488"/>
      <c r="M28" s="490"/>
      <c r="N28" s="158"/>
      <c r="O28" s="163">
        <v>0</v>
      </c>
      <c r="P28" s="163">
        <f t="shared" si="4"/>
        <v>0</v>
      </c>
      <c r="Q28" s="81"/>
      <c r="R28" s="81"/>
    </row>
    <row r="29" spans="1:18" s="83" customFormat="1" ht="18.75" x14ac:dyDescent="0.3">
      <c r="A29" s="360" t="s">
        <v>55</v>
      </c>
      <c r="B29" s="371" t="s">
        <v>176</v>
      </c>
      <c r="C29" s="370" t="s">
        <v>73</v>
      </c>
      <c r="D29" s="131" t="s">
        <v>5</v>
      </c>
      <c r="E29" s="132">
        <f>E30</f>
        <v>0</v>
      </c>
      <c r="F29" s="108">
        <f t="shared" si="0"/>
        <v>58405.676999999996</v>
      </c>
      <c r="G29" s="132">
        <f>G30</f>
        <v>5864.4</v>
      </c>
      <c r="H29" s="132">
        <f>H30</f>
        <v>14387.039999999999</v>
      </c>
      <c r="I29" s="132">
        <f>I30</f>
        <v>12718.079</v>
      </c>
      <c r="J29" s="132">
        <f>J30</f>
        <v>12718.079</v>
      </c>
      <c r="K29" s="132">
        <f>K30</f>
        <v>12718.079</v>
      </c>
      <c r="L29" s="387"/>
      <c r="M29" s="385"/>
      <c r="N29" s="161"/>
      <c r="O29" s="161"/>
      <c r="P29" s="161"/>
    </row>
    <row r="30" spans="1:18" s="83" customFormat="1" ht="56.25" x14ac:dyDescent="0.3">
      <c r="A30" s="360"/>
      <c r="B30" s="371"/>
      <c r="C30" s="370"/>
      <c r="D30" s="216" t="s">
        <v>76</v>
      </c>
      <c r="E30" s="134">
        <f>E31+E32</f>
        <v>0</v>
      </c>
      <c r="F30" s="108">
        <f t="shared" si="0"/>
        <v>58405.676999999996</v>
      </c>
      <c r="G30" s="134">
        <f>G31+G32</f>
        <v>5864.4</v>
      </c>
      <c r="H30" s="134">
        <f>H31+H32</f>
        <v>14387.039999999999</v>
      </c>
      <c r="I30" s="134">
        <f>I31+I32</f>
        <v>12718.079</v>
      </c>
      <c r="J30" s="134">
        <f>J31+J32</f>
        <v>12718.079</v>
      </c>
      <c r="K30" s="134">
        <f>K31+K32</f>
        <v>12718.079</v>
      </c>
      <c r="L30" s="387"/>
      <c r="M30" s="385"/>
      <c r="N30" s="161"/>
      <c r="O30" s="161"/>
      <c r="P30" s="161"/>
      <c r="Q30" s="81"/>
    </row>
    <row r="31" spans="1:18" s="83" customFormat="1" ht="99" customHeight="1" x14ac:dyDescent="0.25">
      <c r="A31" s="220" t="s">
        <v>81</v>
      </c>
      <c r="B31" s="221" t="s">
        <v>241</v>
      </c>
      <c r="C31" s="222" t="s">
        <v>73</v>
      </c>
      <c r="D31" s="212" t="s">
        <v>76</v>
      </c>
      <c r="E31" s="128">
        <v>0</v>
      </c>
      <c r="F31" s="108">
        <f t="shared" si="0"/>
        <v>58405.676999999996</v>
      </c>
      <c r="G31" s="129">
        <v>5864.4</v>
      </c>
      <c r="H31" s="129">
        <f>4369.136+9724.864-97.2+210.24+180</f>
        <v>14387.039999999999</v>
      </c>
      <c r="I31" s="129">
        <f>4369.136+8348.943</f>
        <v>12718.079</v>
      </c>
      <c r="J31" s="129">
        <f>4369.136+8348.943</f>
        <v>12718.079</v>
      </c>
      <c r="K31" s="129">
        <f>4369.136+8348.943</f>
        <v>12718.079</v>
      </c>
      <c r="L31" s="213" t="s">
        <v>123</v>
      </c>
      <c r="M31" s="215" t="s">
        <v>150</v>
      </c>
      <c r="N31" s="158">
        <v>1441905</v>
      </c>
      <c r="O31" s="163">
        <v>1369809</v>
      </c>
      <c r="P31" s="163">
        <f>N31-O31</f>
        <v>72096</v>
      </c>
    </row>
    <row r="32" spans="1:18" s="83" customFormat="1" ht="99.75" customHeight="1" x14ac:dyDescent="0.25">
      <c r="A32" s="220" t="s">
        <v>192</v>
      </c>
      <c r="B32" s="221" t="s">
        <v>242</v>
      </c>
      <c r="C32" s="222" t="s">
        <v>73</v>
      </c>
      <c r="D32" s="212" t="s">
        <v>76</v>
      </c>
      <c r="E32" s="128">
        <v>0</v>
      </c>
      <c r="F32" s="108">
        <f t="shared" si="0"/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213" t="s">
        <v>123</v>
      </c>
      <c r="M32" s="215" t="s">
        <v>102</v>
      </c>
      <c r="N32" s="158">
        <v>1441905</v>
      </c>
      <c r="O32" s="163">
        <v>1369809</v>
      </c>
      <c r="P32" s="163">
        <f>N32-O32</f>
        <v>72096</v>
      </c>
    </row>
    <row r="33" spans="1:18" s="83" customFormat="1" ht="37.5" hidden="1" customHeight="1" x14ac:dyDescent="0.25">
      <c r="A33" s="491" t="s">
        <v>52</v>
      </c>
      <c r="B33" s="492" t="s">
        <v>109</v>
      </c>
      <c r="C33" s="492" t="s">
        <v>73</v>
      </c>
      <c r="D33" s="225" t="s">
        <v>5</v>
      </c>
      <c r="E33" s="95">
        <f>E35+E36+E34</f>
        <v>0</v>
      </c>
      <c r="F33" s="108">
        <f t="shared" si="0"/>
        <v>0</v>
      </c>
      <c r="G33" s="95">
        <f>G35+G36+G34</f>
        <v>0</v>
      </c>
      <c r="H33" s="95">
        <f>H35+H36+H34</f>
        <v>0</v>
      </c>
      <c r="I33" s="95">
        <f>I35+I36+I34</f>
        <v>0</v>
      </c>
      <c r="J33" s="95">
        <f>J35+J36+J34</f>
        <v>0</v>
      </c>
      <c r="K33" s="95">
        <f>K35+K36+K34</f>
        <v>0</v>
      </c>
      <c r="L33" s="493"/>
      <c r="M33" s="494"/>
      <c r="N33" s="157"/>
      <c r="O33" s="157"/>
      <c r="P33" s="157"/>
    </row>
    <row r="34" spans="1:18" s="83" customFormat="1" ht="37.5" hidden="1" customHeight="1" x14ac:dyDescent="0.25">
      <c r="A34" s="491"/>
      <c r="B34" s="492"/>
      <c r="C34" s="492"/>
      <c r="D34" s="225" t="s">
        <v>65</v>
      </c>
      <c r="E34" s="140">
        <f>E37</f>
        <v>0</v>
      </c>
      <c r="F34" s="108">
        <f t="shared" si="0"/>
        <v>0</v>
      </c>
      <c r="G34" s="140">
        <f>G37</f>
        <v>0</v>
      </c>
      <c r="H34" s="140">
        <f>H37</f>
        <v>0</v>
      </c>
      <c r="I34" s="140">
        <f>I37</f>
        <v>0</v>
      </c>
      <c r="J34" s="140">
        <f>J37</f>
        <v>0</v>
      </c>
      <c r="K34" s="140">
        <f>K37</f>
        <v>0</v>
      </c>
      <c r="L34" s="493"/>
      <c r="M34" s="494"/>
      <c r="N34" s="157"/>
      <c r="O34" s="157"/>
      <c r="P34" s="157"/>
    </row>
    <row r="35" spans="1:18" s="83" customFormat="1" ht="39.75" hidden="1" customHeight="1" x14ac:dyDescent="0.25">
      <c r="A35" s="491"/>
      <c r="B35" s="492"/>
      <c r="C35" s="492"/>
      <c r="D35" s="225" t="s">
        <v>2</v>
      </c>
      <c r="E35" s="140">
        <f>E38+E40+E42</f>
        <v>0</v>
      </c>
      <c r="F35" s="108">
        <f t="shared" si="0"/>
        <v>0</v>
      </c>
      <c r="G35" s="140">
        <f t="shared" ref="G35:K36" si="11">G38+G40+G42</f>
        <v>0</v>
      </c>
      <c r="H35" s="140">
        <f t="shared" si="11"/>
        <v>0</v>
      </c>
      <c r="I35" s="140">
        <f t="shared" si="11"/>
        <v>0</v>
      </c>
      <c r="J35" s="140">
        <f t="shared" si="11"/>
        <v>0</v>
      </c>
      <c r="K35" s="140">
        <f t="shared" si="11"/>
        <v>0</v>
      </c>
      <c r="L35" s="493"/>
      <c r="M35" s="494"/>
      <c r="N35" s="157"/>
      <c r="O35" s="157"/>
      <c r="P35" s="157"/>
    </row>
    <row r="36" spans="1:18" s="83" customFormat="1" ht="58.5" hidden="1" customHeight="1" x14ac:dyDescent="0.25">
      <c r="A36" s="491"/>
      <c r="B36" s="492"/>
      <c r="C36" s="492"/>
      <c r="D36" s="225" t="s">
        <v>77</v>
      </c>
      <c r="E36" s="140">
        <f>E39+E41+E43</f>
        <v>0</v>
      </c>
      <c r="F36" s="108">
        <f t="shared" si="0"/>
        <v>0</v>
      </c>
      <c r="G36" s="140">
        <f t="shared" si="11"/>
        <v>0</v>
      </c>
      <c r="H36" s="140">
        <f t="shared" si="11"/>
        <v>0</v>
      </c>
      <c r="I36" s="140">
        <f t="shared" si="11"/>
        <v>0</v>
      </c>
      <c r="J36" s="140">
        <f t="shared" si="11"/>
        <v>0</v>
      </c>
      <c r="K36" s="140">
        <f t="shared" si="11"/>
        <v>0</v>
      </c>
      <c r="L36" s="493"/>
      <c r="M36" s="494"/>
      <c r="N36" s="157"/>
      <c r="O36" s="157"/>
      <c r="P36" s="157"/>
    </row>
    <row r="37" spans="1:18" s="83" customFormat="1" ht="74.25" hidden="1" customHeight="1" x14ac:dyDescent="0.25">
      <c r="A37" s="478" t="s">
        <v>101</v>
      </c>
      <c r="B37" s="479" t="s">
        <v>177</v>
      </c>
      <c r="C37" s="480" t="s">
        <v>73</v>
      </c>
      <c r="D37" s="229" t="s">
        <v>65</v>
      </c>
      <c r="E37" s="116">
        <v>0</v>
      </c>
      <c r="F37" s="108">
        <f t="shared" si="0"/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495" t="s">
        <v>87</v>
      </c>
      <c r="M37" s="496" t="s">
        <v>148</v>
      </c>
      <c r="N37" s="157"/>
      <c r="O37" s="157"/>
      <c r="P37" s="157"/>
    </row>
    <row r="38" spans="1:18" s="83" customFormat="1" ht="74.25" hidden="1" customHeight="1" x14ac:dyDescent="0.25">
      <c r="A38" s="478"/>
      <c r="B38" s="479"/>
      <c r="C38" s="480"/>
      <c r="D38" s="229" t="s">
        <v>2</v>
      </c>
      <c r="E38" s="116">
        <v>0</v>
      </c>
      <c r="F38" s="108">
        <f t="shared" si="0"/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495"/>
      <c r="M38" s="496"/>
      <c r="N38" s="158">
        <f>'[1]Лист 1'!$F$401/1000</f>
        <v>1000</v>
      </c>
      <c r="O38" s="165">
        <v>1000</v>
      </c>
      <c r="P38" s="160">
        <f>N38-O38</f>
        <v>0</v>
      </c>
    </row>
    <row r="39" spans="1:18" s="83" customFormat="1" ht="74.25" hidden="1" customHeight="1" x14ac:dyDescent="0.25">
      <c r="A39" s="478"/>
      <c r="B39" s="479"/>
      <c r="C39" s="480"/>
      <c r="D39" s="229" t="s">
        <v>76</v>
      </c>
      <c r="E39" s="116">
        <v>0</v>
      </c>
      <c r="F39" s="108">
        <f t="shared" si="0"/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495"/>
      <c r="M39" s="496"/>
      <c r="N39" s="158"/>
      <c r="O39" s="165"/>
      <c r="P39" s="160"/>
    </row>
    <row r="40" spans="1:18" s="83" customFormat="1" ht="75" hidden="1" customHeight="1" x14ac:dyDescent="0.25">
      <c r="A40" s="478" t="s">
        <v>105</v>
      </c>
      <c r="B40" s="479" t="s">
        <v>178</v>
      </c>
      <c r="C40" s="480" t="s">
        <v>73</v>
      </c>
      <c r="D40" s="229" t="s">
        <v>2</v>
      </c>
      <c r="E40" s="116">
        <v>0</v>
      </c>
      <c r="F40" s="108">
        <f t="shared" si="0"/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477" t="s">
        <v>87</v>
      </c>
      <c r="M40" s="358" t="s">
        <v>86</v>
      </c>
      <c r="N40" s="158">
        <f>'[1]Лист 1'!$F$401/1000</f>
        <v>1000</v>
      </c>
      <c r="O40" s="165">
        <v>1000</v>
      </c>
      <c r="P40" s="160">
        <f>N40-O40</f>
        <v>0</v>
      </c>
    </row>
    <row r="41" spans="1:18" s="83" customFormat="1" ht="82.5" hidden="1" customHeight="1" x14ac:dyDescent="0.25">
      <c r="A41" s="478"/>
      <c r="B41" s="479"/>
      <c r="C41" s="480"/>
      <c r="D41" s="229" t="s">
        <v>76</v>
      </c>
      <c r="E41" s="116">
        <v>0</v>
      </c>
      <c r="F41" s="108">
        <f t="shared" si="0"/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477"/>
      <c r="M41" s="358"/>
      <c r="N41" s="158"/>
      <c r="O41" s="165"/>
      <c r="P41" s="160"/>
    </row>
    <row r="42" spans="1:18" s="83" customFormat="1" ht="99" hidden="1" customHeight="1" x14ac:dyDescent="0.25">
      <c r="A42" s="352" t="s">
        <v>164</v>
      </c>
      <c r="B42" s="354" t="s">
        <v>179</v>
      </c>
      <c r="C42" s="355" t="s">
        <v>73</v>
      </c>
      <c r="D42" s="210" t="s">
        <v>2</v>
      </c>
      <c r="E42" s="127">
        <v>0</v>
      </c>
      <c r="F42" s="108">
        <f t="shared" ref="F42:F49" si="12">SUM(G42:K42)</f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357" t="s">
        <v>87</v>
      </c>
      <c r="M42" s="350" t="s">
        <v>88</v>
      </c>
      <c r="N42" s="158"/>
      <c r="O42" s="163">
        <v>0</v>
      </c>
      <c r="P42" s="163">
        <f>N42-O42</f>
        <v>0</v>
      </c>
      <c r="Q42" s="81"/>
      <c r="R42" s="81"/>
    </row>
    <row r="43" spans="1:18" s="83" customFormat="1" ht="99" hidden="1" customHeight="1" x14ac:dyDescent="0.25">
      <c r="A43" s="352"/>
      <c r="B43" s="354"/>
      <c r="C43" s="355"/>
      <c r="D43" s="210" t="s">
        <v>76</v>
      </c>
      <c r="E43" s="127">
        <v>0</v>
      </c>
      <c r="F43" s="108">
        <f t="shared" si="12"/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357"/>
      <c r="M43" s="350"/>
      <c r="N43" s="158"/>
      <c r="O43" s="163">
        <v>0</v>
      </c>
      <c r="P43" s="163">
        <f>N43-O43</f>
        <v>0</v>
      </c>
      <c r="Q43" s="81"/>
      <c r="R43" s="81"/>
    </row>
    <row r="44" spans="1:18" s="83" customFormat="1" ht="30.75" hidden="1" customHeight="1" x14ac:dyDescent="0.25">
      <c r="A44" s="491" t="s">
        <v>14</v>
      </c>
      <c r="B44" s="492" t="s">
        <v>110</v>
      </c>
      <c r="C44" s="492" t="s">
        <v>73</v>
      </c>
      <c r="D44" s="225" t="s">
        <v>5</v>
      </c>
      <c r="E44" s="95">
        <f>E45+E46</f>
        <v>0</v>
      </c>
      <c r="F44" s="108">
        <f t="shared" si="12"/>
        <v>0</v>
      </c>
      <c r="G44" s="95">
        <f>G45+G46</f>
        <v>0</v>
      </c>
      <c r="H44" s="95">
        <f>H45+H46</f>
        <v>0</v>
      </c>
      <c r="I44" s="95">
        <f>I45+I46</f>
        <v>0</v>
      </c>
      <c r="J44" s="95">
        <f>J45+J46</f>
        <v>0</v>
      </c>
      <c r="K44" s="95">
        <f>K45+K46</f>
        <v>0</v>
      </c>
      <c r="L44" s="493"/>
      <c r="M44" s="494"/>
      <c r="N44" s="157"/>
      <c r="O44" s="157"/>
      <c r="P44" s="157"/>
    </row>
    <row r="45" spans="1:18" s="83" customFormat="1" ht="39.75" hidden="1" customHeight="1" x14ac:dyDescent="0.25">
      <c r="A45" s="491"/>
      <c r="B45" s="492"/>
      <c r="C45" s="492"/>
      <c r="D45" s="225" t="s">
        <v>2</v>
      </c>
      <c r="E45" s="140">
        <f>E47</f>
        <v>0</v>
      </c>
      <c r="F45" s="108">
        <f t="shared" si="12"/>
        <v>0</v>
      </c>
      <c r="G45" s="140">
        <f>G47</f>
        <v>0</v>
      </c>
      <c r="H45" s="140">
        <f>H47</f>
        <v>0</v>
      </c>
      <c r="I45" s="140">
        <f>I47</f>
        <v>0</v>
      </c>
      <c r="J45" s="140">
        <f>J47</f>
        <v>0</v>
      </c>
      <c r="K45" s="140">
        <f>K47</f>
        <v>0</v>
      </c>
      <c r="L45" s="493"/>
      <c r="M45" s="494"/>
      <c r="N45" s="157"/>
      <c r="O45" s="157"/>
      <c r="P45" s="157"/>
    </row>
    <row r="46" spans="1:18" s="83" customFormat="1" ht="58.5" hidden="1" customHeight="1" x14ac:dyDescent="0.25">
      <c r="A46" s="491"/>
      <c r="B46" s="492"/>
      <c r="C46" s="492"/>
      <c r="D46" s="225" t="s">
        <v>77</v>
      </c>
      <c r="E46" s="140">
        <f>E48+E49</f>
        <v>0</v>
      </c>
      <c r="F46" s="108">
        <f t="shared" si="12"/>
        <v>0</v>
      </c>
      <c r="G46" s="140">
        <f>G48+G49</f>
        <v>0</v>
      </c>
      <c r="H46" s="140">
        <f>H48+H49</f>
        <v>0</v>
      </c>
      <c r="I46" s="140">
        <f>I48+I49</f>
        <v>0</v>
      </c>
      <c r="J46" s="140">
        <f>J48+J49</f>
        <v>0</v>
      </c>
      <c r="K46" s="140">
        <f>K48+K49</f>
        <v>0</v>
      </c>
      <c r="L46" s="493"/>
      <c r="M46" s="494"/>
      <c r="N46" s="157"/>
      <c r="O46" s="157"/>
      <c r="P46" s="157"/>
    </row>
    <row r="47" spans="1:18" s="83" customFormat="1" ht="69.75" hidden="1" customHeight="1" x14ac:dyDescent="0.25">
      <c r="A47" s="478" t="s">
        <v>106</v>
      </c>
      <c r="B47" s="479" t="s">
        <v>180</v>
      </c>
      <c r="C47" s="480" t="s">
        <v>73</v>
      </c>
      <c r="D47" s="229" t="s">
        <v>2</v>
      </c>
      <c r="E47" s="116">
        <v>0</v>
      </c>
      <c r="F47" s="108">
        <f t="shared" si="12"/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477" t="s">
        <v>87</v>
      </c>
      <c r="M47" s="358" t="s">
        <v>89</v>
      </c>
      <c r="N47" s="158">
        <f>'[1]Лист 1'!$F$401/1000</f>
        <v>1000</v>
      </c>
      <c r="O47" s="165">
        <v>1000</v>
      </c>
      <c r="P47" s="160">
        <f>N47-O47</f>
        <v>0</v>
      </c>
    </row>
    <row r="48" spans="1:18" s="83" customFormat="1" ht="69.75" hidden="1" customHeight="1" x14ac:dyDescent="0.25">
      <c r="A48" s="478"/>
      <c r="B48" s="479"/>
      <c r="C48" s="480"/>
      <c r="D48" s="229" t="s">
        <v>76</v>
      </c>
      <c r="E48" s="116">
        <v>0</v>
      </c>
      <c r="F48" s="108">
        <f t="shared" si="12"/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477"/>
      <c r="M48" s="358"/>
      <c r="N48" s="158"/>
      <c r="O48" s="165"/>
      <c r="P48" s="160"/>
    </row>
    <row r="49" spans="1:16" s="83" customFormat="1" ht="132.75" hidden="1" customHeight="1" x14ac:dyDescent="0.25">
      <c r="A49" s="226" t="s">
        <v>107</v>
      </c>
      <c r="B49" s="228" t="s">
        <v>181</v>
      </c>
      <c r="C49" s="229" t="s">
        <v>73</v>
      </c>
      <c r="D49" s="229" t="s">
        <v>78</v>
      </c>
      <c r="E49" s="116">
        <v>0</v>
      </c>
      <c r="F49" s="108">
        <f t="shared" si="12"/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227" t="s">
        <v>87</v>
      </c>
      <c r="M49" s="215" t="s">
        <v>91</v>
      </c>
      <c r="N49" s="158">
        <f>'[1]Лист 1'!$F$401/1000</f>
        <v>1000</v>
      </c>
      <c r="O49" s="165">
        <v>1000</v>
      </c>
      <c r="P49" s="160">
        <f>N49-O49</f>
        <v>0</v>
      </c>
    </row>
    <row r="50" spans="1:16" s="83" customFormat="1" ht="18.75" x14ac:dyDescent="0.25">
      <c r="A50" s="491" t="s">
        <v>13</v>
      </c>
      <c r="B50" s="492" t="s">
        <v>253</v>
      </c>
      <c r="C50" s="492" t="s">
        <v>73</v>
      </c>
      <c r="D50" s="225" t="s">
        <v>5</v>
      </c>
      <c r="E50" s="95">
        <f>E52+E53+E51</f>
        <v>0</v>
      </c>
      <c r="F50" s="108">
        <f t="shared" ref="F50:F58" si="13">SUM(G50:K50)</f>
        <v>0</v>
      </c>
      <c r="G50" s="95">
        <f>G52+G53+G51</f>
        <v>0</v>
      </c>
      <c r="H50" s="95">
        <f>H52+H53+H51</f>
        <v>0</v>
      </c>
      <c r="I50" s="95">
        <f>I52+I53+I51</f>
        <v>0</v>
      </c>
      <c r="J50" s="95">
        <f>J52+J53+J51</f>
        <v>0</v>
      </c>
      <c r="K50" s="95">
        <f>K52+K53+K51</f>
        <v>0</v>
      </c>
      <c r="L50" s="493"/>
      <c r="M50" s="494"/>
      <c r="N50" s="157"/>
      <c r="O50" s="157"/>
      <c r="P50" s="157"/>
    </row>
    <row r="51" spans="1:16" s="83" customFormat="1" ht="37.5" customHeight="1" x14ac:dyDescent="0.25">
      <c r="A51" s="491"/>
      <c r="B51" s="492"/>
      <c r="C51" s="492"/>
      <c r="D51" s="225" t="s">
        <v>65</v>
      </c>
      <c r="E51" s="140">
        <f>E54</f>
        <v>0</v>
      </c>
      <c r="F51" s="108">
        <f t="shared" si="13"/>
        <v>0</v>
      </c>
      <c r="G51" s="140">
        <f>G54</f>
        <v>0</v>
      </c>
      <c r="H51" s="140">
        <f>H54</f>
        <v>0</v>
      </c>
      <c r="I51" s="140">
        <f>I54</f>
        <v>0</v>
      </c>
      <c r="J51" s="140">
        <f>J54</f>
        <v>0</v>
      </c>
      <c r="K51" s="140">
        <f>K54</f>
        <v>0</v>
      </c>
      <c r="L51" s="493"/>
      <c r="M51" s="494"/>
      <c r="N51" s="157"/>
      <c r="O51" s="157"/>
      <c r="P51" s="157"/>
    </row>
    <row r="52" spans="1:16" s="83" customFormat="1" ht="39.75" customHeight="1" x14ac:dyDescent="0.25">
      <c r="A52" s="491"/>
      <c r="B52" s="492"/>
      <c r="C52" s="492"/>
      <c r="D52" s="225" t="s">
        <v>2</v>
      </c>
      <c r="E52" s="140">
        <f>E55+E57</f>
        <v>0</v>
      </c>
      <c r="F52" s="108">
        <f t="shared" si="13"/>
        <v>0</v>
      </c>
      <c r="G52" s="140">
        <f t="shared" ref="G52:K52" si="14">G55+G57</f>
        <v>0</v>
      </c>
      <c r="H52" s="140">
        <f t="shared" si="14"/>
        <v>0</v>
      </c>
      <c r="I52" s="140">
        <f t="shared" si="14"/>
        <v>0</v>
      </c>
      <c r="J52" s="140">
        <f t="shared" si="14"/>
        <v>0</v>
      </c>
      <c r="K52" s="140">
        <f t="shared" si="14"/>
        <v>0</v>
      </c>
      <c r="L52" s="493"/>
      <c r="M52" s="494"/>
      <c r="N52" s="157"/>
      <c r="O52" s="157"/>
      <c r="P52" s="157"/>
    </row>
    <row r="53" spans="1:16" s="83" customFormat="1" ht="58.5" customHeight="1" x14ac:dyDescent="0.25">
      <c r="A53" s="491"/>
      <c r="B53" s="492"/>
      <c r="C53" s="492"/>
      <c r="D53" s="225" t="s">
        <v>77</v>
      </c>
      <c r="E53" s="140">
        <f>E56+E58</f>
        <v>0</v>
      </c>
      <c r="F53" s="108">
        <f t="shared" si="13"/>
        <v>0</v>
      </c>
      <c r="G53" s="140">
        <f t="shared" ref="G53:K53" si="15">G56+G58</f>
        <v>0</v>
      </c>
      <c r="H53" s="140">
        <f t="shared" si="15"/>
        <v>0</v>
      </c>
      <c r="I53" s="140">
        <f t="shared" si="15"/>
        <v>0</v>
      </c>
      <c r="J53" s="140">
        <f t="shared" si="15"/>
        <v>0</v>
      </c>
      <c r="K53" s="140">
        <f t="shared" si="15"/>
        <v>0</v>
      </c>
      <c r="L53" s="493"/>
      <c r="M53" s="494"/>
      <c r="N53" s="157"/>
      <c r="O53" s="157"/>
      <c r="P53" s="157"/>
    </row>
    <row r="54" spans="1:16" s="83" customFormat="1" ht="37.5" hidden="1" x14ac:dyDescent="0.25">
      <c r="A54" s="478" t="s">
        <v>90</v>
      </c>
      <c r="B54" s="479" t="s">
        <v>182</v>
      </c>
      <c r="C54" s="480" t="s">
        <v>73</v>
      </c>
      <c r="D54" s="229" t="s">
        <v>65</v>
      </c>
      <c r="E54" s="116">
        <v>0</v>
      </c>
      <c r="F54" s="108">
        <f t="shared" si="13"/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477" t="s">
        <v>6</v>
      </c>
      <c r="M54" s="358" t="s">
        <v>108</v>
      </c>
      <c r="N54" s="158">
        <f>'[1]Лист 1'!$F$401/1000</f>
        <v>1000</v>
      </c>
      <c r="O54" s="165">
        <v>1000</v>
      </c>
      <c r="P54" s="160">
        <f>N54-O54</f>
        <v>0</v>
      </c>
    </row>
    <row r="55" spans="1:16" s="83" customFormat="1" ht="37.5" hidden="1" x14ac:dyDescent="0.25">
      <c r="A55" s="478"/>
      <c r="B55" s="479"/>
      <c r="C55" s="480"/>
      <c r="D55" s="229" t="s">
        <v>2</v>
      </c>
      <c r="E55" s="116">
        <v>0</v>
      </c>
      <c r="F55" s="108">
        <f t="shared" si="13"/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477"/>
      <c r="M55" s="358"/>
      <c r="N55" s="158"/>
      <c r="O55" s="165"/>
      <c r="P55" s="160"/>
    </row>
    <row r="56" spans="1:16" s="83" customFormat="1" ht="56.25" hidden="1" x14ac:dyDescent="0.25">
      <c r="A56" s="478"/>
      <c r="B56" s="479"/>
      <c r="C56" s="480"/>
      <c r="D56" s="229" t="s">
        <v>78</v>
      </c>
      <c r="E56" s="116">
        <v>0</v>
      </c>
      <c r="F56" s="108">
        <f t="shared" si="13"/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477"/>
      <c r="M56" s="358"/>
      <c r="N56" s="158">
        <f>'[1]Лист 1'!$F$401/1000</f>
        <v>1000</v>
      </c>
      <c r="O56" s="165">
        <v>1000</v>
      </c>
      <c r="P56" s="160">
        <f>N56-O56</f>
        <v>0</v>
      </c>
    </row>
    <row r="57" spans="1:16" s="83" customFormat="1" ht="37.5" x14ac:dyDescent="0.25">
      <c r="A57" s="478" t="s">
        <v>83</v>
      </c>
      <c r="B57" s="479" t="s">
        <v>285</v>
      </c>
      <c r="C57" s="480" t="s">
        <v>73</v>
      </c>
      <c r="D57" s="229" t="s">
        <v>2</v>
      </c>
      <c r="E57" s="116">
        <v>0</v>
      </c>
      <c r="F57" s="108">
        <f t="shared" si="13"/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477" t="s">
        <v>6</v>
      </c>
      <c r="M57" s="358" t="s">
        <v>286</v>
      </c>
      <c r="N57" s="158">
        <f>'[1]Лист 1'!$F$401/1000</f>
        <v>1000</v>
      </c>
      <c r="O57" s="165">
        <v>1000</v>
      </c>
      <c r="P57" s="160">
        <f>N57-O57</f>
        <v>0</v>
      </c>
    </row>
    <row r="58" spans="1:16" s="83" customFormat="1" ht="60.75" customHeight="1" x14ac:dyDescent="0.25">
      <c r="A58" s="478"/>
      <c r="B58" s="479"/>
      <c r="C58" s="480"/>
      <c r="D58" s="229" t="s">
        <v>76</v>
      </c>
      <c r="E58" s="116">
        <v>0</v>
      </c>
      <c r="F58" s="108">
        <f t="shared" si="13"/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477"/>
      <c r="M58" s="358"/>
      <c r="N58" s="158"/>
      <c r="O58" s="165"/>
      <c r="P58" s="160"/>
    </row>
    <row r="59" spans="1:16" s="83" customFormat="1" ht="18.75" hidden="1" x14ac:dyDescent="0.25">
      <c r="A59" s="491" t="s">
        <v>13</v>
      </c>
      <c r="B59" s="492" t="s">
        <v>252</v>
      </c>
      <c r="C59" s="492" t="s">
        <v>73</v>
      </c>
      <c r="D59" s="225" t="s">
        <v>5</v>
      </c>
      <c r="E59" s="95">
        <f>E61+E62+E60</f>
        <v>0</v>
      </c>
      <c r="F59" s="108">
        <f t="shared" ref="F59:F65" si="16">SUM(G59:K59)</f>
        <v>0</v>
      </c>
      <c r="G59" s="95">
        <f>G61+G62+G60</f>
        <v>0</v>
      </c>
      <c r="H59" s="95">
        <f>H61+H62+H60</f>
        <v>0</v>
      </c>
      <c r="I59" s="95">
        <f>I61+I62+I60</f>
        <v>0</v>
      </c>
      <c r="J59" s="95">
        <f>J61+J62+J60</f>
        <v>0</v>
      </c>
      <c r="K59" s="95">
        <f>K61+K62+K60</f>
        <v>0</v>
      </c>
      <c r="L59" s="493"/>
      <c r="M59" s="494"/>
      <c r="N59" s="157"/>
      <c r="O59" s="157"/>
      <c r="P59" s="157"/>
    </row>
    <row r="60" spans="1:16" s="83" customFormat="1" ht="37.5" hidden="1" customHeight="1" x14ac:dyDescent="0.25">
      <c r="A60" s="491"/>
      <c r="B60" s="492"/>
      <c r="C60" s="492"/>
      <c r="D60" s="225" t="s">
        <v>65</v>
      </c>
      <c r="E60" s="140">
        <f>E63</f>
        <v>0</v>
      </c>
      <c r="F60" s="108">
        <f t="shared" si="16"/>
        <v>0</v>
      </c>
      <c r="G60" s="140">
        <f>G63</f>
        <v>0</v>
      </c>
      <c r="H60" s="140">
        <f>H63</f>
        <v>0</v>
      </c>
      <c r="I60" s="140">
        <f>I63</f>
        <v>0</v>
      </c>
      <c r="J60" s="140">
        <f>J63</f>
        <v>0</v>
      </c>
      <c r="K60" s="140">
        <f>K63</f>
        <v>0</v>
      </c>
      <c r="L60" s="493"/>
      <c r="M60" s="494"/>
      <c r="N60" s="157"/>
      <c r="O60" s="157"/>
      <c r="P60" s="157"/>
    </row>
    <row r="61" spans="1:16" s="83" customFormat="1" ht="39.75" hidden="1" customHeight="1" x14ac:dyDescent="0.25">
      <c r="A61" s="491"/>
      <c r="B61" s="492"/>
      <c r="C61" s="492"/>
      <c r="D61" s="225" t="s">
        <v>2</v>
      </c>
      <c r="E61" s="140">
        <f>E64+E66</f>
        <v>0</v>
      </c>
      <c r="F61" s="108">
        <f t="shared" si="16"/>
        <v>0</v>
      </c>
      <c r="G61" s="140">
        <f t="shared" ref="G61:K62" si="17">G64+G66</f>
        <v>0</v>
      </c>
      <c r="H61" s="140">
        <f t="shared" si="17"/>
        <v>0</v>
      </c>
      <c r="I61" s="140">
        <f t="shared" si="17"/>
        <v>0</v>
      </c>
      <c r="J61" s="140">
        <f t="shared" si="17"/>
        <v>0</v>
      </c>
      <c r="K61" s="140">
        <f t="shared" si="17"/>
        <v>0</v>
      </c>
      <c r="L61" s="493"/>
      <c r="M61" s="494"/>
      <c r="N61" s="157"/>
      <c r="O61" s="157"/>
      <c r="P61" s="157"/>
    </row>
    <row r="62" spans="1:16" s="83" customFormat="1" ht="58.5" hidden="1" customHeight="1" x14ac:dyDescent="0.25">
      <c r="A62" s="491"/>
      <c r="B62" s="492"/>
      <c r="C62" s="492"/>
      <c r="D62" s="225" t="s">
        <v>77</v>
      </c>
      <c r="E62" s="140">
        <f>E65+E67</f>
        <v>0</v>
      </c>
      <c r="F62" s="108">
        <f t="shared" si="16"/>
        <v>0</v>
      </c>
      <c r="G62" s="140">
        <f t="shared" si="17"/>
        <v>0</v>
      </c>
      <c r="H62" s="140">
        <f t="shared" si="17"/>
        <v>0</v>
      </c>
      <c r="I62" s="140">
        <f t="shared" si="17"/>
        <v>0</v>
      </c>
      <c r="J62" s="140">
        <f t="shared" si="17"/>
        <v>0</v>
      </c>
      <c r="K62" s="140">
        <f t="shared" si="17"/>
        <v>0</v>
      </c>
      <c r="L62" s="493"/>
      <c r="M62" s="494"/>
      <c r="N62" s="157"/>
      <c r="O62" s="157"/>
      <c r="P62" s="157"/>
    </row>
    <row r="63" spans="1:16" s="83" customFormat="1" ht="37.5" hidden="1" x14ac:dyDescent="0.25">
      <c r="A63" s="478" t="s">
        <v>90</v>
      </c>
      <c r="B63" s="479" t="s">
        <v>182</v>
      </c>
      <c r="C63" s="480" t="s">
        <v>73</v>
      </c>
      <c r="D63" s="229" t="s">
        <v>65</v>
      </c>
      <c r="E63" s="116">
        <v>0</v>
      </c>
      <c r="F63" s="108">
        <f t="shared" si="16"/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477" t="s">
        <v>6</v>
      </c>
      <c r="M63" s="358" t="s">
        <v>108</v>
      </c>
      <c r="N63" s="158">
        <f>'[1]Лист 1'!$F$401/1000</f>
        <v>1000</v>
      </c>
      <c r="O63" s="165">
        <v>1000</v>
      </c>
      <c r="P63" s="160">
        <f>N63-O63</f>
        <v>0</v>
      </c>
    </row>
    <row r="64" spans="1:16" s="83" customFormat="1" ht="37.5" hidden="1" x14ac:dyDescent="0.25">
      <c r="A64" s="478"/>
      <c r="B64" s="479"/>
      <c r="C64" s="480"/>
      <c r="D64" s="229" t="s">
        <v>2</v>
      </c>
      <c r="E64" s="116">
        <v>0</v>
      </c>
      <c r="F64" s="108">
        <f t="shared" si="16"/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477"/>
      <c r="M64" s="358"/>
      <c r="N64" s="158"/>
      <c r="O64" s="165"/>
      <c r="P64" s="160"/>
    </row>
    <row r="65" spans="1:18" s="83" customFormat="1" ht="56.25" hidden="1" x14ac:dyDescent="0.25">
      <c r="A65" s="478"/>
      <c r="B65" s="479"/>
      <c r="C65" s="480"/>
      <c r="D65" s="229" t="s">
        <v>78</v>
      </c>
      <c r="E65" s="116">
        <v>0</v>
      </c>
      <c r="F65" s="108">
        <f t="shared" si="16"/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477"/>
      <c r="M65" s="358"/>
      <c r="N65" s="158">
        <f>'[1]Лист 1'!$F$401/1000</f>
        <v>1000</v>
      </c>
      <c r="O65" s="165">
        <v>1000</v>
      </c>
      <c r="P65" s="160">
        <f>N65-O65</f>
        <v>0</v>
      </c>
    </row>
    <row r="66" spans="1:18" s="83" customFormat="1" ht="37.5" hidden="1" x14ac:dyDescent="0.25">
      <c r="A66" s="478" t="s">
        <v>83</v>
      </c>
      <c r="B66" s="479" t="s">
        <v>243</v>
      </c>
      <c r="C66" s="480" t="s">
        <v>73</v>
      </c>
      <c r="D66" s="229" t="s">
        <v>2</v>
      </c>
      <c r="E66" s="116">
        <v>0</v>
      </c>
      <c r="F66" s="108">
        <f t="shared" ref="F66:F71" si="18">SUM(G66:K66)</f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477" t="s">
        <v>6</v>
      </c>
      <c r="M66" s="358" t="s">
        <v>147</v>
      </c>
      <c r="N66" s="158">
        <f>'[1]Лист 1'!$F$401/1000</f>
        <v>1000</v>
      </c>
      <c r="O66" s="165">
        <v>1000</v>
      </c>
      <c r="P66" s="160">
        <f>N66-O66</f>
        <v>0</v>
      </c>
    </row>
    <row r="67" spans="1:18" s="83" customFormat="1" ht="60.75" hidden="1" customHeight="1" x14ac:dyDescent="0.25">
      <c r="A67" s="478"/>
      <c r="B67" s="479"/>
      <c r="C67" s="480"/>
      <c r="D67" s="229" t="s">
        <v>76</v>
      </c>
      <c r="E67" s="116">
        <v>0</v>
      </c>
      <c r="F67" s="108">
        <f t="shared" si="18"/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477"/>
      <c r="M67" s="358"/>
      <c r="N67" s="158"/>
      <c r="O67" s="165"/>
      <c r="P67" s="160"/>
    </row>
    <row r="68" spans="1:18" s="83" customFormat="1" ht="18.75" x14ac:dyDescent="0.25">
      <c r="A68" s="491" t="s">
        <v>52</v>
      </c>
      <c r="B68" s="492" t="s">
        <v>254</v>
      </c>
      <c r="C68" s="492" t="s">
        <v>73</v>
      </c>
      <c r="D68" s="225" t="s">
        <v>5</v>
      </c>
      <c r="E68" s="95">
        <f>E70+E71+E69</f>
        <v>0</v>
      </c>
      <c r="F68" s="108">
        <f t="shared" si="18"/>
        <v>0</v>
      </c>
      <c r="G68" s="95">
        <f>G70+G71+G69</f>
        <v>0</v>
      </c>
      <c r="H68" s="95">
        <f>H70+H71+H69</f>
        <v>0</v>
      </c>
      <c r="I68" s="95">
        <f>I70+I71+I69</f>
        <v>0</v>
      </c>
      <c r="J68" s="95">
        <f>J70+J71+J69</f>
        <v>0</v>
      </c>
      <c r="K68" s="95">
        <f>K70+K71+K69</f>
        <v>0</v>
      </c>
      <c r="L68" s="493"/>
      <c r="M68" s="494"/>
      <c r="N68" s="157"/>
      <c r="O68" s="157"/>
      <c r="P68" s="157"/>
    </row>
    <row r="69" spans="1:18" s="83" customFormat="1" ht="37.5" customHeight="1" x14ac:dyDescent="0.25">
      <c r="A69" s="491"/>
      <c r="B69" s="492"/>
      <c r="C69" s="492"/>
      <c r="D69" s="225" t="s">
        <v>65</v>
      </c>
      <c r="E69" s="140">
        <f>E72</f>
        <v>0</v>
      </c>
      <c r="F69" s="108">
        <f t="shared" si="18"/>
        <v>0</v>
      </c>
      <c r="G69" s="140">
        <f t="shared" ref="G69:K71" si="19">G72</f>
        <v>0</v>
      </c>
      <c r="H69" s="140">
        <f t="shared" si="19"/>
        <v>0</v>
      </c>
      <c r="I69" s="140">
        <f t="shared" si="19"/>
        <v>0</v>
      </c>
      <c r="J69" s="140">
        <f t="shared" si="19"/>
        <v>0</v>
      </c>
      <c r="K69" s="140">
        <f t="shared" si="19"/>
        <v>0</v>
      </c>
      <c r="L69" s="493"/>
      <c r="M69" s="494"/>
      <c r="N69" s="157"/>
      <c r="O69" s="157"/>
      <c r="P69" s="157"/>
    </row>
    <row r="70" spans="1:18" s="83" customFormat="1" ht="39.75" customHeight="1" x14ac:dyDescent="0.25">
      <c r="A70" s="491"/>
      <c r="B70" s="492"/>
      <c r="C70" s="492"/>
      <c r="D70" s="225" t="s">
        <v>2</v>
      </c>
      <c r="E70" s="140">
        <f>E73</f>
        <v>0</v>
      </c>
      <c r="F70" s="108">
        <f t="shared" si="18"/>
        <v>0</v>
      </c>
      <c r="G70" s="140">
        <f t="shared" si="19"/>
        <v>0</v>
      </c>
      <c r="H70" s="140">
        <f t="shared" si="19"/>
        <v>0</v>
      </c>
      <c r="I70" s="140">
        <f t="shared" si="19"/>
        <v>0</v>
      </c>
      <c r="J70" s="140">
        <f t="shared" si="19"/>
        <v>0</v>
      </c>
      <c r="K70" s="140">
        <f t="shared" si="19"/>
        <v>0</v>
      </c>
      <c r="L70" s="493"/>
      <c r="M70" s="494"/>
      <c r="N70" s="157"/>
      <c r="O70" s="157"/>
      <c r="P70" s="157"/>
    </row>
    <row r="71" spans="1:18" s="83" customFormat="1" ht="58.5" customHeight="1" x14ac:dyDescent="0.25">
      <c r="A71" s="491"/>
      <c r="B71" s="492"/>
      <c r="C71" s="492"/>
      <c r="D71" s="225" t="s">
        <v>77</v>
      </c>
      <c r="E71" s="140">
        <f>E74</f>
        <v>0</v>
      </c>
      <c r="F71" s="108">
        <f t="shared" si="18"/>
        <v>0</v>
      </c>
      <c r="G71" s="140">
        <f t="shared" si="19"/>
        <v>0</v>
      </c>
      <c r="H71" s="140">
        <f t="shared" si="19"/>
        <v>0</v>
      </c>
      <c r="I71" s="140">
        <f t="shared" si="19"/>
        <v>0</v>
      </c>
      <c r="J71" s="140">
        <f t="shared" si="19"/>
        <v>0</v>
      </c>
      <c r="K71" s="140">
        <f t="shared" si="19"/>
        <v>0</v>
      </c>
      <c r="L71" s="493"/>
      <c r="M71" s="494"/>
      <c r="N71" s="157"/>
      <c r="O71" s="157"/>
      <c r="P71" s="157"/>
    </row>
    <row r="72" spans="1:18" s="83" customFormat="1" ht="37.5" x14ac:dyDescent="0.25">
      <c r="A72" s="478" t="s">
        <v>101</v>
      </c>
      <c r="B72" s="479" t="s">
        <v>244</v>
      </c>
      <c r="C72" s="480" t="s">
        <v>73</v>
      </c>
      <c r="D72" s="229" t="s">
        <v>65</v>
      </c>
      <c r="E72" s="116">
        <v>0</v>
      </c>
      <c r="F72" s="108">
        <f t="shared" ref="F72:F79" si="20">SUM(G72:K72)</f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477" t="s">
        <v>6</v>
      </c>
      <c r="M72" s="358" t="s">
        <v>92</v>
      </c>
      <c r="N72" s="158">
        <f>'[1]Лист 1'!$F$401/1000</f>
        <v>1000</v>
      </c>
      <c r="O72" s="165">
        <v>1000</v>
      </c>
      <c r="P72" s="160">
        <f>N72-O72</f>
        <v>0</v>
      </c>
    </row>
    <row r="73" spans="1:18" s="83" customFormat="1" ht="37.5" x14ac:dyDescent="0.25">
      <c r="A73" s="478"/>
      <c r="B73" s="479"/>
      <c r="C73" s="480"/>
      <c r="D73" s="229" t="s">
        <v>2</v>
      </c>
      <c r="E73" s="116">
        <v>0</v>
      </c>
      <c r="F73" s="108">
        <f t="shared" si="20"/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477"/>
      <c r="M73" s="358"/>
      <c r="N73" s="158"/>
      <c r="O73" s="165"/>
      <c r="P73" s="160"/>
    </row>
    <row r="74" spans="1:18" s="83" customFormat="1" ht="56.25" x14ac:dyDescent="0.25">
      <c r="A74" s="478"/>
      <c r="B74" s="479"/>
      <c r="C74" s="480"/>
      <c r="D74" s="229" t="s">
        <v>78</v>
      </c>
      <c r="E74" s="116">
        <v>0</v>
      </c>
      <c r="F74" s="108">
        <f t="shared" si="20"/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477"/>
      <c r="M74" s="358"/>
      <c r="N74" s="158">
        <f>'[1]Лист 1'!$F$401/1000</f>
        <v>1000</v>
      </c>
      <c r="O74" s="165">
        <v>1000</v>
      </c>
      <c r="P74" s="160">
        <f>N74-O74</f>
        <v>0</v>
      </c>
    </row>
    <row r="75" spans="1:18" ht="18.75" x14ac:dyDescent="0.25">
      <c r="A75" s="511" t="s">
        <v>28</v>
      </c>
      <c r="B75" s="512"/>
      <c r="C75" s="512"/>
      <c r="D75" s="512"/>
      <c r="E75" s="105" t="e">
        <f>E76+E77+E78+E79</f>
        <v>#REF!</v>
      </c>
      <c r="F75" s="146">
        <f t="shared" si="20"/>
        <v>1100865.0879800001</v>
      </c>
      <c r="G75" s="105">
        <f>G76+G77+G78+G79</f>
        <v>545241.40601000004</v>
      </c>
      <c r="H75" s="105">
        <f>H76+H77+H78+H79</f>
        <v>125284.40130000001</v>
      </c>
      <c r="I75" s="105">
        <f>I76+I77+I78+I79</f>
        <v>150983.13266999996</v>
      </c>
      <c r="J75" s="105">
        <f>J76+J77+J78+J79</f>
        <v>139678.07399999999</v>
      </c>
      <c r="K75" s="105">
        <f>K76+K77+K78+K79</f>
        <v>139678.07399999999</v>
      </c>
      <c r="L75" s="32"/>
      <c r="M75" s="33"/>
      <c r="N75" s="67"/>
      <c r="O75" s="67"/>
      <c r="P75" s="67"/>
    </row>
    <row r="76" spans="1:18" ht="18.75" x14ac:dyDescent="0.25">
      <c r="A76" s="509" t="s">
        <v>65</v>
      </c>
      <c r="B76" s="510"/>
      <c r="C76" s="510"/>
      <c r="D76" s="510"/>
      <c r="E76" s="104">
        <f>E34+E60+E69</f>
        <v>0</v>
      </c>
      <c r="F76" s="146">
        <f t="shared" si="20"/>
        <v>0</v>
      </c>
      <c r="G76" s="104">
        <f>G51+G69</f>
        <v>0</v>
      </c>
      <c r="H76" s="104">
        <f t="shared" ref="H76:K76" si="21">H51+H69</f>
        <v>0</v>
      </c>
      <c r="I76" s="104">
        <f t="shared" si="21"/>
        <v>0</v>
      </c>
      <c r="J76" s="104">
        <f t="shared" si="21"/>
        <v>0</v>
      </c>
      <c r="K76" s="104">
        <f t="shared" si="21"/>
        <v>0</v>
      </c>
      <c r="L76" s="34"/>
      <c r="M76" s="35"/>
      <c r="N76" s="76" t="e">
        <f>#REF!+#REF!+#REF!+#REF!</f>
        <v>#REF!</v>
      </c>
      <c r="O76" s="76" t="e">
        <f>#REF!+#REF!+#REF!+#REF!</f>
        <v>#REF!</v>
      </c>
      <c r="P76" s="76" t="e">
        <f>#REF!+#REF!+#REF!+#REF!</f>
        <v>#REF!</v>
      </c>
      <c r="Q76" s="76" t="e">
        <f>#REF!+#REF!+#REF!+#REF!</f>
        <v>#REF!</v>
      </c>
      <c r="R76" s="76"/>
    </row>
    <row r="77" spans="1:18" ht="18.75" x14ac:dyDescent="0.25">
      <c r="A77" s="509" t="s">
        <v>2</v>
      </c>
      <c r="B77" s="510"/>
      <c r="C77" s="510"/>
      <c r="D77" s="510"/>
      <c r="E77" s="104" t="e">
        <f>E21+E35+E45+E61+E70</f>
        <v>#REF!</v>
      </c>
      <c r="F77" s="146">
        <f t="shared" si="20"/>
        <v>3984</v>
      </c>
      <c r="G77" s="104">
        <f>G52+G70</f>
        <v>0</v>
      </c>
      <c r="H77" s="104">
        <f t="shared" ref="H77" si="22">H52+H70</f>
        <v>0</v>
      </c>
      <c r="I77" s="104">
        <f>I52+I70+I21</f>
        <v>3984</v>
      </c>
      <c r="J77" s="104">
        <f>J52+J70+J21</f>
        <v>0</v>
      </c>
      <c r="K77" s="104">
        <f>K52+K70+K21</f>
        <v>0</v>
      </c>
      <c r="L77" s="34"/>
      <c r="M77" s="35"/>
      <c r="N77" s="76" t="e">
        <f>#REF!+#REF!+#REF!+#REF!</f>
        <v>#REF!</v>
      </c>
      <c r="O77" s="76" t="e">
        <f>#REF!+#REF!+#REF!+#REF!</f>
        <v>#REF!</v>
      </c>
      <c r="P77" s="76" t="e">
        <f>#REF!+#REF!+#REF!+#REF!</f>
        <v>#REF!</v>
      </c>
      <c r="Q77" s="76" t="e">
        <f>#REF!+#REF!+#REF!+#REF!</f>
        <v>#REF!</v>
      </c>
      <c r="R77" s="76"/>
    </row>
    <row r="78" spans="1:18" ht="18.75" x14ac:dyDescent="0.25">
      <c r="A78" s="509" t="s">
        <v>77</v>
      </c>
      <c r="B78" s="510"/>
      <c r="C78" s="510"/>
      <c r="D78" s="510"/>
      <c r="E78" s="104" t="e">
        <f>E8+E11+E22+E30+E36+E46+E62+E71+#REF!</f>
        <v>#REF!</v>
      </c>
      <c r="F78" s="146">
        <f t="shared" si="20"/>
        <v>912666.07262999995</v>
      </c>
      <c r="G78" s="104">
        <f>G8+G11+G22+G30+G53+G71</f>
        <v>465715.70935999998</v>
      </c>
      <c r="H78" s="104">
        <f>H8+H11+H22+H30+H53+H71</f>
        <v>105019.33670000001</v>
      </c>
      <c r="I78" s="104">
        <f>I8+I11+I22+I30+I53+I71</f>
        <v>126296.48256999998</v>
      </c>
      <c r="J78" s="104">
        <f>J8+J11+J22+J30+J53+J71</f>
        <v>107817.27199999998</v>
      </c>
      <c r="K78" s="104">
        <f>K8+K11+K22+K30+K53+K71</f>
        <v>107817.27199999998</v>
      </c>
      <c r="L78" s="34"/>
      <c r="M78" s="35"/>
      <c r="N78" s="76" t="e">
        <f>#REF!+#REF!+#REF!+#REF!+#REF!+#REF!+#REF!+#REF!+#REF!+#REF!+#REF!</f>
        <v>#REF!</v>
      </c>
      <c r="O78" s="76" t="e">
        <f>#REF!+#REF!+#REF!+#REF!+#REF!+#REF!+#REF!+#REF!+#REF!+#REF!+#REF!</f>
        <v>#REF!</v>
      </c>
      <c r="P78" s="76" t="e">
        <f>#REF!+#REF!+#REF!+#REF!+#REF!+#REF!+#REF!+#REF!+#REF!+#REF!+#REF!</f>
        <v>#REF!</v>
      </c>
      <c r="Q78" s="76" t="e">
        <f>#REF!+#REF!+#REF!+#REF!+#REF!+#REF!+#REF!+#REF!+#REF!+#REF!+#REF!</f>
        <v>#REF!</v>
      </c>
      <c r="R78" s="76"/>
    </row>
    <row r="79" spans="1:18" ht="19.5" thickBot="1" x14ac:dyDescent="0.35">
      <c r="A79" s="377" t="s">
        <v>24</v>
      </c>
      <c r="B79" s="378"/>
      <c r="C79" s="378"/>
      <c r="D79" s="378"/>
      <c r="E79" s="106">
        <f>E12</f>
        <v>13879.4</v>
      </c>
      <c r="F79" s="147">
        <f t="shared" si="20"/>
        <v>184215.01535</v>
      </c>
      <c r="G79" s="106">
        <f>G12</f>
        <v>79525.696650000013</v>
      </c>
      <c r="H79" s="106">
        <f>H12</f>
        <v>20265.064600000002</v>
      </c>
      <c r="I79" s="106">
        <f>I12</f>
        <v>20702.650099999999</v>
      </c>
      <c r="J79" s="106">
        <f>J12</f>
        <v>31860.802</v>
      </c>
      <c r="K79" s="106">
        <f>K12</f>
        <v>31860.802</v>
      </c>
      <c r="L79" s="36"/>
      <c r="M79" s="37"/>
      <c r="N79" s="75" t="e">
        <f>#REF!+#REF!</f>
        <v>#REF!</v>
      </c>
      <c r="O79" s="75" t="e">
        <f>#REF!+#REF!</f>
        <v>#REF!</v>
      </c>
      <c r="P79" s="75" t="e">
        <f>#REF!+#REF!</f>
        <v>#REF!</v>
      </c>
      <c r="Q79" s="75" t="e">
        <f>#REF!+#REF!</f>
        <v>#REF!</v>
      </c>
      <c r="R79" s="156"/>
    </row>
    <row r="80" spans="1:18" x14ac:dyDescent="0.25">
      <c r="F80" s="19"/>
      <c r="I80" s="112"/>
      <c r="J80" s="100"/>
      <c r="K80" s="100"/>
    </row>
    <row r="81" spans="2:28" x14ac:dyDescent="0.25">
      <c r="H81" s="81"/>
      <c r="I81" s="112"/>
      <c r="J81" s="100"/>
      <c r="K81" s="100"/>
    </row>
    <row r="82" spans="2:28" ht="18.75" x14ac:dyDescent="0.3">
      <c r="B82" s="374" t="s">
        <v>35</v>
      </c>
      <c r="C82" s="375"/>
      <c r="D82" s="375"/>
      <c r="E82" s="167">
        <v>0</v>
      </c>
      <c r="F82" s="168">
        <f>SUM(G82:K82)</f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00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8.75" x14ac:dyDescent="0.3">
      <c r="B83" s="374" t="s">
        <v>37</v>
      </c>
      <c r="C83" s="375"/>
      <c r="D83" s="375"/>
      <c r="E83" s="167">
        <v>0</v>
      </c>
      <c r="F83" s="168">
        <f t="shared" ref="F83:F94" si="23">SUM(G83:K83)</f>
        <v>10231.52938</v>
      </c>
      <c r="G83" s="167">
        <f>826-11-490.90722</f>
        <v>324.09278</v>
      </c>
      <c r="H83" s="167">
        <f>815+89.67471-0.00001-386.9</f>
        <v>517.77470000000005</v>
      </c>
      <c r="I83" s="167">
        <f>164.566+I19-12401.7261</f>
        <v>9060.5298999999977</v>
      </c>
      <c r="J83" s="167">
        <v>164.566</v>
      </c>
      <c r="K83" s="167">
        <v>164.566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8.75" x14ac:dyDescent="0.3">
      <c r="B84" s="365" t="s">
        <v>36</v>
      </c>
      <c r="C84" s="366"/>
      <c r="D84" s="366"/>
      <c r="E84" s="169">
        <f>SUM(E82:E83)</f>
        <v>0</v>
      </c>
      <c r="F84" s="168">
        <f t="shared" si="23"/>
        <v>10231.52938</v>
      </c>
      <c r="G84" s="169">
        <f>SUM(G82:G83)</f>
        <v>324.09278</v>
      </c>
      <c r="H84" s="169">
        <f>SUM(H82:H83)</f>
        <v>517.77470000000005</v>
      </c>
      <c r="I84" s="169">
        <f>SUM(I82:I83)</f>
        <v>9060.5298999999977</v>
      </c>
      <c r="J84" s="169">
        <f>SUM(J82:J83)</f>
        <v>164.566</v>
      </c>
      <c r="K84" s="169">
        <f>SUM(K82:K83)</f>
        <v>164.566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8.75" x14ac:dyDescent="0.3">
      <c r="B85" s="374" t="s">
        <v>149</v>
      </c>
      <c r="C85" s="375"/>
      <c r="D85" s="375"/>
      <c r="E85" s="167">
        <f>E34</f>
        <v>0</v>
      </c>
      <c r="F85" s="168">
        <f t="shared" si="23"/>
        <v>0</v>
      </c>
      <c r="G85" s="167">
        <f t="shared" ref="G85:K86" si="24">G34</f>
        <v>0</v>
      </c>
      <c r="H85" s="167">
        <f t="shared" si="24"/>
        <v>0</v>
      </c>
      <c r="I85" s="167">
        <f t="shared" si="24"/>
        <v>0</v>
      </c>
      <c r="J85" s="167">
        <f t="shared" si="24"/>
        <v>0</v>
      </c>
      <c r="K85" s="167">
        <f t="shared" si="24"/>
        <v>0</v>
      </c>
    </row>
    <row r="86" spans="2:28" ht="18.75" x14ac:dyDescent="0.3">
      <c r="B86" s="374" t="s">
        <v>120</v>
      </c>
      <c r="C86" s="375"/>
      <c r="D86" s="375" t="s">
        <v>35</v>
      </c>
      <c r="E86" s="167">
        <f>E35</f>
        <v>0</v>
      </c>
      <c r="F86" s="168">
        <f t="shared" si="23"/>
        <v>0</v>
      </c>
      <c r="G86" s="167">
        <f t="shared" si="24"/>
        <v>0</v>
      </c>
      <c r="H86" s="167">
        <f t="shared" si="24"/>
        <v>0</v>
      </c>
      <c r="I86" s="167">
        <f t="shared" si="24"/>
        <v>0</v>
      </c>
      <c r="J86" s="167">
        <f t="shared" si="24"/>
        <v>0</v>
      </c>
      <c r="K86" s="167">
        <f t="shared" si="24"/>
        <v>0</v>
      </c>
    </row>
    <row r="87" spans="2:28" ht="18.75" x14ac:dyDescent="0.3">
      <c r="B87" s="374" t="s">
        <v>121</v>
      </c>
      <c r="C87" s="375"/>
      <c r="D87" s="375"/>
      <c r="E87" s="170">
        <v>0</v>
      </c>
      <c r="F87" s="168">
        <f t="shared" si="23"/>
        <v>370732.87089999998</v>
      </c>
      <c r="G87" s="167">
        <f>375808.1+G41-5175.2291+100</f>
        <v>370732.87089999998</v>
      </c>
      <c r="H87" s="167">
        <f>379358.914+H36-379358.914</f>
        <v>0</v>
      </c>
      <c r="I87" s="167">
        <f>379358.914+I36-379358.914</f>
        <v>0</v>
      </c>
      <c r="J87" s="167">
        <f>379358.914+J36-379358.914</f>
        <v>0</v>
      </c>
      <c r="K87" s="167">
        <f>379358.914+K36-379358.914</f>
        <v>0</v>
      </c>
    </row>
    <row r="88" spans="2:28" ht="18.75" x14ac:dyDescent="0.3">
      <c r="B88" s="374" t="s">
        <v>24</v>
      </c>
      <c r="C88" s="375"/>
      <c r="D88" s="375"/>
      <c r="E88" s="167">
        <v>0</v>
      </c>
      <c r="F88" s="168">
        <f t="shared" si="23"/>
        <v>67644.227650000001</v>
      </c>
      <c r="G88" s="167">
        <f>67644.22765</f>
        <v>67644.227650000001</v>
      </c>
      <c r="H88" s="167">
        <f>68725.479-68725.479</f>
        <v>0</v>
      </c>
      <c r="I88" s="167">
        <f>68725.479-68725.479</f>
        <v>0</v>
      </c>
      <c r="J88" s="167">
        <f>68725.479-68725.479</f>
        <v>0</v>
      </c>
      <c r="K88" s="167">
        <f>68725.479-68725.479</f>
        <v>0</v>
      </c>
    </row>
    <row r="89" spans="2:28" ht="18.75" x14ac:dyDescent="0.3">
      <c r="B89" s="365" t="s">
        <v>122</v>
      </c>
      <c r="C89" s="366"/>
      <c r="D89" s="366"/>
      <c r="E89" s="169">
        <f>SUM(E85:E88)</f>
        <v>0</v>
      </c>
      <c r="F89" s="168">
        <f>SUM(G89:K89)</f>
        <v>438377.09855</v>
      </c>
      <c r="G89" s="169">
        <f>SUM(G85:G88)</f>
        <v>438377.09855</v>
      </c>
      <c r="H89" s="169">
        <f>SUM(H85:H88)</f>
        <v>0</v>
      </c>
      <c r="I89" s="169">
        <f>SUM(I85:I88)</f>
        <v>0</v>
      </c>
      <c r="J89" s="169">
        <f>SUM(J85:J88)</f>
        <v>0</v>
      </c>
      <c r="K89" s="169">
        <f>SUM(K85:K88)</f>
        <v>0</v>
      </c>
    </row>
    <row r="90" spans="2:28" ht="18.75" x14ac:dyDescent="0.3">
      <c r="B90" s="374" t="s">
        <v>65</v>
      </c>
      <c r="C90" s="375"/>
      <c r="D90" s="375"/>
      <c r="E90" s="167">
        <f>E76-E85</f>
        <v>0</v>
      </c>
      <c r="F90" s="168">
        <f t="shared" si="23"/>
        <v>0</v>
      </c>
      <c r="G90" s="167">
        <f t="shared" ref="G90:K91" si="25">G76-G85</f>
        <v>0</v>
      </c>
      <c r="H90" s="167">
        <f t="shared" si="25"/>
        <v>0</v>
      </c>
      <c r="I90" s="167">
        <f t="shared" si="25"/>
        <v>0</v>
      </c>
      <c r="J90" s="167">
        <f t="shared" si="25"/>
        <v>0</v>
      </c>
      <c r="K90" s="167">
        <f t="shared" si="25"/>
        <v>0</v>
      </c>
    </row>
    <row r="91" spans="2:28" ht="18.75" x14ac:dyDescent="0.3">
      <c r="B91" s="374" t="s">
        <v>2</v>
      </c>
      <c r="C91" s="375"/>
      <c r="D91" s="375"/>
      <c r="E91" s="167" t="e">
        <f>E77-E86</f>
        <v>#REF!</v>
      </c>
      <c r="F91" s="168">
        <f t="shared" si="23"/>
        <v>3984</v>
      </c>
      <c r="G91" s="167">
        <f t="shared" si="25"/>
        <v>0</v>
      </c>
      <c r="H91" s="167">
        <f t="shared" si="25"/>
        <v>0</v>
      </c>
      <c r="I91" s="167">
        <f>I77-I86</f>
        <v>3984</v>
      </c>
      <c r="J91" s="167">
        <f t="shared" si="25"/>
        <v>0</v>
      </c>
      <c r="K91" s="167">
        <f t="shared" si="25"/>
        <v>0</v>
      </c>
    </row>
    <row r="92" spans="2:28" ht="18.75" x14ac:dyDescent="0.3">
      <c r="B92" s="374" t="s">
        <v>77</v>
      </c>
      <c r="C92" s="375"/>
      <c r="D92" s="375"/>
      <c r="E92" s="167" t="e">
        <f>E78-E87</f>
        <v>#REF!</v>
      </c>
      <c r="F92" s="168">
        <f t="shared" si="23"/>
        <v>531701.67235000001</v>
      </c>
      <c r="G92" s="167">
        <f>G78-G87-G83</f>
        <v>94658.745679999993</v>
      </c>
      <c r="H92" s="167">
        <f>H78-H87-H83</f>
        <v>104501.56200000002</v>
      </c>
      <c r="I92" s="167">
        <f>I78-I87-I83</f>
        <v>117235.95266999998</v>
      </c>
      <c r="J92" s="167">
        <f>J78-J87-J83</f>
        <v>107652.70599999998</v>
      </c>
      <c r="K92" s="167">
        <f>K78-K87-K83</f>
        <v>107652.70599999998</v>
      </c>
    </row>
    <row r="93" spans="2:28" ht="18.75" x14ac:dyDescent="0.3">
      <c r="B93" s="374" t="s">
        <v>24</v>
      </c>
      <c r="C93" s="375"/>
      <c r="D93" s="375"/>
      <c r="E93" s="167">
        <f>E79-E88</f>
        <v>13879.4</v>
      </c>
      <c r="F93" s="168">
        <f t="shared" si="23"/>
        <v>116570.7877</v>
      </c>
      <c r="G93" s="167">
        <f>G79-G88</f>
        <v>11881.469000000012</v>
      </c>
      <c r="H93" s="167">
        <f>H79-H88</f>
        <v>20265.064600000002</v>
      </c>
      <c r="I93" s="167">
        <f>I79-I88</f>
        <v>20702.650099999999</v>
      </c>
      <c r="J93" s="167">
        <f>J79-J88</f>
        <v>31860.802</v>
      </c>
      <c r="K93" s="167">
        <f>K79-K88</f>
        <v>31860.802</v>
      </c>
    </row>
    <row r="94" spans="2:28" ht="18.75" x14ac:dyDescent="0.3">
      <c r="B94" s="365" t="s">
        <v>41</v>
      </c>
      <c r="C94" s="366"/>
      <c r="D94" s="366"/>
      <c r="E94" s="169" t="e">
        <f>SUM(E90:E93)</f>
        <v>#REF!</v>
      </c>
      <c r="F94" s="168">
        <f t="shared" si="23"/>
        <v>652256.46004999999</v>
      </c>
      <c r="G94" s="169">
        <f>SUM(G90:G93)</f>
        <v>106540.21468</v>
      </c>
      <c r="H94" s="169">
        <f>SUM(H90:H93)</f>
        <v>124766.62660000002</v>
      </c>
      <c r="I94" s="169">
        <f>SUM(I90:I93)</f>
        <v>141922.60277</v>
      </c>
      <c r="J94" s="169">
        <f>SUM(J90:J93)</f>
        <v>139513.50799999997</v>
      </c>
      <c r="K94" s="169">
        <f>SUM(K90:K93)</f>
        <v>139513.50799999997</v>
      </c>
    </row>
    <row r="95" spans="2:28" x14ac:dyDescent="0.25">
      <c r="E95" s="100"/>
      <c r="F95" s="166"/>
      <c r="G95" s="100"/>
      <c r="H95" s="112"/>
      <c r="I95" s="112"/>
      <c r="J95" s="100"/>
      <c r="K95" s="100"/>
    </row>
    <row r="96" spans="2:28" x14ac:dyDescent="0.25">
      <c r="E96" s="100"/>
      <c r="F96" s="100">
        <f t="shared" ref="F96:K96" si="26">F89+F94+F84</f>
        <v>1100865.0879800001</v>
      </c>
      <c r="G96" s="100">
        <f t="shared" si="26"/>
        <v>545241.40600999992</v>
      </c>
      <c r="H96" s="100">
        <f t="shared" si="26"/>
        <v>125284.40130000001</v>
      </c>
      <c r="I96" s="100">
        <f t="shared" si="26"/>
        <v>150983.13266999999</v>
      </c>
      <c r="J96" s="100">
        <f t="shared" si="26"/>
        <v>139678.07399999996</v>
      </c>
      <c r="K96" s="100">
        <f t="shared" si="26"/>
        <v>139678.07399999996</v>
      </c>
      <c r="L96" s="100"/>
    </row>
    <row r="97" spans="5:11" x14ac:dyDescent="0.25">
      <c r="E97" s="100"/>
      <c r="F97" s="166"/>
      <c r="G97" s="100"/>
      <c r="H97" s="112"/>
      <c r="I97" s="112"/>
      <c r="J97" s="100"/>
      <c r="K97" s="100"/>
    </row>
    <row r="99" spans="5:11" x14ac:dyDescent="0.25">
      <c r="H99" s="83">
        <v>104085.35100000002</v>
      </c>
      <c r="I99" s="83">
        <v>103817.23000000001</v>
      </c>
      <c r="J99" s="2">
        <v>103817.23000000001</v>
      </c>
    </row>
    <row r="100" spans="5:11" x14ac:dyDescent="0.25">
      <c r="H100" s="112">
        <f>H92-H99</f>
        <v>416.21099999999569</v>
      </c>
      <c r="I100" s="112">
        <f>I92-I99</f>
        <v>13418.722669999974</v>
      </c>
      <c r="J100" s="112">
        <f>J92-J99</f>
        <v>3835.475999999966</v>
      </c>
    </row>
  </sheetData>
  <mergeCells count="138">
    <mergeCell ref="B93:D93"/>
    <mergeCell ref="B94:D94"/>
    <mergeCell ref="B87:D87"/>
    <mergeCell ref="B89:D89"/>
    <mergeCell ref="B91:D91"/>
    <mergeCell ref="B92:D92"/>
    <mergeCell ref="A78:D78"/>
    <mergeCell ref="A77:D77"/>
    <mergeCell ref="A75:D75"/>
    <mergeCell ref="A76:D76"/>
    <mergeCell ref="B86:D86"/>
    <mergeCell ref="A79:D79"/>
    <mergeCell ref="B88:D88"/>
    <mergeCell ref="B90:D90"/>
    <mergeCell ref="B82:D82"/>
    <mergeCell ref="B83:D83"/>
    <mergeCell ref="B84:D84"/>
    <mergeCell ref="B85:D85"/>
    <mergeCell ref="A37:A39"/>
    <mergeCell ref="B37:B39"/>
    <mergeCell ref="L63:L65"/>
    <mergeCell ref="M7:M8"/>
    <mergeCell ref="A20:A22"/>
    <mergeCell ref="B20:B22"/>
    <mergeCell ref="C20:C22"/>
    <mergeCell ref="A10:A12"/>
    <mergeCell ref="B10:B12"/>
    <mergeCell ref="C10:C12"/>
    <mergeCell ref="L10:L12"/>
    <mergeCell ref="M10:M12"/>
    <mergeCell ref="M63:M65"/>
    <mergeCell ref="A63:A65"/>
    <mergeCell ref="B63:B65"/>
    <mergeCell ref="C63:C65"/>
    <mergeCell ref="A23:A24"/>
    <mergeCell ref="B23:B24"/>
    <mergeCell ref="C23:C24"/>
    <mergeCell ref="L23:L24"/>
    <mergeCell ref="M23:M24"/>
    <mergeCell ref="A33:A36"/>
    <mergeCell ref="B33:B36"/>
    <mergeCell ref="C33:C36"/>
    <mergeCell ref="E2:E4"/>
    <mergeCell ref="M2:M4"/>
    <mergeCell ref="A6:M6"/>
    <mergeCell ref="L2:L4"/>
    <mergeCell ref="G2:K3"/>
    <mergeCell ref="A2:A4"/>
    <mergeCell ref="A7:A8"/>
    <mergeCell ref="B7:B8"/>
    <mergeCell ref="C7:C8"/>
    <mergeCell ref="B2:B4"/>
    <mergeCell ref="C2:C4"/>
    <mergeCell ref="D2:D4"/>
    <mergeCell ref="F2:F4"/>
    <mergeCell ref="L7:L8"/>
    <mergeCell ref="L33:L36"/>
    <mergeCell ref="M33:M36"/>
    <mergeCell ref="A42:A43"/>
    <mergeCell ref="B42:B43"/>
    <mergeCell ref="C42:C43"/>
    <mergeCell ref="L42:L43"/>
    <mergeCell ref="M42:M43"/>
    <mergeCell ref="A40:A41"/>
    <mergeCell ref="A59:A62"/>
    <mergeCell ref="B59:B62"/>
    <mergeCell ref="C59:C62"/>
    <mergeCell ref="L59:L62"/>
    <mergeCell ref="M59:M62"/>
    <mergeCell ref="M40:M41"/>
    <mergeCell ref="A47:A48"/>
    <mergeCell ref="B47:B48"/>
    <mergeCell ref="C47:C48"/>
    <mergeCell ref="M47:M48"/>
    <mergeCell ref="A44:A46"/>
    <mergeCell ref="B44:B46"/>
    <mergeCell ref="C44:C46"/>
    <mergeCell ref="L44:L46"/>
    <mergeCell ref="M44:M46"/>
    <mergeCell ref="L47:L48"/>
    <mergeCell ref="M66:M67"/>
    <mergeCell ref="A68:A71"/>
    <mergeCell ref="B68:B71"/>
    <mergeCell ref="C68:C71"/>
    <mergeCell ref="L68:L71"/>
    <mergeCell ref="M68:M71"/>
    <mergeCell ref="B40:B41"/>
    <mergeCell ref="C40:C41"/>
    <mergeCell ref="L40:L41"/>
    <mergeCell ref="A54:A56"/>
    <mergeCell ref="B54:B56"/>
    <mergeCell ref="C54:C56"/>
    <mergeCell ref="L54:L56"/>
    <mergeCell ref="M54:M56"/>
    <mergeCell ref="A57:A58"/>
    <mergeCell ref="B57:B58"/>
    <mergeCell ref="C57:C58"/>
    <mergeCell ref="A13:A14"/>
    <mergeCell ref="B13:B14"/>
    <mergeCell ref="C13:C14"/>
    <mergeCell ref="L13:L14"/>
    <mergeCell ref="M13:M14"/>
    <mergeCell ref="A29:A30"/>
    <mergeCell ref="B29:B30"/>
    <mergeCell ref="C29:C30"/>
    <mergeCell ref="L29:L30"/>
    <mergeCell ref="M29:M30"/>
    <mergeCell ref="L20:L22"/>
    <mergeCell ref="M20:M22"/>
    <mergeCell ref="A25:A26"/>
    <mergeCell ref="B25:B26"/>
    <mergeCell ref="C25:C26"/>
    <mergeCell ref="M25:M26"/>
    <mergeCell ref="L25:L26"/>
    <mergeCell ref="L72:L74"/>
    <mergeCell ref="M72:M74"/>
    <mergeCell ref="A72:A74"/>
    <mergeCell ref="B72:B74"/>
    <mergeCell ref="C72:C74"/>
    <mergeCell ref="A66:A67"/>
    <mergeCell ref="L57:L58"/>
    <mergeCell ref="M57:M58"/>
    <mergeCell ref="A27:A28"/>
    <mergeCell ref="B27:B28"/>
    <mergeCell ref="C27:C28"/>
    <mergeCell ref="L27:L28"/>
    <mergeCell ref="M27:M28"/>
    <mergeCell ref="A50:A53"/>
    <mergeCell ref="B50:B53"/>
    <mergeCell ref="C50:C53"/>
    <mergeCell ref="L50:L53"/>
    <mergeCell ref="M50:M53"/>
    <mergeCell ref="L37:L39"/>
    <mergeCell ref="M37:M39"/>
    <mergeCell ref="C37:C39"/>
    <mergeCell ref="B66:B67"/>
    <mergeCell ref="C66:C67"/>
    <mergeCell ref="L66:L67"/>
  </mergeCells>
  <pageMargins left="0.19685039370078741" right="0.19685039370078741" top="0.59055118110236227" bottom="0.19685039370078741" header="0.39370078740157483" footer="0"/>
  <pageSetup paperSize="9" scale="47" firstPageNumber="12" fitToHeight="0" orientation="landscape" useFirstPageNumber="1" r:id="rId1"/>
  <headerFooter alignWithMargins="0">
    <oddHeader>&amp;C&amp;"Times New Roman,обычный"&amp;12&amp;K000000&amp;P</oddHeader>
  </headerFooter>
  <rowBreaks count="2" manualBreakCount="2">
    <brk id="19" max="12" man="1"/>
    <brk id="5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1"/>
  <sheetViews>
    <sheetView view="pageBreakPreview" zoomScale="70" zoomScaleNormal="70" zoomScaleSheetLayoutView="70" workbookViewId="0">
      <selection activeCell="H22" sqref="H22"/>
    </sheetView>
  </sheetViews>
  <sheetFormatPr defaultColWidth="9.140625" defaultRowHeight="15" x14ac:dyDescent="0.25"/>
  <cols>
    <col min="1" max="1" width="6.7109375" style="2" customWidth="1"/>
    <col min="2" max="2" width="70.710937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1.140625" style="22" customWidth="1"/>
    <col min="7" max="7" width="15.85546875" style="2" customWidth="1"/>
    <col min="8" max="8" width="15.85546875" style="83" customWidth="1"/>
    <col min="9" max="9" width="18.28515625" style="83" customWidth="1"/>
    <col min="10" max="10" width="17.28515625" style="2" customWidth="1"/>
    <col min="11" max="11" width="17.42578125" style="2" customWidth="1"/>
    <col min="12" max="12" width="26.5703125" style="2" customWidth="1"/>
    <col min="13" max="13" width="50.570312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6" ht="9" customHeight="1" x14ac:dyDescent="0.25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529"/>
      <c r="M1" s="529"/>
      <c r="N1" s="92"/>
      <c r="O1" s="92"/>
      <c r="P1" s="92"/>
    </row>
    <row r="2" spans="1:16" ht="6" customHeight="1" thickBot="1" x14ac:dyDescent="0.3">
      <c r="A2" s="1"/>
      <c r="B2" s="3"/>
      <c r="C2" s="4"/>
      <c r="D2" s="5"/>
      <c r="E2" s="5"/>
      <c r="F2" s="24"/>
      <c r="G2" s="6"/>
      <c r="H2" s="79"/>
      <c r="I2" s="79"/>
      <c r="J2" s="6"/>
      <c r="K2" s="6"/>
      <c r="L2" s="92"/>
      <c r="M2" s="92"/>
      <c r="N2" s="92"/>
      <c r="O2" s="92"/>
      <c r="P2" s="92"/>
    </row>
    <row r="3" spans="1:16" ht="29.25" customHeight="1" x14ac:dyDescent="0.25">
      <c r="A3" s="515" t="s">
        <v>0</v>
      </c>
      <c r="B3" s="523" t="s">
        <v>8</v>
      </c>
      <c r="C3" s="523" t="s">
        <v>74</v>
      </c>
      <c r="D3" s="523" t="s">
        <v>9</v>
      </c>
      <c r="E3" s="523" t="s">
        <v>93</v>
      </c>
      <c r="F3" s="530" t="s">
        <v>10</v>
      </c>
      <c r="G3" s="523" t="s">
        <v>23</v>
      </c>
      <c r="H3" s="523"/>
      <c r="I3" s="523"/>
      <c r="J3" s="523"/>
      <c r="K3" s="523"/>
      <c r="L3" s="523" t="s">
        <v>11</v>
      </c>
      <c r="M3" s="525" t="s">
        <v>4</v>
      </c>
      <c r="N3" s="68"/>
      <c r="O3" s="68"/>
      <c r="P3" s="68"/>
    </row>
    <row r="4" spans="1:16" ht="57" customHeight="1" x14ac:dyDescent="0.25">
      <c r="A4" s="516"/>
      <c r="B4" s="524"/>
      <c r="C4" s="524"/>
      <c r="D4" s="524"/>
      <c r="E4" s="524"/>
      <c r="F4" s="531"/>
      <c r="G4" s="39" t="s">
        <v>94</v>
      </c>
      <c r="H4" s="86" t="s">
        <v>57</v>
      </c>
      <c r="I4" s="86" t="s">
        <v>70</v>
      </c>
      <c r="J4" s="39" t="s">
        <v>71</v>
      </c>
      <c r="K4" s="39" t="s">
        <v>72</v>
      </c>
      <c r="L4" s="524"/>
      <c r="M4" s="526"/>
      <c r="N4" s="68" t="s">
        <v>66</v>
      </c>
      <c r="O4" s="68" t="s">
        <v>67</v>
      </c>
      <c r="P4" s="68"/>
    </row>
    <row r="5" spans="1:16" ht="18.75" x14ac:dyDescent="0.25">
      <c r="A5" s="8" t="s">
        <v>17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16" ht="34.5" customHeight="1" x14ac:dyDescent="0.25">
      <c r="A6" s="40"/>
      <c r="B6" s="520" t="s">
        <v>131</v>
      </c>
      <c r="C6" s="520"/>
      <c r="D6" s="521"/>
      <c r="E6" s="521"/>
      <c r="F6" s="521"/>
      <c r="G6" s="521"/>
      <c r="H6" s="521"/>
      <c r="I6" s="521"/>
      <c r="J6" s="521"/>
      <c r="K6" s="521"/>
      <c r="L6" s="521"/>
      <c r="M6" s="522"/>
      <c r="N6" s="69"/>
      <c r="O6" s="69"/>
      <c r="P6" s="69"/>
    </row>
    <row r="7" spans="1:16" s="133" customFormat="1" ht="43.5" customHeight="1" x14ac:dyDescent="0.25">
      <c r="A7" s="517" t="s">
        <v>17</v>
      </c>
      <c r="B7" s="518" t="s">
        <v>183</v>
      </c>
      <c r="C7" s="519" t="s">
        <v>73</v>
      </c>
      <c r="D7" s="27" t="s">
        <v>5</v>
      </c>
      <c r="E7" s="141">
        <f>E8</f>
        <v>0</v>
      </c>
      <c r="F7" s="117">
        <f t="shared" ref="F7:F15" si="0">SUM(G7:K7)</f>
        <v>0</v>
      </c>
      <c r="G7" s="141">
        <f>G8</f>
        <v>0</v>
      </c>
      <c r="H7" s="141">
        <f t="shared" ref="H7:K8" si="1">H8</f>
        <v>0</v>
      </c>
      <c r="I7" s="141">
        <f t="shared" si="1"/>
        <v>0</v>
      </c>
      <c r="J7" s="141">
        <f t="shared" si="1"/>
        <v>0</v>
      </c>
      <c r="K7" s="141">
        <f t="shared" si="1"/>
        <v>0</v>
      </c>
      <c r="L7" s="527"/>
      <c r="M7" s="528"/>
      <c r="N7" s="153"/>
      <c r="O7" s="153"/>
      <c r="P7" s="153"/>
    </row>
    <row r="8" spans="1:16" s="133" customFormat="1" ht="72" customHeight="1" x14ac:dyDescent="0.25">
      <c r="A8" s="517"/>
      <c r="B8" s="518"/>
      <c r="C8" s="519"/>
      <c r="D8" s="27" t="s">
        <v>2</v>
      </c>
      <c r="E8" s="142">
        <f>E9</f>
        <v>0</v>
      </c>
      <c r="F8" s="117">
        <f t="shared" si="0"/>
        <v>0</v>
      </c>
      <c r="G8" s="142">
        <f>G9</f>
        <v>0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527"/>
      <c r="M8" s="528"/>
      <c r="N8" s="154"/>
      <c r="O8" s="154"/>
      <c r="P8" s="154"/>
    </row>
    <row r="9" spans="1:16" ht="200.25" customHeight="1" x14ac:dyDescent="0.25">
      <c r="A9" s="148" t="s">
        <v>42</v>
      </c>
      <c r="B9" s="149" t="s">
        <v>245</v>
      </c>
      <c r="C9" s="150" t="s">
        <v>73</v>
      </c>
      <c r="D9" s="136" t="s">
        <v>2</v>
      </c>
      <c r="E9" s="137">
        <v>0</v>
      </c>
      <c r="F9" s="118">
        <f t="shared" si="0"/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51" t="s">
        <v>6</v>
      </c>
      <c r="M9" s="152" t="s">
        <v>95</v>
      </c>
      <c r="N9" s="119">
        <f>('[1]Лист 1'!$F$476+'[1]Лист 1'!$F$477)/1000</f>
        <v>16611.023000000001</v>
      </c>
      <c r="O9" s="28">
        <v>16611.023000000001</v>
      </c>
      <c r="P9" s="74">
        <f>N9-O9</f>
        <v>0</v>
      </c>
    </row>
    <row r="10" spans="1:16" s="133" customFormat="1" ht="34.5" hidden="1" customHeight="1" x14ac:dyDescent="0.25">
      <c r="A10" s="517" t="s">
        <v>165</v>
      </c>
      <c r="B10" s="518" t="s">
        <v>111</v>
      </c>
      <c r="C10" s="519" t="s">
        <v>73</v>
      </c>
      <c r="D10" s="27" t="s">
        <v>5</v>
      </c>
      <c r="E10" s="141">
        <f>E11</f>
        <v>0</v>
      </c>
      <c r="F10" s="117">
        <f t="shared" si="0"/>
        <v>0</v>
      </c>
      <c r="G10" s="141">
        <f>G11</f>
        <v>0</v>
      </c>
      <c r="H10" s="141">
        <f t="shared" ref="H10:K11" si="2">H11</f>
        <v>0</v>
      </c>
      <c r="I10" s="141">
        <f t="shared" si="2"/>
        <v>0</v>
      </c>
      <c r="J10" s="141">
        <f t="shared" si="2"/>
        <v>0</v>
      </c>
      <c r="K10" s="141">
        <f t="shared" si="2"/>
        <v>0</v>
      </c>
      <c r="L10" s="527"/>
      <c r="M10" s="528"/>
      <c r="N10" s="153"/>
      <c r="O10" s="153"/>
      <c r="P10" s="153"/>
    </row>
    <row r="11" spans="1:16" s="133" customFormat="1" ht="56.25" hidden="1" x14ac:dyDescent="0.25">
      <c r="A11" s="517"/>
      <c r="B11" s="518"/>
      <c r="C11" s="519"/>
      <c r="D11" s="27" t="s">
        <v>79</v>
      </c>
      <c r="E11" s="142">
        <f>E12</f>
        <v>0</v>
      </c>
      <c r="F11" s="117">
        <f t="shared" si="0"/>
        <v>0</v>
      </c>
      <c r="G11" s="142">
        <f>G12</f>
        <v>0</v>
      </c>
      <c r="H11" s="142">
        <f t="shared" si="2"/>
        <v>0</v>
      </c>
      <c r="I11" s="142">
        <f t="shared" si="2"/>
        <v>0</v>
      </c>
      <c r="J11" s="142">
        <f t="shared" si="2"/>
        <v>0</v>
      </c>
      <c r="K11" s="142">
        <f t="shared" si="2"/>
        <v>0</v>
      </c>
      <c r="L11" s="527"/>
      <c r="M11" s="528"/>
      <c r="N11" s="154"/>
      <c r="O11" s="154"/>
      <c r="P11" s="154"/>
    </row>
    <row r="12" spans="1:16" ht="56.25" hidden="1" x14ac:dyDescent="0.25">
      <c r="A12" s="148" t="s">
        <v>46</v>
      </c>
      <c r="B12" s="149" t="s">
        <v>184</v>
      </c>
      <c r="C12" s="150" t="s">
        <v>73</v>
      </c>
      <c r="D12" s="136" t="s">
        <v>79</v>
      </c>
      <c r="E12" s="137">
        <v>0</v>
      </c>
      <c r="F12" s="118">
        <f t="shared" si="0"/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51" t="s">
        <v>6</v>
      </c>
      <c r="M12" s="152" t="s">
        <v>112</v>
      </c>
      <c r="N12" s="119">
        <f>('[1]Лист 1'!$F$476+'[1]Лист 1'!$F$477)/1000</f>
        <v>16611.023000000001</v>
      </c>
      <c r="O12" s="28">
        <v>16611.023000000001</v>
      </c>
      <c r="P12" s="74">
        <f>N12-O12</f>
        <v>0</v>
      </c>
    </row>
    <row r="13" spans="1:16" ht="18.75" x14ac:dyDescent="0.25">
      <c r="A13" s="532" t="s">
        <v>29</v>
      </c>
      <c r="B13" s="533"/>
      <c r="C13" s="533"/>
      <c r="D13" s="533"/>
      <c r="E13" s="103">
        <f>E14+E15</f>
        <v>0</v>
      </c>
      <c r="F13" s="143">
        <f t="shared" si="0"/>
        <v>0</v>
      </c>
      <c r="G13" s="103">
        <f>G14+G15</f>
        <v>0</v>
      </c>
      <c r="H13" s="103">
        <f>H14+H15</f>
        <v>0</v>
      </c>
      <c r="I13" s="103">
        <f>I14+I15</f>
        <v>0</v>
      </c>
      <c r="J13" s="103">
        <f>J14+J15</f>
        <v>0</v>
      </c>
      <c r="K13" s="103">
        <f>K14+K15</f>
        <v>0</v>
      </c>
      <c r="L13" s="30"/>
      <c r="M13" s="41"/>
      <c r="N13" s="71"/>
      <c r="O13" s="71"/>
      <c r="P13" s="71"/>
    </row>
    <row r="14" spans="1:16" ht="18.75" x14ac:dyDescent="0.25">
      <c r="A14" s="509" t="s">
        <v>2</v>
      </c>
      <c r="B14" s="510"/>
      <c r="C14" s="510"/>
      <c r="D14" s="510"/>
      <c r="E14" s="104">
        <f>E8</f>
        <v>0</v>
      </c>
      <c r="F14" s="143">
        <f t="shared" si="0"/>
        <v>0</v>
      </c>
      <c r="G14" s="104">
        <f>G8</f>
        <v>0</v>
      </c>
      <c r="H14" s="104">
        <f>H8</f>
        <v>0</v>
      </c>
      <c r="I14" s="104">
        <f>I8</f>
        <v>0</v>
      </c>
      <c r="J14" s="104">
        <f>J8</f>
        <v>0</v>
      </c>
      <c r="K14" s="104">
        <f>K8</f>
        <v>0</v>
      </c>
      <c r="L14" s="31"/>
      <c r="M14" s="42"/>
      <c r="N14" s="72"/>
      <c r="O14" s="72"/>
      <c r="P14" s="72"/>
    </row>
    <row r="15" spans="1:16" ht="19.5" thickBot="1" x14ac:dyDescent="0.3">
      <c r="A15" s="513" t="s">
        <v>77</v>
      </c>
      <c r="B15" s="514"/>
      <c r="C15" s="514"/>
      <c r="D15" s="514"/>
      <c r="E15" s="120">
        <f>E11</f>
        <v>0</v>
      </c>
      <c r="F15" s="144">
        <f t="shared" si="0"/>
        <v>0</v>
      </c>
      <c r="G15" s="120">
        <f>G11</f>
        <v>0</v>
      </c>
      <c r="H15" s="120">
        <f>H11</f>
        <v>0</v>
      </c>
      <c r="I15" s="120">
        <f>I11</f>
        <v>0</v>
      </c>
      <c r="J15" s="120">
        <f>J11</f>
        <v>0</v>
      </c>
      <c r="K15" s="120">
        <f>K11</f>
        <v>0</v>
      </c>
      <c r="L15" s="121"/>
      <c r="M15" s="122"/>
      <c r="N15" s="72"/>
      <c r="O15" s="72"/>
      <c r="P15" s="72"/>
    </row>
    <row r="16" spans="1:16" ht="15.75" x14ac:dyDescent="0.25">
      <c r="A16" s="43"/>
      <c r="B16" s="43"/>
      <c r="C16" s="44"/>
      <c r="D16" s="44"/>
      <c r="E16" s="44"/>
      <c r="F16" s="45"/>
      <c r="G16" s="46"/>
      <c r="H16" s="87"/>
      <c r="I16" s="113"/>
      <c r="J16" s="47"/>
      <c r="K16" s="47"/>
      <c r="L16" s="43"/>
      <c r="M16" s="43"/>
      <c r="N16" s="43"/>
      <c r="O16" s="43"/>
      <c r="P16" s="43"/>
    </row>
    <row r="17" spans="3:11" ht="15.75" x14ac:dyDescent="0.25">
      <c r="E17" s="12"/>
      <c r="F17" s="19"/>
      <c r="G17" s="12"/>
      <c r="H17" s="88"/>
    </row>
    <row r="18" spans="3:11" ht="15.75" x14ac:dyDescent="0.25">
      <c r="C18" s="18"/>
      <c r="D18" s="18"/>
      <c r="E18" s="18"/>
      <c r="F18" s="48"/>
      <c r="G18" s="18"/>
      <c r="H18" s="89"/>
      <c r="I18" s="89"/>
      <c r="J18" s="18"/>
      <c r="K18" s="18"/>
    </row>
    <row r="19" spans="3:11" x14ac:dyDescent="0.25">
      <c r="E19" s="12"/>
    </row>
    <row r="20" spans="3:11" x14ac:dyDescent="0.25">
      <c r="E20" s="12"/>
      <c r="F20" s="49"/>
      <c r="G20" s="26"/>
      <c r="H20" s="84"/>
      <c r="I20" s="84"/>
      <c r="J20" s="26"/>
      <c r="K20" s="26"/>
    </row>
    <row r="21" spans="3:11" x14ac:dyDescent="0.25">
      <c r="E21" s="12"/>
      <c r="F21" s="49"/>
      <c r="G21" s="26"/>
      <c r="H21" s="84"/>
      <c r="I21" s="81"/>
      <c r="J21" s="12"/>
      <c r="K21" s="12"/>
    </row>
    <row r="22" spans="3:11" x14ac:dyDescent="0.25">
      <c r="E22" s="12"/>
      <c r="F22" s="49"/>
      <c r="G22" s="26"/>
      <c r="H22" s="84"/>
      <c r="I22" s="84"/>
      <c r="J22" s="26"/>
      <c r="K22" s="26"/>
    </row>
    <row r="23" spans="3:11" x14ac:dyDescent="0.25">
      <c r="E23" s="26"/>
      <c r="F23" s="49"/>
      <c r="G23" s="26"/>
      <c r="H23" s="84"/>
      <c r="I23" s="84"/>
      <c r="J23" s="26"/>
      <c r="K23" s="26"/>
    </row>
    <row r="24" spans="3:11" x14ac:dyDescent="0.25">
      <c r="F24" s="49"/>
      <c r="G24" s="26"/>
    </row>
    <row r="25" spans="3:11" x14ac:dyDescent="0.25">
      <c r="E25" s="26"/>
      <c r="F25" s="49"/>
      <c r="G25" s="26"/>
      <c r="H25" s="84"/>
      <c r="I25" s="84"/>
      <c r="J25" s="26"/>
      <c r="K25" s="26"/>
    </row>
    <row r="26" spans="3:11" x14ac:dyDescent="0.25">
      <c r="E26" s="26"/>
      <c r="F26" s="49"/>
      <c r="G26" s="26"/>
      <c r="H26" s="84"/>
      <c r="I26" s="84"/>
      <c r="J26" s="26"/>
      <c r="K26" s="26"/>
    </row>
    <row r="27" spans="3:11" x14ac:dyDescent="0.25">
      <c r="F27" s="49"/>
      <c r="G27" s="26"/>
      <c r="H27" s="84"/>
    </row>
    <row r="29" spans="3:11" x14ac:dyDescent="0.25">
      <c r="F29" s="49"/>
      <c r="G29" s="26"/>
      <c r="H29" s="84"/>
      <c r="I29" s="84"/>
      <c r="J29" s="26"/>
      <c r="K29" s="26"/>
    </row>
    <row r="30" spans="3:11" x14ac:dyDescent="0.25">
      <c r="F30" s="49"/>
      <c r="G30" s="26"/>
      <c r="H30" s="84"/>
      <c r="I30" s="84"/>
      <c r="J30" s="26"/>
      <c r="K30" s="26"/>
    </row>
    <row r="31" spans="3:11" x14ac:dyDescent="0.25">
      <c r="F31" s="19"/>
      <c r="G31" s="12"/>
      <c r="H31" s="81"/>
      <c r="I31" s="81"/>
      <c r="J31" s="12"/>
      <c r="K31" s="12"/>
    </row>
  </sheetData>
  <mergeCells count="24">
    <mergeCell ref="L1:M1"/>
    <mergeCell ref="F3:F4"/>
    <mergeCell ref="L3:L4"/>
    <mergeCell ref="G3:K3"/>
    <mergeCell ref="A14:D14"/>
    <mergeCell ref="A13:D13"/>
    <mergeCell ref="L10:L11"/>
    <mergeCell ref="M10:M11"/>
    <mergeCell ref="A15:D15"/>
    <mergeCell ref="A3:A4"/>
    <mergeCell ref="A7:A8"/>
    <mergeCell ref="B7:B8"/>
    <mergeCell ref="C7:C8"/>
    <mergeCell ref="B6:M6"/>
    <mergeCell ref="D3:D4"/>
    <mergeCell ref="E3:E4"/>
    <mergeCell ref="B3:B4"/>
    <mergeCell ref="C3:C4"/>
    <mergeCell ref="M3:M4"/>
    <mergeCell ref="A10:A11"/>
    <mergeCell ref="B10:B11"/>
    <mergeCell ref="C10:C11"/>
    <mergeCell ref="L7:L8"/>
    <mergeCell ref="M7:M8"/>
  </mergeCells>
  <pageMargins left="0.19685039370078741" right="0.19685039370078741" top="0.59055118110236227" bottom="0.39370078740157483" header="0.39370078740157483" footer="0"/>
  <pageSetup paperSize="9" scale="46" firstPageNumber="15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5"/>
  <sheetViews>
    <sheetView view="pageBreakPreview" topLeftCell="A7" zoomScale="70" zoomScaleNormal="70" zoomScaleSheetLayoutView="70" workbookViewId="0">
      <selection activeCell="J13" sqref="J13"/>
    </sheetView>
  </sheetViews>
  <sheetFormatPr defaultColWidth="9.140625" defaultRowHeight="15" x14ac:dyDescent="0.25"/>
  <cols>
    <col min="1" max="1" width="6.7109375" style="2" customWidth="1"/>
    <col min="2" max="2" width="69.570312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2.7109375" style="22" customWidth="1"/>
    <col min="7" max="7" width="21.5703125" style="2" customWidth="1"/>
    <col min="8" max="8" width="22.85546875" style="83" customWidth="1"/>
    <col min="9" max="9" width="21.5703125" style="83" customWidth="1"/>
    <col min="10" max="11" width="22" style="2" customWidth="1"/>
    <col min="12" max="12" width="26.5703125" style="2" customWidth="1"/>
    <col min="13" max="13" width="47.710937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8" ht="29.25" customHeight="1" x14ac:dyDescent="0.25">
      <c r="A1" s="515" t="s">
        <v>0</v>
      </c>
      <c r="B1" s="523" t="s">
        <v>8</v>
      </c>
      <c r="C1" s="523" t="s">
        <v>80</v>
      </c>
      <c r="D1" s="523" t="s">
        <v>9</v>
      </c>
      <c r="E1" s="523" t="s">
        <v>93</v>
      </c>
      <c r="F1" s="530" t="s">
        <v>10</v>
      </c>
      <c r="G1" s="523" t="s">
        <v>23</v>
      </c>
      <c r="H1" s="523"/>
      <c r="I1" s="523"/>
      <c r="J1" s="523"/>
      <c r="K1" s="523"/>
      <c r="L1" s="523" t="s">
        <v>11</v>
      </c>
      <c r="M1" s="525" t="s">
        <v>4</v>
      </c>
      <c r="N1" s="68"/>
      <c r="O1" s="68"/>
      <c r="P1" s="68"/>
    </row>
    <row r="2" spans="1:18" ht="57" customHeight="1" x14ac:dyDescent="0.25">
      <c r="A2" s="516"/>
      <c r="B2" s="524"/>
      <c r="C2" s="524"/>
      <c r="D2" s="524"/>
      <c r="E2" s="524"/>
      <c r="F2" s="531"/>
      <c r="G2" s="39" t="s">
        <v>99</v>
      </c>
      <c r="H2" s="86" t="s">
        <v>57</v>
      </c>
      <c r="I2" s="86" t="s">
        <v>70</v>
      </c>
      <c r="J2" s="39" t="s">
        <v>71</v>
      </c>
      <c r="K2" s="39" t="s">
        <v>72</v>
      </c>
      <c r="L2" s="524"/>
      <c r="M2" s="526"/>
      <c r="N2" s="68" t="s">
        <v>66</v>
      </c>
      <c r="O2" s="68" t="s">
        <v>67</v>
      </c>
      <c r="P2" s="68"/>
    </row>
    <row r="3" spans="1:18" ht="18.75" x14ac:dyDescent="0.25">
      <c r="A3" s="8" t="s">
        <v>17</v>
      </c>
      <c r="B3" s="9">
        <v>2</v>
      </c>
      <c r="C3" s="9" t="s">
        <v>12</v>
      </c>
      <c r="D3" s="9" t="s">
        <v>55</v>
      </c>
      <c r="E3" s="9" t="s">
        <v>13</v>
      </c>
      <c r="F3" s="10" t="s">
        <v>13</v>
      </c>
      <c r="G3" s="9" t="s">
        <v>52</v>
      </c>
      <c r="H3" s="80" t="s">
        <v>14</v>
      </c>
      <c r="I3" s="80" t="s">
        <v>53</v>
      </c>
      <c r="J3" s="9" t="s">
        <v>15</v>
      </c>
      <c r="K3" s="9" t="s">
        <v>16</v>
      </c>
      <c r="L3" s="9" t="s">
        <v>18</v>
      </c>
      <c r="M3" s="11" t="s">
        <v>19</v>
      </c>
      <c r="N3" s="64"/>
      <c r="O3" s="64"/>
      <c r="P3" s="64"/>
    </row>
    <row r="4" spans="1:18" ht="34.5" customHeight="1" x14ac:dyDescent="0.25">
      <c r="A4" s="40"/>
      <c r="B4" s="520" t="s">
        <v>132</v>
      </c>
      <c r="C4" s="520"/>
      <c r="D4" s="521"/>
      <c r="E4" s="521"/>
      <c r="F4" s="521"/>
      <c r="G4" s="521"/>
      <c r="H4" s="521"/>
      <c r="I4" s="521"/>
      <c r="J4" s="521"/>
      <c r="K4" s="521"/>
      <c r="L4" s="521"/>
      <c r="M4" s="522"/>
      <c r="N4" s="69"/>
      <c r="O4" s="69"/>
      <c r="P4" s="69"/>
    </row>
    <row r="5" spans="1:18" ht="34.5" customHeight="1" x14ac:dyDescent="0.25">
      <c r="A5" s="552" t="s">
        <v>17</v>
      </c>
      <c r="B5" s="549" t="s">
        <v>185</v>
      </c>
      <c r="C5" s="549" t="s">
        <v>73</v>
      </c>
      <c r="D5" s="179" t="s">
        <v>5</v>
      </c>
      <c r="E5" s="180">
        <f>E7</f>
        <v>181275.1586</v>
      </c>
      <c r="F5" s="118">
        <f t="shared" ref="F5:F24" si="0">SUM(G5:K5)</f>
        <v>905954.49568999989</v>
      </c>
      <c r="G5" s="180">
        <f t="shared" ref="G5:J5" si="1">G7+G6+G8</f>
        <v>142103.34435999999</v>
      </c>
      <c r="H5" s="180">
        <f t="shared" si="1"/>
        <v>149279.39543999999</v>
      </c>
      <c r="I5" s="180">
        <f t="shared" si="1"/>
        <v>291513.35589000001</v>
      </c>
      <c r="J5" s="180">
        <f t="shared" si="1"/>
        <v>160529.19999999998</v>
      </c>
      <c r="K5" s="180">
        <f>K7+K6+K8</f>
        <v>162529.19999999998</v>
      </c>
      <c r="L5" s="527"/>
      <c r="M5" s="528"/>
      <c r="N5" s="69"/>
      <c r="O5" s="69"/>
      <c r="P5" s="69"/>
    </row>
    <row r="6" spans="1:18" ht="34.5" customHeight="1" x14ac:dyDescent="0.25">
      <c r="A6" s="553"/>
      <c r="B6" s="550"/>
      <c r="C6" s="550"/>
      <c r="D6" s="179" t="s">
        <v>2</v>
      </c>
      <c r="E6" s="180"/>
      <c r="F6" s="118">
        <f t="shared" si="0"/>
        <v>476</v>
      </c>
      <c r="G6" s="194">
        <f>G9</f>
        <v>0</v>
      </c>
      <c r="H6" s="194">
        <f>H9</f>
        <v>476</v>
      </c>
      <c r="I6" s="194">
        <f>I9</f>
        <v>0</v>
      </c>
      <c r="J6" s="194">
        <f>J9</f>
        <v>0</v>
      </c>
      <c r="K6" s="194">
        <f>K9</f>
        <v>0</v>
      </c>
      <c r="L6" s="527"/>
      <c r="M6" s="528"/>
      <c r="N6" s="69"/>
      <c r="O6" s="69"/>
      <c r="P6" s="69"/>
    </row>
    <row r="7" spans="1:18" ht="56.25" x14ac:dyDescent="0.25">
      <c r="A7" s="553"/>
      <c r="B7" s="550"/>
      <c r="C7" s="550"/>
      <c r="D7" s="179" t="s">
        <v>79</v>
      </c>
      <c r="E7" s="181">
        <f>E10+E11+E13</f>
        <v>181275.1586</v>
      </c>
      <c r="F7" s="118">
        <f t="shared" si="0"/>
        <v>823113.75488999987</v>
      </c>
      <c r="G7" s="181">
        <f>G10+G11+G13</f>
        <v>142103.34435999999</v>
      </c>
      <c r="H7" s="181">
        <f>H10+H11+H13</f>
        <v>148803.39543999999</v>
      </c>
      <c r="I7" s="181">
        <f>I10+I11+I13</f>
        <v>209588.61509000001</v>
      </c>
      <c r="J7" s="181">
        <f>J10+J11+J13</f>
        <v>160309.19999999998</v>
      </c>
      <c r="K7" s="181">
        <f>K10+K11+K13</f>
        <v>162309.19999999998</v>
      </c>
      <c r="L7" s="527"/>
      <c r="M7" s="528"/>
      <c r="N7" s="70"/>
      <c r="O7" s="70"/>
      <c r="P7" s="70"/>
    </row>
    <row r="8" spans="1:18" ht="75" x14ac:dyDescent="0.25">
      <c r="A8" s="554"/>
      <c r="B8" s="551"/>
      <c r="C8" s="551"/>
      <c r="D8" s="179" t="s">
        <v>24</v>
      </c>
      <c r="E8" s="181"/>
      <c r="F8" s="118">
        <f t="shared" si="0"/>
        <v>82364.7408</v>
      </c>
      <c r="G8" s="181">
        <f>G12</f>
        <v>0</v>
      </c>
      <c r="H8" s="181">
        <f t="shared" ref="H8:K8" si="2">H12</f>
        <v>0</v>
      </c>
      <c r="I8" s="181">
        <f t="shared" si="2"/>
        <v>81924.7408</v>
      </c>
      <c r="J8" s="181">
        <f t="shared" si="2"/>
        <v>220</v>
      </c>
      <c r="K8" s="181">
        <f t="shared" si="2"/>
        <v>220</v>
      </c>
      <c r="L8" s="331"/>
      <c r="M8" s="332"/>
      <c r="N8" s="70"/>
      <c r="O8" s="70"/>
      <c r="P8" s="70"/>
    </row>
    <row r="9" spans="1:18" ht="37.5" x14ac:dyDescent="0.25">
      <c r="A9" s="540" t="s">
        <v>42</v>
      </c>
      <c r="B9" s="541" t="s">
        <v>261</v>
      </c>
      <c r="C9" s="542" t="s">
        <v>73</v>
      </c>
      <c r="D9" s="335" t="s">
        <v>2</v>
      </c>
      <c r="E9" s="200"/>
      <c r="F9" s="117">
        <f t="shared" si="0"/>
        <v>476</v>
      </c>
      <c r="G9" s="201">
        <v>0</v>
      </c>
      <c r="H9" s="201">
        <v>476</v>
      </c>
      <c r="I9" s="201">
        <v>0</v>
      </c>
      <c r="J9" s="201">
        <v>0</v>
      </c>
      <c r="K9" s="201">
        <v>0</v>
      </c>
      <c r="L9" s="543" t="s">
        <v>6</v>
      </c>
      <c r="M9" s="544" t="s">
        <v>20</v>
      </c>
      <c r="N9" s="70"/>
      <c r="O9" s="70"/>
      <c r="P9" s="70"/>
    </row>
    <row r="10" spans="1:18" ht="60.75" customHeight="1" x14ac:dyDescent="0.25">
      <c r="A10" s="540"/>
      <c r="B10" s="541"/>
      <c r="C10" s="542"/>
      <c r="D10" s="136" t="s">
        <v>79</v>
      </c>
      <c r="E10" s="202">
        <v>97858.007519999999</v>
      </c>
      <c r="F10" s="117">
        <f t="shared" si="0"/>
        <v>466061.31846999994</v>
      </c>
      <c r="G10" s="202">
        <f>84416.029-1539.055+5072.272+586-1516+1239.9233-33.72485-2594-150-152</f>
        <v>85329.444449999995</v>
      </c>
      <c r="H10" s="202">
        <f>86310.124+198-1431-96.074-1084.39744</f>
        <v>83896.652560000002</v>
      </c>
      <c r="I10" s="333">
        <f>86320.124+449.197+6252.519+732+2112.601+41.65-9.7-61.9632+6000+1967.015+1298.89666</f>
        <v>105102.33945999999</v>
      </c>
      <c r="J10" s="202">
        <f>86320.124+449.197+6252.519+732+2112.601</f>
        <v>95866.440999999992</v>
      </c>
      <c r="K10" s="202">
        <f>86320.124+449.197+6252.519+732+2112.601</f>
        <v>95866.440999999992</v>
      </c>
      <c r="L10" s="543"/>
      <c r="M10" s="544"/>
      <c r="N10" s="119">
        <f>('[1]Лист 1'!$F$476+'[1]Лист 1'!$F$477)/1000</f>
        <v>16611.023000000001</v>
      </c>
      <c r="O10" s="28">
        <v>16611.023000000001</v>
      </c>
      <c r="P10" s="74">
        <f>N10-O10</f>
        <v>0</v>
      </c>
      <c r="R10" s="2" t="s">
        <v>302</v>
      </c>
    </row>
    <row r="11" spans="1:18" ht="135.75" customHeight="1" x14ac:dyDescent="0.25">
      <c r="A11" s="534" t="s">
        <v>43</v>
      </c>
      <c r="B11" s="545" t="s">
        <v>262</v>
      </c>
      <c r="C11" s="336" t="s">
        <v>73</v>
      </c>
      <c r="D11" s="136" t="s">
        <v>79</v>
      </c>
      <c r="E11" s="202">
        <v>39046.151080000003</v>
      </c>
      <c r="F11" s="117">
        <f t="shared" si="0"/>
        <v>251221.22981999998</v>
      </c>
      <c r="G11" s="202">
        <f>41443.314-3918-15.27385-14.60751-254.60973-684.497-4.398-0.493</f>
        <v>36551.434909999996</v>
      </c>
      <c r="H11" s="202">
        <f>41692.915+429.804-400+96.074</f>
        <v>41818.792999999998</v>
      </c>
      <c r="I11" s="333">
        <f>41692.915+2834.943+306.6-2521.4+24402.2773+14482.956+2594.31261</f>
        <v>83792.603910000005</v>
      </c>
      <c r="J11" s="202">
        <f>41692.915+2529.684+306.6</f>
        <v>44529.199000000001</v>
      </c>
      <c r="K11" s="202">
        <f>41692.915+2529.684+306.6</f>
        <v>44529.199000000001</v>
      </c>
      <c r="L11" s="337" t="s">
        <v>310</v>
      </c>
      <c r="M11" s="547" t="s">
        <v>311</v>
      </c>
      <c r="N11" s="119">
        <f>'[1]Лист 1'!$F$478/1000</f>
        <v>0.27</v>
      </c>
      <c r="O11" s="29">
        <v>0.27</v>
      </c>
      <c r="P11" s="74">
        <f>N11-O11</f>
        <v>0</v>
      </c>
    </row>
    <row r="12" spans="1:18" ht="93.75" x14ac:dyDescent="0.25">
      <c r="A12" s="535"/>
      <c r="B12" s="546"/>
      <c r="C12" s="336" t="s">
        <v>305</v>
      </c>
      <c r="D12" s="136" t="s">
        <v>24</v>
      </c>
      <c r="E12" s="202"/>
      <c r="F12" s="117">
        <f t="shared" si="0"/>
        <v>82364.7408</v>
      </c>
      <c r="G12" s="202">
        <v>0</v>
      </c>
      <c r="H12" s="202">
        <v>0</v>
      </c>
      <c r="I12" s="333">
        <f>220+92348.601-10643.8602</f>
        <v>81924.7408</v>
      </c>
      <c r="J12" s="202">
        <v>220</v>
      </c>
      <c r="K12" s="202">
        <v>220</v>
      </c>
      <c r="L12" s="337" t="s">
        <v>306</v>
      </c>
      <c r="M12" s="548"/>
      <c r="N12" s="119"/>
      <c r="O12" s="29"/>
      <c r="P12" s="74"/>
      <c r="R12" s="2" t="s">
        <v>307</v>
      </c>
    </row>
    <row r="13" spans="1:18" ht="262.5" x14ac:dyDescent="0.25">
      <c r="A13" s="235" t="s">
        <v>44</v>
      </c>
      <c r="B13" s="233" t="s">
        <v>263</v>
      </c>
      <c r="C13" s="336" t="s">
        <v>73</v>
      </c>
      <c r="D13" s="136" t="s">
        <v>79</v>
      </c>
      <c r="E13" s="202">
        <v>44371</v>
      </c>
      <c r="F13" s="117">
        <f t="shared" si="0"/>
        <v>105831.20659999999</v>
      </c>
      <c r="G13" s="202">
        <f>36378.4+1539.055+586-586-13155.935-1539.055-3000</f>
        <v>20222.465000000004</v>
      </c>
      <c r="H13" s="202">
        <f>33147.2-2985.885-1500-5573.36512</f>
        <v>23087.949879999993</v>
      </c>
      <c r="I13" s="333">
        <f>31647.2-3733.64-6176.48+2070-1000-2113.40828</f>
        <v>20693.671720000002</v>
      </c>
      <c r="J13" s="333">
        <f>31647.2-3733.64-8000</f>
        <v>19913.560000000001</v>
      </c>
      <c r="K13" s="333">
        <f>31647.2-3733.64-6000</f>
        <v>21913.56</v>
      </c>
      <c r="L13" s="337" t="s">
        <v>63</v>
      </c>
      <c r="M13" s="338" t="s">
        <v>124</v>
      </c>
      <c r="N13" s="119">
        <v>0</v>
      </c>
      <c r="O13" s="29">
        <v>0</v>
      </c>
      <c r="P13" s="74">
        <f>N13-O13</f>
        <v>0</v>
      </c>
      <c r="Q13" s="13"/>
      <c r="R13" s="13"/>
    </row>
    <row r="14" spans="1:18" ht="18.75" x14ac:dyDescent="0.25">
      <c r="A14" s="532" t="s">
        <v>96</v>
      </c>
      <c r="B14" s="533"/>
      <c r="C14" s="533"/>
      <c r="D14" s="533"/>
      <c r="E14" s="103">
        <f>E16</f>
        <v>181275.1586</v>
      </c>
      <c r="F14" s="143">
        <f t="shared" si="0"/>
        <v>905954.49568999989</v>
      </c>
      <c r="G14" s="103">
        <f>G15+G16+G17</f>
        <v>142103.34435999999</v>
      </c>
      <c r="H14" s="103">
        <f t="shared" ref="H14:K14" si="3">H15+H16+H17</f>
        <v>149279.39543999999</v>
      </c>
      <c r="I14" s="103">
        <f t="shared" si="3"/>
        <v>291513.35589000001</v>
      </c>
      <c r="J14" s="103">
        <f t="shared" si="3"/>
        <v>160529.19999999998</v>
      </c>
      <c r="K14" s="103">
        <f t="shared" si="3"/>
        <v>162529.19999999998</v>
      </c>
      <c r="L14" s="30"/>
      <c r="M14" s="41"/>
      <c r="N14" s="71"/>
      <c r="O14" s="71"/>
      <c r="P14" s="71"/>
    </row>
    <row r="15" spans="1:18" ht="18.75" x14ac:dyDescent="0.25">
      <c r="A15" s="509" t="s">
        <v>2</v>
      </c>
      <c r="B15" s="510"/>
      <c r="C15" s="510"/>
      <c r="D15" s="510"/>
      <c r="E15" s="104">
        <f>E6</f>
        <v>0</v>
      </c>
      <c r="F15" s="143">
        <f t="shared" si="0"/>
        <v>476</v>
      </c>
      <c r="G15" s="104">
        <f t="shared" ref="G15:K16" si="4">G6</f>
        <v>0</v>
      </c>
      <c r="H15" s="104">
        <f t="shared" si="4"/>
        <v>476</v>
      </c>
      <c r="I15" s="104">
        <f t="shared" si="4"/>
        <v>0</v>
      </c>
      <c r="J15" s="104">
        <f t="shared" si="4"/>
        <v>0</v>
      </c>
      <c r="K15" s="104">
        <f t="shared" si="4"/>
        <v>0</v>
      </c>
      <c r="L15" s="31"/>
      <c r="M15" s="42"/>
      <c r="N15" s="72"/>
      <c r="O15" s="72"/>
      <c r="P15" s="72"/>
    </row>
    <row r="16" spans="1:18" ht="18.75" x14ac:dyDescent="0.25">
      <c r="A16" s="509" t="s">
        <v>77</v>
      </c>
      <c r="B16" s="510"/>
      <c r="C16" s="510"/>
      <c r="D16" s="510"/>
      <c r="E16" s="104">
        <f>E7</f>
        <v>181275.1586</v>
      </c>
      <c r="F16" s="143">
        <f t="shared" si="0"/>
        <v>823113.75488999987</v>
      </c>
      <c r="G16" s="104">
        <f t="shared" si="4"/>
        <v>142103.34435999999</v>
      </c>
      <c r="H16" s="204">
        <f t="shared" si="4"/>
        <v>148803.39543999999</v>
      </c>
      <c r="I16" s="204">
        <f t="shared" si="4"/>
        <v>209588.61509000001</v>
      </c>
      <c r="J16" s="204">
        <f t="shared" si="4"/>
        <v>160309.19999999998</v>
      </c>
      <c r="K16" s="204">
        <f t="shared" si="4"/>
        <v>162309.19999999998</v>
      </c>
      <c r="L16" s="31"/>
      <c r="M16" s="42"/>
      <c r="N16" s="72"/>
      <c r="O16" s="72"/>
      <c r="P16" s="72"/>
    </row>
    <row r="17" spans="1:18" ht="18.75" x14ac:dyDescent="0.3">
      <c r="A17" s="348" t="s">
        <v>24</v>
      </c>
      <c r="B17" s="349"/>
      <c r="C17" s="349"/>
      <c r="D17" s="349"/>
      <c r="E17" s="78">
        <f>'Подпрограмма 1'!E59+'Подпрограмма 2'!E102+'Подпрограмма 3'!E73</f>
        <v>0</v>
      </c>
      <c r="F17" s="143">
        <f t="shared" si="0"/>
        <v>82364.7408</v>
      </c>
      <c r="G17" s="98">
        <f>G8</f>
        <v>0</v>
      </c>
      <c r="H17" s="98">
        <f t="shared" ref="H17:K17" si="5">H8</f>
        <v>0</v>
      </c>
      <c r="I17" s="98">
        <f t="shared" si="5"/>
        <v>81924.7408</v>
      </c>
      <c r="J17" s="98">
        <f t="shared" si="5"/>
        <v>220</v>
      </c>
      <c r="K17" s="98">
        <f t="shared" si="5"/>
        <v>220</v>
      </c>
      <c r="L17" s="17"/>
      <c r="M17" s="334"/>
      <c r="N17" s="65">
        <f>'Подпрограмма 1'!F50+'Подпрограмма 2'!F97+'Подпрограмма 3'!F69</f>
        <v>245165.45193000001</v>
      </c>
      <c r="Q17" s="12"/>
      <c r="R17" s="12"/>
    </row>
    <row r="18" spans="1:18" ht="18.75" x14ac:dyDescent="0.25">
      <c r="A18" s="536" t="s">
        <v>30</v>
      </c>
      <c r="B18" s="537"/>
      <c r="C18" s="537"/>
      <c r="D18" s="537"/>
      <c r="E18" s="205" t="e">
        <f>E19+E20+E21+E23+E24</f>
        <v>#REF!</v>
      </c>
      <c r="F18" s="174">
        <f t="shared" si="0"/>
        <v>52224307.160660006</v>
      </c>
      <c r="G18" s="206">
        <f>G19+G20+G21+G23+G24</f>
        <v>9813394.4420499988</v>
      </c>
      <c r="H18" s="206">
        <f>H19+H20+H21+H23+H24</f>
        <v>9938265.7057700008</v>
      </c>
      <c r="I18" s="206">
        <f>I19+I20+I21+I23+I24</f>
        <v>11255299.131279999</v>
      </c>
      <c r="J18" s="206">
        <f>J19+J20+J21+J23+J24</f>
        <v>10611627.31158</v>
      </c>
      <c r="K18" s="206">
        <f>K19+K20+K21+K23+K24</f>
        <v>10605720.569980001</v>
      </c>
      <c r="L18" s="207"/>
      <c r="M18" s="237"/>
      <c r="N18" s="73"/>
      <c r="Q18" s="12"/>
      <c r="R18" s="12"/>
    </row>
    <row r="19" spans="1:18" ht="18.75" x14ac:dyDescent="0.25">
      <c r="A19" s="538" t="s">
        <v>65</v>
      </c>
      <c r="B19" s="539"/>
      <c r="C19" s="539"/>
      <c r="D19" s="539"/>
      <c r="E19" s="52">
        <f>'Подпрограмма 2'!E104+'Подпрограмма 3'!E76</f>
        <v>5515.06754</v>
      </c>
      <c r="F19" s="174">
        <f t="shared" si="0"/>
        <v>1407973.5493299998</v>
      </c>
      <c r="G19" s="124">
        <f>'Подпрограмма 2'!G104+'Подпрограмма 3'!G76+'Подпрограмма 1'!G61</f>
        <v>113145.27607000001</v>
      </c>
      <c r="H19" s="124">
        <f>'Подпрограмма 2'!H104+'Подпрограмма 3'!H76+'Подпрограмма 1'!H61</f>
        <v>282409.33446999994</v>
      </c>
      <c r="I19" s="124">
        <f>'Подпрограмма 2'!I104+'Подпрограмма 3'!I76+'Подпрограмма 1'!I61</f>
        <v>381383.62377000001</v>
      </c>
      <c r="J19" s="124">
        <f>'Подпрограмма 2'!J104+'Подпрограмма 3'!J76+'Подпрограмма 1'!J61</f>
        <v>306078.19773999997</v>
      </c>
      <c r="K19" s="124">
        <f>'Подпрограмма 2'!K104+'Подпрограмма 3'!K76+'Подпрограмма 1'!K61</f>
        <v>324957.11728000001</v>
      </c>
      <c r="L19" s="50"/>
      <c r="M19" s="237"/>
      <c r="N19" s="53" t="e">
        <f>'Подпрограмма 1'!#REF!</f>
        <v>#REF!</v>
      </c>
      <c r="Q19" s="12"/>
      <c r="R19" s="12"/>
    </row>
    <row r="20" spans="1:18" ht="18.75" x14ac:dyDescent="0.25">
      <c r="A20" s="538" t="s">
        <v>2</v>
      </c>
      <c r="B20" s="539"/>
      <c r="C20" s="539"/>
      <c r="D20" s="539"/>
      <c r="E20" s="52" t="e">
        <f>'Подпрограмма 1'!E62+'Подпрограмма 2'!E105+'Подпрограмма 3'!E77+'Подпрограмма 4'!E14</f>
        <v>#REF!</v>
      </c>
      <c r="F20" s="174">
        <f t="shared" si="0"/>
        <v>31565755.625799999</v>
      </c>
      <c r="G20" s="124">
        <f>'Подпрограмма 1'!G62+'Подпрограмма 2'!G105+'Подпрограмма 3'!G77+'Подпрограмма 4'!G14+G15</f>
        <v>6048105.7239299994</v>
      </c>
      <c r="H20" s="124">
        <f>'Подпрограмма 1'!H62+'Подпрограмма 2'!H105+'Подпрограмма 3'!H77+'Подпрограмма 4'!H14+H15</f>
        <v>6207887.0545099992</v>
      </c>
      <c r="I20" s="124">
        <f>'Подпрограмма 1'!I62+'Подпрограмма 2'!I105+'Подпрограмма 3'!I77+'Подпрограмма 4'!I14+I15</f>
        <v>6693935.6954499995</v>
      </c>
      <c r="J20" s="124">
        <f>'Подпрограмма 1'!J62+'Подпрограмма 2'!J105+'Подпрограмма 3'!J77+'Подпрограмма 4'!J14+J15</f>
        <v>6314024.8596700002</v>
      </c>
      <c r="K20" s="124">
        <f>'Подпрограмма 1'!K62+'Подпрограмма 2'!K105+'Подпрограмма 3'!K77+'Подпрограмма 4'!K14+K15</f>
        <v>6301802.2922400003</v>
      </c>
      <c r="L20" s="50"/>
      <c r="M20" s="237"/>
      <c r="N20" s="55" t="e">
        <f>'Подпрограмма 1'!F54+'Подпрограмма 2'!F101+'Подпрограмма 3'!F73+#REF!</f>
        <v>#REF!</v>
      </c>
      <c r="Q20" s="12"/>
      <c r="R20" s="12"/>
    </row>
    <row r="21" spans="1:18" ht="18.75" x14ac:dyDescent="0.25">
      <c r="A21" s="538" t="s">
        <v>77</v>
      </c>
      <c r="B21" s="539"/>
      <c r="C21" s="539"/>
      <c r="D21" s="539"/>
      <c r="E21" s="52" t="e">
        <f>'Подпрограмма 1'!E63+'Подпрограмма 2'!E106+'Подпрограмма 3'!E78+'Подпрограмма 4'!E15+'Подпрограмма 5'!E16</f>
        <v>#REF!</v>
      </c>
      <c r="F21" s="174">
        <f t="shared" si="0"/>
        <v>17097554.426040001</v>
      </c>
      <c r="G21" s="124">
        <f>'Подпрограмма 1'!G63+'Подпрограмма 2'!G106+'Подпрограмма 3'!G78+'Подпрограмма 4'!G15+'Подпрограмма 5'!G16</f>
        <v>3305403.6110999999</v>
      </c>
      <c r="H21" s="124">
        <f>'Подпрограмма 1'!H63+'Подпрограмма 2'!H106+'Подпрограмма 3'!H78+'Подпрограмма 4'!H15+'Подпрограмма 5'!H16</f>
        <v>3065756.7823600005</v>
      </c>
      <c r="I21" s="124">
        <f>'Подпрограмма 1'!I63+'Подпрограмма 2'!I106+'Подпрограмма 3'!I78+'Подпрограмма 4'!I15+'Подпрограмма 5'!I16</f>
        <v>3669794.8799499995</v>
      </c>
      <c r="J21" s="124">
        <f>'Подпрограмма 1'!J63+'Подпрограмма 2'!J106+'Подпрограмма 3'!J78+'Подпрограмма 4'!J15+'Подпрограмма 5'!J16</f>
        <v>3534581.12317</v>
      </c>
      <c r="K21" s="124">
        <f>'Подпрограмма 1'!K63+'Подпрограмма 2'!K106+'Подпрограмма 3'!K78+'Подпрограмма 4'!K15+'Подпрограмма 5'!K16</f>
        <v>3522018.0294599999</v>
      </c>
      <c r="L21" s="50"/>
      <c r="M21" s="237"/>
      <c r="N21" s="55" t="e">
        <f>'Подпрограмма 1'!F55+'Подпрограмма 2'!F102+'Подпрограмма 3'!F74+'Подпрограмма 4'!F10+#REF!</f>
        <v>#REF!</v>
      </c>
      <c r="Q21" s="12"/>
      <c r="R21" s="12"/>
    </row>
    <row r="22" spans="1:18" ht="18.75" x14ac:dyDescent="0.3">
      <c r="A22" s="348" t="s">
        <v>113</v>
      </c>
      <c r="B22" s="349"/>
      <c r="C22" s="349"/>
      <c r="D22" s="349"/>
      <c r="E22" s="94">
        <f>'Подпрограмма 1'!E64</f>
        <v>184994.723</v>
      </c>
      <c r="F22" s="174">
        <f t="shared" si="0"/>
        <v>1940317.639</v>
      </c>
      <c r="G22" s="94">
        <f>'Подпрограмма 1'!G64+'Подпрограмма 2'!G19</f>
        <v>265379.18099999998</v>
      </c>
      <c r="H22" s="94">
        <f>'Подпрограмма 1'!H64+'Подпрограмма 2'!H19</f>
        <v>331183.00000000006</v>
      </c>
      <c r="I22" s="94">
        <f>'Подпрограмма 1'!I64+'Подпрограмма 2'!I19</f>
        <v>449907.45799999998</v>
      </c>
      <c r="J22" s="94">
        <f>'Подпрограмма 1'!J64+'Подпрограмма 2'!J19</f>
        <v>446924</v>
      </c>
      <c r="K22" s="94">
        <f>'Подпрограмма 1'!K64+'Подпрограмма 2'!K19</f>
        <v>446924</v>
      </c>
      <c r="L22" s="17"/>
      <c r="M22" s="237"/>
    </row>
    <row r="23" spans="1:18" ht="18.75" x14ac:dyDescent="0.3">
      <c r="A23" s="348" t="s">
        <v>24</v>
      </c>
      <c r="B23" s="349"/>
      <c r="C23" s="349"/>
      <c r="D23" s="349"/>
      <c r="E23" s="78">
        <f>'Подпрограмма 1'!E65+'Подпрограмма 2'!E108+'Подпрограмма 3'!E79</f>
        <v>332307.03708000004</v>
      </c>
      <c r="F23" s="174">
        <f t="shared" si="0"/>
        <v>2039477.8574900003</v>
      </c>
      <c r="G23" s="94">
        <f>'Подпрограмма 1'!G65+'Подпрограмма 2'!G108+'Подпрограмма 3'!G79+G17</f>
        <v>324873.74495000002</v>
      </c>
      <c r="H23" s="94">
        <f>'Подпрограмма 1'!H65+'Подпрограмма 2'!H108+'Подпрограмма 3'!H79+H17</f>
        <v>360107.12442999997</v>
      </c>
      <c r="I23" s="94">
        <f>'Подпрограмма 1'!I65+'Подпрограмма 2'!I108+'Подпрограмма 3'!I79+I17</f>
        <v>486993.53011000005</v>
      </c>
      <c r="J23" s="94">
        <f>'Подпрограмма 1'!J65+'Подпрограмма 2'!J108+'Подпрограмма 3'!J79+J17</f>
        <v>433751.72900000005</v>
      </c>
      <c r="K23" s="94">
        <f>'Подпрограмма 1'!K65+'Подпрограмма 2'!K108+'Подпрограмма 3'!K79+K17</f>
        <v>433751.72900000005</v>
      </c>
      <c r="L23" s="17"/>
      <c r="M23" s="237"/>
      <c r="N23" s="65">
        <f>'Подпрограмма 1'!F56+'Подпрограмма 2'!F103+'Подпрограмма 3'!F75</f>
        <v>43460241.259040006</v>
      </c>
      <c r="Q23" s="12"/>
      <c r="R23" s="12"/>
    </row>
    <row r="24" spans="1:18" ht="19.5" thickBot="1" x14ac:dyDescent="0.35">
      <c r="A24" s="377" t="s">
        <v>32</v>
      </c>
      <c r="B24" s="378"/>
      <c r="C24" s="378"/>
      <c r="D24" s="378"/>
      <c r="E24" s="123">
        <f>'Подпрограмма 1'!E66+'Подпрограмма 2'!E109</f>
        <v>228566.99000000002</v>
      </c>
      <c r="F24" s="175">
        <f t="shared" si="0"/>
        <v>113545.702</v>
      </c>
      <c r="G24" s="125">
        <f>'Подпрограмма 1'!G66+'Подпрограмма 2'!G109</f>
        <v>21866.086000000003</v>
      </c>
      <c r="H24" s="125">
        <f>'Подпрограмма 1'!H66+'Подпрограмма 2'!H109</f>
        <v>22105.409999999996</v>
      </c>
      <c r="I24" s="125">
        <f>'Подпрограмма 1'!I66+'Подпрограмма 2'!I109</f>
        <v>23191.402000000002</v>
      </c>
      <c r="J24" s="125">
        <f>'Подпрограмма 1'!J66+'Подпрограмма 2'!J109</f>
        <v>23191.402000000002</v>
      </c>
      <c r="K24" s="125">
        <f>'Подпрограмма 1'!K66+'Подпрограмма 2'!K109</f>
        <v>23191.402000000002</v>
      </c>
      <c r="L24" s="36"/>
      <c r="M24" s="237"/>
      <c r="N24" s="65">
        <f>'Подпрограмма 1'!F60+'Подпрограмма 2'!F104</f>
        <v>9382078.7718599997</v>
      </c>
      <c r="Q24" s="12"/>
      <c r="R24" s="12"/>
    </row>
    <row r="25" spans="1:18" ht="18.75" x14ac:dyDescent="0.3">
      <c r="A25" s="186"/>
      <c r="B25" s="186"/>
      <c r="C25" s="186"/>
      <c r="D25" s="186"/>
      <c r="E25" s="187"/>
      <c r="F25" s="188"/>
      <c r="G25" s="189"/>
      <c r="H25" s="189"/>
      <c r="I25" s="189"/>
      <c r="J25" s="189"/>
      <c r="K25" s="189"/>
      <c r="L25" s="190"/>
      <c r="M25" s="65"/>
      <c r="N25" s="65"/>
      <c r="Q25" s="12"/>
      <c r="R25" s="12"/>
    </row>
    <row r="26" spans="1:18" ht="18" x14ac:dyDescent="0.25">
      <c r="A26" s="53"/>
      <c r="B26" s="54"/>
      <c r="C26" s="54"/>
      <c r="D26" s="54"/>
      <c r="E26" s="54"/>
      <c r="F26" s="197"/>
      <c r="G26" s="55"/>
      <c r="H26" s="90"/>
      <c r="I26" s="90"/>
      <c r="J26" s="55"/>
      <c r="K26" s="55"/>
      <c r="L26" s="53"/>
      <c r="M26" s="56" t="s">
        <v>194</v>
      </c>
      <c r="N26" s="56"/>
    </row>
    <row r="27" spans="1:18" ht="18.75" x14ac:dyDescent="0.25">
      <c r="A27" s="57"/>
      <c r="B27" s="58" t="s">
        <v>326</v>
      </c>
      <c r="C27" s="63"/>
      <c r="D27" s="63"/>
      <c r="E27" s="63"/>
      <c r="F27" s="176"/>
      <c r="G27" s="59"/>
      <c r="H27" s="63" t="s">
        <v>327</v>
      </c>
      <c r="I27" s="114"/>
      <c r="J27" s="60"/>
      <c r="K27" s="60"/>
      <c r="L27" s="60"/>
      <c r="M27" s="57"/>
      <c r="N27" s="57"/>
    </row>
    <row r="28" spans="1:18" ht="18.75" x14ac:dyDescent="0.25">
      <c r="A28" s="57"/>
      <c r="B28" s="114"/>
      <c r="C28" s="114"/>
      <c r="D28" s="62"/>
      <c r="E28" s="114"/>
      <c r="F28" s="177"/>
      <c r="G28" s="61"/>
      <c r="H28" s="91"/>
      <c r="I28" s="114"/>
      <c r="J28" s="61"/>
      <c r="K28" s="61"/>
      <c r="L28" s="61"/>
      <c r="M28" s="61"/>
      <c r="N28" s="61"/>
    </row>
    <row r="29" spans="1:18" ht="18.75" x14ac:dyDescent="0.25">
      <c r="A29" s="53"/>
      <c r="B29" s="54"/>
      <c r="C29" s="62"/>
      <c r="D29" s="62"/>
      <c r="E29" s="62"/>
      <c r="F29" s="178"/>
      <c r="G29" s="57"/>
      <c r="H29" s="58"/>
      <c r="I29" s="58"/>
      <c r="J29" s="93"/>
      <c r="K29" s="93"/>
      <c r="L29" s="53"/>
      <c r="M29" s="53"/>
      <c r="N29" s="53"/>
    </row>
    <row r="30" spans="1:18" ht="18.75" x14ac:dyDescent="0.25">
      <c r="A30" s="53"/>
      <c r="B30" s="63" t="s">
        <v>34</v>
      </c>
      <c r="C30" s="63"/>
      <c r="D30" s="63"/>
      <c r="E30" s="63"/>
      <c r="F30" s="176"/>
      <c r="G30" s="59"/>
      <c r="H30" s="58" t="s">
        <v>64</v>
      </c>
      <c r="I30" s="58"/>
      <c r="J30" s="93"/>
      <c r="K30" s="93"/>
      <c r="L30" s="53"/>
      <c r="M30" s="53"/>
      <c r="N30" s="53"/>
    </row>
    <row r="31" spans="1:18" ht="18.75" x14ac:dyDescent="0.25">
      <c r="A31" s="53"/>
      <c r="B31" s="63"/>
      <c r="C31" s="63"/>
      <c r="D31" s="63"/>
      <c r="E31" s="63"/>
      <c r="F31" s="176"/>
      <c r="G31" s="59"/>
      <c r="H31" s="58"/>
      <c r="I31" s="58"/>
      <c r="J31" s="93"/>
      <c r="K31" s="93"/>
      <c r="L31" s="53"/>
      <c r="M31" s="53"/>
      <c r="N31" s="53"/>
    </row>
    <row r="32" spans="1:18" ht="18.75" x14ac:dyDescent="0.25">
      <c r="A32" s="53"/>
      <c r="B32" s="63"/>
      <c r="C32" s="63"/>
      <c r="D32" s="63"/>
      <c r="E32" s="63"/>
      <c r="F32" s="176"/>
      <c r="G32" s="59"/>
      <c r="H32" s="58"/>
      <c r="I32" s="58"/>
      <c r="J32" s="93"/>
      <c r="K32" s="93"/>
      <c r="L32" s="53"/>
      <c r="M32" s="53"/>
      <c r="N32" s="53"/>
    </row>
    <row r="33" spans="2:28" ht="18.75" x14ac:dyDescent="0.3">
      <c r="B33" s="374" t="s">
        <v>115</v>
      </c>
      <c r="C33" s="375"/>
      <c r="D33" s="375"/>
      <c r="E33" s="167">
        <f>'Подпрограмма 1'!E68+'Подпрограмма 2'!E112+'Подпрограмма 3'!E83</f>
        <v>0</v>
      </c>
      <c r="F33" s="168">
        <f>SUM(G33:K33)</f>
        <v>893702.87898000004</v>
      </c>
      <c r="G33" s="167">
        <f>'Подпрограмма 1'!G68+'Подпрограмма 2'!G112+'Подпрограмма 3'!G83</f>
        <v>42841.684440000005</v>
      </c>
      <c r="H33" s="167">
        <f>'Подпрограмма 1'!H68+'Подпрограмма 2'!H112+'Подпрограмма 3'!H83</f>
        <v>32945.913179999996</v>
      </c>
      <c r="I33" s="167">
        <f>'Подпрограмма 1'!I68+'Подпрограмма 2'!I112+'Подпрограмма 3'!I83</f>
        <v>313231.46936000005</v>
      </c>
      <c r="J33" s="167">
        <f>'Подпрограмма 1'!J68+'Подпрограмма 2'!J112+'Подпрограмма 3'!J83</f>
        <v>280350.40600000002</v>
      </c>
      <c r="K33" s="167">
        <f>'Подпрограмма 1'!K68+'Подпрограмма 2'!K112+'Подпрограмма 3'!K83</f>
        <v>224333.40599999999</v>
      </c>
      <c r="L33" s="18"/>
    </row>
    <row r="34" spans="2:28" ht="18.75" x14ac:dyDescent="0.3">
      <c r="B34" s="374" t="s">
        <v>35</v>
      </c>
      <c r="C34" s="375"/>
      <c r="D34" s="375"/>
      <c r="E34" s="167">
        <f>'Подпрограмма 1'!E69+'Подпрограмма 2'!E111</f>
        <v>13649</v>
      </c>
      <c r="F34" s="168">
        <f t="shared" ref="F34:F49" si="6">SUM(G34:K34)</f>
        <v>69197</v>
      </c>
      <c r="G34" s="167">
        <f>'Подпрограмма 1'!G69+'Подпрограмма 2'!G111</f>
        <v>55040</v>
      </c>
      <c r="H34" s="167">
        <f>'Подпрограмма 1'!H69+'Подпрограмма 2'!H111</f>
        <v>14157</v>
      </c>
      <c r="I34" s="167">
        <f>'Подпрограмма 1'!I69+'Подпрограмма 2'!I111</f>
        <v>0</v>
      </c>
      <c r="J34" s="167">
        <f>'Подпрограмма 1'!J69+'Подпрограмма 2'!J111</f>
        <v>0</v>
      </c>
      <c r="K34" s="167">
        <f>'Подпрограмма 1'!K69+'Подпрограмма 2'!K111</f>
        <v>0</v>
      </c>
      <c r="L34" s="18"/>
    </row>
    <row r="35" spans="2:28" ht="18.75" x14ac:dyDescent="0.3">
      <c r="B35" s="365" t="s">
        <v>36</v>
      </c>
      <c r="C35" s="366"/>
      <c r="D35" s="366"/>
      <c r="E35" s="169">
        <f>SUM(E33:E34)</f>
        <v>13649</v>
      </c>
      <c r="F35" s="168">
        <f t="shared" si="6"/>
        <v>962899.87898000004</v>
      </c>
      <c r="G35" s="169">
        <f>SUM(G33:G34)</f>
        <v>97881.684440000012</v>
      </c>
      <c r="H35" s="169">
        <f>SUM(H33:H34)</f>
        <v>47102.913179999996</v>
      </c>
      <c r="I35" s="169">
        <f>SUM(I33:I34)</f>
        <v>313231.46936000005</v>
      </c>
      <c r="J35" s="169">
        <f>SUM(J33:J34)</f>
        <v>280350.40600000002</v>
      </c>
      <c r="K35" s="169">
        <f>SUM(K33:K34)</f>
        <v>224333.40599999999</v>
      </c>
      <c r="L35" s="18"/>
    </row>
    <row r="36" spans="2:28" ht="18.75" x14ac:dyDescent="0.3">
      <c r="B36" s="374" t="s">
        <v>116</v>
      </c>
      <c r="C36" s="375"/>
      <c r="D36" s="375"/>
      <c r="E36" s="167">
        <f>'Подпрограмма 1'!E71+'Подпрограмма 2'!E114</f>
        <v>0</v>
      </c>
      <c r="F36" s="168">
        <f t="shared" si="6"/>
        <v>0</v>
      </c>
      <c r="G36" s="167">
        <f>'Подпрограмма 1'!G71+'Подпрограмма 2'!G114</f>
        <v>0</v>
      </c>
      <c r="H36" s="167">
        <f>'Подпрограмма 1'!H71+'Подпрограмма 2'!H114</f>
        <v>0</v>
      </c>
      <c r="I36" s="167">
        <f>'Подпрограмма 1'!I71+'Подпрограмма 2'!I114</f>
        <v>0</v>
      </c>
      <c r="J36" s="167">
        <f>'Подпрограмма 1'!J71+'Подпрограмма 2'!J114</f>
        <v>0</v>
      </c>
      <c r="K36" s="167">
        <f>'Подпрограмма 1'!K71+'Подпрограмма 2'!K114</f>
        <v>0</v>
      </c>
      <c r="L36" s="18"/>
    </row>
    <row r="37" spans="2:28" ht="18.75" x14ac:dyDescent="0.3">
      <c r="B37" s="374" t="s">
        <v>117</v>
      </c>
      <c r="C37" s="375"/>
      <c r="D37" s="375"/>
      <c r="E37" s="167">
        <f>'Подпрограмма 1'!E72+'Подпрограмма 2'!E115</f>
        <v>4755</v>
      </c>
      <c r="F37" s="168">
        <f t="shared" si="6"/>
        <v>29891</v>
      </c>
      <c r="G37" s="167">
        <f>'Подпрограмма 1'!G72+'Подпрограмма 2'!G115</f>
        <v>5666</v>
      </c>
      <c r="H37" s="167">
        <f>'Подпрограмма 1'!H72+'Подпрограмма 2'!H115</f>
        <v>5955</v>
      </c>
      <c r="I37" s="167">
        <f>'Подпрограмма 1'!I72+'Подпрограмма 2'!I115</f>
        <v>6090</v>
      </c>
      <c r="J37" s="167">
        <f>'Подпрограмма 1'!J72+'Подпрограмма 2'!J115</f>
        <v>6090</v>
      </c>
      <c r="K37" s="167">
        <f>'Подпрограмма 1'!K72+'Подпрограмма 2'!K115</f>
        <v>6090</v>
      </c>
      <c r="L37" s="18"/>
    </row>
    <row r="38" spans="2:28" ht="18.75" x14ac:dyDescent="0.3">
      <c r="B38" s="365" t="s">
        <v>118</v>
      </c>
      <c r="C38" s="366"/>
      <c r="D38" s="366"/>
      <c r="E38" s="169">
        <f>SUM(E36:E37)</f>
        <v>4755</v>
      </c>
      <c r="F38" s="168">
        <f t="shared" si="6"/>
        <v>29891</v>
      </c>
      <c r="G38" s="169">
        <f>SUM(G36:G37)</f>
        <v>5666</v>
      </c>
      <c r="H38" s="169">
        <f>SUM(H36:H37)</f>
        <v>5955</v>
      </c>
      <c r="I38" s="169">
        <f>SUM(I36:I37)</f>
        <v>6090</v>
      </c>
      <c r="J38" s="169">
        <f>SUM(J36:J37)</f>
        <v>6090</v>
      </c>
      <c r="K38" s="169">
        <f>SUM(K36:K37)</f>
        <v>6090</v>
      </c>
      <c r="L38" s="18"/>
    </row>
    <row r="39" spans="2:28" ht="18.75" x14ac:dyDescent="0.3">
      <c r="B39" s="374" t="s">
        <v>149</v>
      </c>
      <c r="C39" s="375"/>
      <c r="D39" s="375"/>
      <c r="E39" s="167">
        <f>'Подпрограмма 3'!E85</f>
        <v>0</v>
      </c>
      <c r="F39" s="168">
        <f t="shared" si="6"/>
        <v>0</v>
      </c>
      <c r="G39" s="167">
        <f>'Подпрограмма 3'!G85</f>
        <v>0</v>
      </c>
      <c r="H39" s="167">
        <f>'Подпрограмма 3'!H85</f>
        <v>0</v>
      </c>
      <c r="I39" s="167">
        <f>'Подпрограмма 3'!I85</f>
        <v>0</v>
      </c>
      <c r="J39" s="167">
        <f>'Подпрограмма 3'!J85</f>
        <v>0</v>
      </c>
      <c r="K39" s="167">
        <f>'Подпрограмма 3'!K85</f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ht="18.75" x14ac:dyDescent="0.3">
      <c r="B40" s="374" t="s">
        <v>120</v>
      </c>
      <c r="C40" s="375"/>
      <c r="D40" s="375" t="s">
        <v>35</v>
      </c>
      <c r="E40" s="170">
        <f>'Подпрограмма 3'!E86</f>
        <v>0</v>
      </c>
      <c r="F40" s="168">
        <f t="shared" si="6"/>
        <v>0</v>
      </c>
      <c r="G40" s="167">
        <f>'Подпрограмма 3'!G86</f>
        <v>0</v>
      </c>
      <c r="H40" s="167">
        <f>'Подпрограмма 3'!H86</f>
        <v>0</v>
      </c>
      <c r="I40" s="167">
        <f>'Подпрограмма 3'!I86</f>
        <v>0</v>
      </c>
      <c r="J40" s="167">
        <f>'Подпрограмма 3'!J86</f>
        <v>0</v>
      </c>
      <c r="K40" s="167">
        <f>'Подпрограмма 3'!K86</f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8.75" x14ac:dyDescent="0.3">
      <c r="B41" s="374" t="s">
        <v>121</v>
      </c>
      <c r="C41" s="375"/>
      <c r="D41" s="375"/>
      <c r="E41" s="170">
        <f>'Подпрограмма 3'!E87</f>
        <v>0</v>
      </c>
      <c r="F41" s="168">
        <f t="shared" si="6"/>
        <v>370732.87089999998</v>
      </c>
      <c r="G41" s="167">
        <f>'Подпрограмма 3'!G87</f>
        <v>370732.87089999998</v>
      </c>
      <c r="H41" s="167">
        <f>'Подпрограмма 3'!H87</f>
        <v>0</v>
      </c>
      <c r="I41" s="167">
        <f>'Подпрограмма 3'!I87</f>
        <v>0</v>
      </c>
      <c r="J41" s="167">
        <f>'Подпрограмма 3'!J87</f>
        <v>0</v>
      </c>
      <c r="K41" s="167">
        <f>'Подпрограмма 3'!K87</f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2:28" ht="18.75" x14ac:dyDescent="0.3">
      <c r="B42" s="374" t="s">
        <v>24</v>
      </c>
      <c r="C42" s="375"/>
      <c r="D42" s="375"/>
      <c r="E42" s="167">
        <f>'Подпрограмма 3'!E88</f>
        <v>0</v>
      </c>
      <c r="F42" s="168">
        <f t="shared" si="6"/>
        <v>67644.227650000001</v>
      </c>
      <c r="G42" s="167">
        <f>'Подпрограмма 3'!G88</f>
        <v>67644.227650000001</v>
      </c>
      <c r="H42" s="167">
        <f>'Подпрограмма 3'!H88</f>
        <v>0</v>
      </c>
      <c r="I42" s="167">
        <f>'Подпрограмма 3'!I88</f>
        <v>0</v>
      </c>
      <c r="J42" s="167">
        <f>'Подпрограмма 3'!J88</f>
        <v>0</v>
      </c>
      <c r="K42" s="167">
        <f>'Подпрограмма 3'!K88</f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2:28" ht="18.75" x14ac:dyDescent="0.3">
      <c r="B43" s="365" t="s">
        <v>122</v>
      </c>
      <c r="C43" s="366"/>
      <c r="D43" s="366"/>
      <c r="E43" s="169">
        <f>SUM(E40:E42)</f>
        <v>0</v>
      </c>
      <c r="F43" s="168">
        <f t="shared" si="6"/>
        <v>438377.09855</v>
      </c>
      <c r="G43" s="168">
        <f>SUM(G39:G42)</f>
        <v>438377.09855</v>
      </c>
      <c r="H43" s="168">
        <f>SUM(H39:H42)</f>
        <v>0</v>
      </c>
      <c r="I43" s="168">
        <f>SUM(I39:I42)</f>
        <v>0</v>
      </c>
      <c r="J43" s="168">
        <f>SUM(J39:J42)</f>
        <v>0</v>
      </c>
      <c r="K43" s="168">
        <f>SUM(K39:K42)</f>
        <v>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2:28" ht="18.75" x14ac:dyDescent="0.3">
      <c r="B44" s="374" t="s">
        <v>68</v>
      </c>
      <c r="C44" s="375"/>
      <c r="D44" s="375"/>
      <c r="E44" s="101">
        <f>E19</f>
        <v>5515.06754</v>
      </c>
      <c r="F44" s="168">
        <f t="shared" si="6"/>
        <v>1407973.5493299998</v>
      </c>
      <c r="G44" s="101">
        <f>G19-G39</f>
        <v>113145.27607000001</v>
      </c>
      <c r="H44" s="101">
        <f>H19-H39</f>
        <v>282409.33446999994</v>
      </c>
      <c r="I44" s="101">
        <f>I19-I39</f>
        <v>381383.62377000001</v>
      </c>
      <c r="J44" s="101">
        <f>J19-J39</f>
        <v>306078.19773999997</v>
      </c>
      <c r="K44" s="101">
        <f>K19-K39</f>
        <v>324957.11728000001</v>
      </c>
    </row>
    <row r="45" spans="2:28" ht="18.75" x14ac:dyDescent="0.3">
      <c r="B45" s="374" t="s">
        <v>119</v>
      </c>
      <c r="C45" s="375"/>
      <c r="D45" s="375"/>
      <c r="E45" s="167" t="e">
        <f>E21-E33-E36-E41</f>
        <v>#REF!</v>
      </c>
      <c r="F45" s="168">
        <f t="shared" si="6"/>
        <v>15833118.67616</v>
      </c>
      <c r="G45" s="167">
        <f>G21-G33-G36-G41</f>
        <v>2891829.0557599999</v>
      </c>
      <c r="H45" s="167">
        <f>H21-H33-H36-H41</f>
        <v>3032810.8691800004</v>
      </c>
      <c r="I45" s="167">
        <f>I21-I33-I36-I41</f>
        <v>3356563.4105899995</v>
      </c>
      <c r="J45" s="167">
        <f>J21-J33-J36-J41</f>
        <v>3254230.7171700001</v>
      </c>
      <c r="K45" s="167">
        <f>K21-K33-K36-K41</f>
        <v>3297684.6234599999</v>
      </c>
      <c r="L45" s="18"/>
    </row>
    <row r="46" spans="2:28" ht="18.75" x14ac:dyDescent="0.3">
      <c r="B46" s="374" t="s">
        <v>39</v>
      </c>
      <c r="C46" s="375"/>
      <c r="D46" s="375"/>
      <c r="E46" s="167" t="e">
        <f>E20-E34-E37-E40</f>
        <v>#REF!</v>
      </c>
      <c r="F46" s="168">
        <f t="shared" si="6"/>
        <v>31466667.625799999</v>
      </c>
      <c r="G46" s="167">
        <f>G20-G34-G37-G40</f>
        <v>5987399.7239299994</v>
      </c>
      <c r="H46" s="167">
        <f>H20-H34-H37-H40</f>
        <v>6187775.0545099992</v>
      </c>
      <c r="I46" s="167">
        <f>I20-I34-I37-I40</f>
        <v>6687845.6954499995</v>
      </c>
      <c r="J46" s="167">
        <f>J20-J34-J37-J40</f>
        <v>6307934.8596700002</v>
      </c>
      <c r="K46" s="167">
        <f>K20-K34-K37-K40</f>
        <v>6295712.2922400003</v>
      </c>
      <c r="L46" s="18"/>
    </row>
    <row r="47" spans="2:28" ht="18.75" x14ac:dyDescent="0.3">
      <c r="B47" s="372" t="s">
        <v>24</v>
      </c>
      <c r="C47" s="373"/>
      <c r="D47" s="373"/>
      <c r="E47" s="167">
        <f>E23-E42</f>
        <v>332307.03708000004</v>
      </c>
      <c r="F47" s="168">
        <f t="shared" si="6"/>
        <v>1971833.6298400001</v>
      </c>
      <c r="G47" s="167">
        <f>G23-G42</f>
        <v>257229.51730000001</v>
      </c>
      <c r="H47" s="167">
        <f>H23-H42</f>
        <v>360107.12442999997</v>
      </c>
      <c r="I47" s="167">
        <f>I23-I42</f>
        <v>486993.53011000005</v>
      </c>
      <c r="J47" s="167">
        <f>J23-J42</f>
        <v>433751.72900000005</v>
      </c>
      <c r="K47" s="167">
        <f>K23-K42</f>
        <v>433751.72900000005</v>
      </c>
      <c r="L47" s="18"/>
    </row>
    <row r="48" spans="2:28" ht="18.75" x14ac:dyDescent="0.3">
      <c r="B48" s="372" t="s">
        <v>31</v>
      </c>
      <c r="C48" s="373"/>
      <c r="D48" s="373"/>
      <c r="E48" s="167">
        <f>E24</f>
        <v>228566.99000000002</v>
      </c>
      <c r="F48" s="168">
        <f t="shared" si="6"/>
        <v>113545.702</v>
      </c>
      <c r="G48" s="167">
        <f>G24</f>
        <v>21866.086000000003</v>
      </c>
      <c r="H48" s="167">
        <f>H24</f>
        <v>22105.409999999996</v>
      </c>
      <c r="I48" s="167">
        <f>I24</f>
        <v>23191.402000000002</v>
      </c>
      <c r="J48" s="167">
        <f>J24</f>
        <v>23191.402000000002</v>
      </c>
      <c r="K48" s="167">
        <f>K24</f>
        <v>23191.402000000002</v>
      </c>
      <c r="L48" s="18"/>
    </row>
    <row r="49" spans="1:16" ht="18.75" x14ac:dyDescent="0.3">
      <c r="B49" s="365" t="s">
        <v>40</v>
      </c>
      <c r="C49" s="366"/>
      <c r="D49" s="366"/>
      <c r="E49" s="169" t="e">
        <f>SUM(E44:E48)</f>
        <v>#REF!</v>
      </c>
      <c r="F49" s="168">
        <f t="shared" si="6"/>
        <v>50793139.183130004</v>
      </c>
      <c r="G49" s="168">
        <f>SUM(G44:G48)</f>
        <v>9271469.6590599995</v>
      </c>
      <c r="H49" s="168">
        <f>SUM(H44:H48)</f>
        <v>9885207.7925899997</v>
      </c>
      <c r="I49" s="168">
        <f>SUM(I44:I48)</f>
        <v>10935977.66192</v>
      </c>
      <c r="J49" s="168">
        <f>SUM(J44:J48)</f>
        <v>10325186.905580001</v>
      </c>
      <c r="K49" s="168">
        <f>SUM(K44:K48)</f>
        <v>10375297.163980002</v>
      </c>
      <c r="L49" s="18"/>
    </row>
    <row r="50" spans="1:16" ht="15" customHeight="1" x14ac:dyDescent="0.25">
      <c r="A50" s="43"/>
      <c r="B50" s="43"/>
      <c r="C50" s="44"/>
      <c r="D50" s="44"/>
      <c r="E50" s="44"/>
      <c r="F50" s="45"/>
      <c r="G50" s="46"/>
      <c r="H50" s="87"/>
      <c r="I50" s="113"/>
      <c r="J50" s="47"/>
      <c r="K50" s="47"/>
      <c r="L50" s="43"/>
      <c r="M50" s="43"/>
      <c r="N50" s="43"/>
      <c r="O50" s="43"/>
      <c r="P50" s="43"/>
    </row>
    <row r="51" spans="1:16" x14ac:dyDescent="0.25">
      <c r="E51" s="12" t="e">
        <f t="shared" ref="E51:K51" si="7">E18-E23-E24-E22</f>
        <v>#REF!</v>
      </c>
      <c r="F51" s="19">
        <f t="shared" si="7"/>
        <v>48130965.962170005</v>
      </c>
      <c r="G51" s="12">
        <f t="shared" si="7"/>
        <v>9201275.4300999995</v>
      </c>
      <c r="H51" s="12">
        <f t="shared" si="7"/>
        <v>9224870.1713399999</v>
      </c>
      <c r="I51" s="12">
        <f t="shared" si="7"/>
        <v>10295206.741169998</v>
      </c>
      <c r="J51" s="12">
        <f t="shared" si="7"/>
        <v>9707760.1805799995</v>
      </c>
      <c r="K51" s="12">
        <f t="shared" si="7"/>
        <v>9701853.4389800001</v>
      </c>
    </row>
    <row r="52" spans="1:16" ht="15.75" x14ac:dyDescent="0.25">
      <c r="C52" s="18"/>
      <c r="D52" s="18"/>
      <c r="E52" s="18"/>
      <c r="F52" s="48"/>
      <c r="G52" s="18">
        <v>7940993.6799999997</v>
      </c>
      <c r="H52" s="155">
        <f>H21-H22</f>
        <v>2734573.7823600005</v>
      </c>
      <c r="I52" s="89"/>
      <c r="J52" s="18"/>
      <c r="K52" s="18"/>
    </row>
    <row r="53" spans="1:16" ht="21" x14ac:dyDescent="0.35">
      <c r="E53" s="12"/>
      <c r="G53" s="12">
        <f>G51-G52</f>
        <v>1260281.7500999998</v>
      </c>
      <c r="I53" s="196">
        <f>I44+I45+I46</f>
        <v>10425792.729809999</v>
      </c>
      <c r="J53" s="196">
        <f t="shared" ref="J53:K53" si="8">J44+J45+J46</f>
        <v>9868243.77458</v>
      </c>
      <c r="K53" s="196">
        <f t="shared" si="8"/>
        <v>9918354.0329800006</v>
      </c>
    </row>
    <row r="54" spans="1:16" x14ac:dyDescent="0.25">
      <c r="E54" s="12"/>
      <c r="F54" s="49"/>
      <c r="G54" s="12">
        <v>77248.455000000002</v>
      </c>
      <c r="H54" s="84"/>
      <c r="I54" s="84"/>
      <c r="J54" s="26"/>
      <c r="K54" s="26"/>
    </row>
    <row r="55" spans="1:16" x14ac:dyDescent="0.25">
      <c r="E55" s="12"/>
      <c r="F55" s="49"/>
      <c r="G55" s="12">
        <v>38086.995999999999</v>
      </c>
      <c r="H55" s="84"/>
      <c r="I55" s="172"/>
      <c r="J55" s="12"/>
      <c r="K55" s="12"/>
    </row>
    <row r="56" spans="1:16" x14ac:dyDescent="0.25">
      <c r="E56" s="12"/>
      <c r="F56" s="49"/>
      <c r="G56" s="12">
        <v>10317.272000000001</v>
      </c>
      <c r="H56" s="84"/>
      <c r="I56" s="84"/>
      <c r="J56" s="26"/>
      <c r="K56" s="26"/>
    </row>
    <row r="57" spans="1:16" x14ac:dyDescent="0.25">
      <c r="E57" s="26"/>
      <c r="F57" s="49"/>
      <c r="G57" s="12">
        <v>14765.313</v>
      </c>
      <c r="H57" s="84"/>
      <c r="I57" s="84"/>
      <c r="J57" s="26"/>
      <c r="K57" s="26"/>
    </row>
    <row r="58" spans="1:16" ht="18.75" x14ac:dyDescent="0.3">
      <c r="F58" s="49"/>
      <c r="G58" s="171">
        <f>G53-G54-G55-G56-G57</f>
        <v>1119863.7140999995</v>
      </c>
      <c r="H58" s="83">
        <v>3045630.4169999999</v>
      </c>
      <c r="I58" s="83">
        <v>3034736.9649999999</v>
      </c>
      <c r="J58" s="2">
        <v>3029455.5619999999</v>
      </c>
    </row>
    <row r="59" spans="1:16" x14ac:dyDescent="0.25">
      <c r="E59" s="26"/>
      <c r="F59" s="49"/>
      <c r="G59" s="26"/>
      <c r="H59" s="84">
        <f>H45-H58</f>
        <v>-12819.547819999512</v>
      </c>
      <c r="I59" s="84">
        <f>I45-I58</f>
        <v>321826.44558999967</v>
      </c>
      <c r="J59" s="84">
        <f>J45-J58</f>
        <v>224775.15517000016</v>
      </c>
      <c r="K59" s="26"/>
    </row>
    <row r="60" spans="1:16" ht="18.75" x14ac:dyDescent="0.3">
      <c r="E60" s="26"/>
      <c r="F60" s="49"/>
      <c r="G60" s="171">
        <f>G44+G45+G46-381631.87-31248.655-'Подпрограмма 1'!G37-'Подпрограмма 1'!G38-'Подпрограмма 1'!G55-'Подпрограмма 1'!G56-'Подпрограмма 2'!G15-'Подпрограмма 2'!G16-76117.234-169016.64-191334.063-3714.581-61378.38-16688.036-19404.7-104095.455-129211.824-664.326</f>
        <v>2209287.2917600013</v>
      </c>
      <c r="H60" s="84"/>
      <c r="I60" s="84"/>
      <c r="J60" s="26"/>
      <c r="K60" s="26"/>
    </row>
    <row r="61" spans="1:16" ht="18.75" x14ac:dyDescent="0.3">
      <c r="F61" s="49"/>
      <c r="G61" s="171">
        <f>G60+32993+100271</f>
        <v>2342551.2917600013</v>
      </c>
      <c r="H61" s="84"/>
    </row>
    <row r="62" spans="1:16" ht="18.75" x14ac:dyDescent="0.3">
      <c r="G62" s="173">
        <f>G44+G45+G46-'Подпрограмма 1'!G37-'Подпрограмма 1'!G38-'Подпрограмма 1'!G55-'Подпрограмма 1'!G56-'Подпрограмма 2'!G15-'Подпрограмма 2'!G16-586466-364064-233970</f>
        <v>2209293.0557599999</v>
      </c>
    </row>
    <row r="63" spans="1:16" x14ac:dyDescent="0.25">
      <c r="F63" s="49"/>
      <c r="G63" s="26"/>
      <c r="H63" s="84"/>
      <c r="I63" s="84"/>
      <c r="J63" s="26"/>
      <c r="K63" s="26"/>
    </row>
    <row r="64" spans="1:16" x14ac:dyDescent="0.25">
      <c r="F64" s="49"/>
      <c r="G64" s="26"/>
      <c r="H64" s="84"/>
      <c r="I64" s="84"/>
      <c r="J64" s="26"/>
      <c r="K64" s="26"/>
    </row>
    <row r="65" spans="6:11" x14ac:dyDescent="0.25">
      <c r="F65" s="19"/>
      <c r="G65" s="12"/>
      <c r="H65" s="81"/>
      <c r="I65" s="81"/>
      <c r="J65" s="12"/>
      <c r="K65" s="12"/>
    </row>
  </sheetData>
  <mergeCells count="51">
    <mergeCell ref="F1:F2"/>
    <mergeCell ref="G1:K1"/>
    <mergeCell ref="L1:L2"/>
    <mergeCell ref="M1:M2"/>
    <mergeCell ref="A14:D14"/>
    <mergeCell ref="A1:A2"/>
    <mergeCell ref="B1:B2"/>
    <mergeCell ref="C1:C2"/>
    <mergeCell ref="D1:D2"/>
    <mergeCell ref="E1:E2"/>
    <mergeCell ref="A5:A8"/>
    <mergeCell ref="A16:D16"/>
    <mergeCell ref="B4:M4"/>
    <mergeCell ref="L5:L7"/>
    <mergeCell ref="M5:M7"/>
    <mergeCell ref="A9:A10"/>
    <mergeCell ref="B9:B10"/>
    <mergeCell ref="C9:C10"/>
    <mergeCell ref="L9:L10"/>
    <mergeCell ref="M9:M10"/>
    <mergeCell ref="A15:D15"/>
    <mergeCell ref="B11:B12"/>
    <mergeCell ref="M11:M12"/>
    <mergeCell ref="B5:B8"/>
    <mergeCell ref="C5:C8"/>
    <mergeCell ref="A19:D19"/>
    <mergeCell ref="A20:D20"/>
    <mergeCell ref="A21:D21"/>
    <mergeCell ref="A23:D23"/>
    <mergeCell ref="A22:D22"/>
    <mergeCell ref="B45:D45"/>
    <mergeCell ref="B46:D46"/>
    <mergeCell ref="B47:D47"/>
    <mergeCell ref="B48:D48"/>
    <mergeCell ref="B49:D49"/>
    <mergeCell ref="A17:D17"/>
    <mergeCell ref="A11:A12"/>
    <mergeCell ref="B44:D44"/>
    <mergeCell ref="B43:D43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A24:D24"/>
    <mergeCell ref="A18:D18"/>
  </mergeCells>
  <pageMargins left="0.19685039370078741" right="0.19685039370078741" top="0.59055118110236227" bottom="0.39370078740157483" header="0.39370078740157483" footer="0"/>
  <pageSetup paperSize="9" scale="43" firstPageNumber="16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2022-10-25T09:31:14Z</cp:lastPrinted>
  <dcterms:created xsi:type="dcterms:W3CDTF">2020-11-02T07:16:17Z</dcterms:created>
  <dcterms:modified xsi:type="dcterms:W3CDTF">2022-10-25T11:27:24Z</dcterms:modified>
</cp:coreProperties>
</file>