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10\общая\БЕЛОГЛАЗОВА-ГУБЕРНСКАЯ\ПРОГРАММА 2023-2027\2022\1 МП на 2023-2027 от 18.11.2022 № 6826\"/>
    </mc:Choice>
  </mc:AlternateContent>
  <bookViews>
    <workbookView xWindow="0" yWindow="0" windowWidth="28800" windowHeight="11835" tabRatio="792" activeTab="2"/>
  </bookViews>
  <sheets>
    <sheet name="Подпрограмма 1" sheetId="2" r:id="rId1"/>
    <sheet name="Подпрограмма 2" sheetId="3" r:id="rId2"/>
    <sheet name="Подпрограмма 3" sheetId="9" r:id="rId3"/>
  </sheets>
  <externalReferences>
    <externalReference r:id="rId4"/>
  </externalReferences>
  <definedNames>
    <definedName name="_xlnm._FilterDatabase" localSheetId="0" hidden="1">'Подпрограмма 1'!$A$23:$N$233</definedName>
    <definedName name="_xlnm._FilterDatabase" localSheetId="1" hidden="1">'Подпрограмма 2'!$A$7:$X$132</definedName>
    <definedName name="_xlnm.Print_Titles" localSheetId="0">'Подпрограмма 1'!$11:$14</definedName>
    <definedName name="_xlnm.Print_Titles" localSheetId="1">'Подпрограмма 2'!$2:$5</definedName>
    <definedName name="_xlnm.Print_Titles" localSheetId="2">'Подпрограмма 3'!$1:$3</definedName>
    <definedName name="_xlnm.Print_Area" localSheetId="0">'Подпрограмма 1'!$A$5:$M$233</definedName>
    <definedName name="_xlnm.Print_Area" localSheetId="1">'Подпрограмма 2'!$A$1:$M$132</definedName>
    <definedName name="_xlnm.Print_Area" localSheetId="2">'Подпрограмма 3'!$A$1:$Q$43</definedName>
  </definedNames>
  <calcPr calcId="152511"/>
</workbook>
</file>

<file path=xl/calcChain.xml><?xml version="1.0" encoding="utf-8"?>
<calcChain xmlns="http://schemas.openxmlformats.org/spreadsheetml/2006/main">
  <c r="G20" i="2" l="1"/>
  <c r="G232" i="2"/>
  <c r="H233" i="2"/>
  <c r="I233" i="2"/>
  <c r="J233" i="2"/>
  <c r="K233" i="2"/>
  <c r="G233" i="2"/>
  <c r="H23" i="2"/>
  <c r="I23" i="2"/>
  <c r="J23" i="2"/>
  <c r="K23" i="2"/>
  <c r="G23" i="2"/>
  <c r="K227" i="2"/>
  <c r="K31" i="9"/>
  <c r="K13" i="9" l="1"/>
  <c r="J13" i="9"/>
  <c r="I13" i="9"/>
  <c r="H13" i="9"/>
  <c r="G13" i="9"/>
  <c r="K73" i="2"/>
  <c r="J73" i="2"/>
  <c r="K46" i="2"/>
  <c r="J46" i="2"/>
  <c r="I46" i="2"/>
  <c r="H46" i="2"/>
  <c r="G46" i="2"/>
  <c r="I73" i="2"/>
  <c r="H73" i="2"/>
  <c r="G73" i="2"/>
  <c r="G236" i="2"/>
  <c r="I17" i="9" l="1"/>
  <c r="H17" i="9"/>
  <c r="G17" i="9"/>
  <c r="G130" i="2"/>
  <c r="G26" i="2" l="1"/>
  <c r="F240" i="2" l="1"/>
  <c r="F242" i="2"/>
  <c r="F245" i="2"/>
  <c r="F239" i="2"/>
  <c r="H49" i="9" l="1"/>
  <c r="I49" i="9"/>
  <c r="J49" i="9"/>
  <c r="K49" i="9"/>
  <c r="H50" i="9"/>
  <c r="I50" i="9"/>
  <c r="J50" i="9"/>
  <c r="K50" i="9"/>
  <c r="H46" i="9"/>
  <c r="I46" i="9"/>
  <c r="J46" i="9"/>
  <c r="K46" i="9"/>
  <c r="H47" i="9"/>
  <c r="I47" i="9"/>
  <c r="J47" i="9"/>
  <c r="K47" i="9"/>
  <c r="G50" i="9"/>
  <c r="G49" i="9"/>
  <c r="G47" i="9"/>
  <c r="G46" i="9"/>
  <c r="K24" i="3"/>
  <c r="J24" i="3"/>
  <c r="I24" i="3"/>
  <c r="H24" i="3"/>
  <c r="G24" i="3"/>
  <c r="K236" i="2" l="1"/>
  <c r="J236" i="2"/>
  <c r="I236" i="2"/>
  <c r="H236" i="2"/>
  <c r="K57" i="2"/>
  <c r="J57" i="2"/>
  <c r="I57" i="2"/>
  <c r="H57" i="2"/>
  <c r="G57" i="2"/>
  <c r="G246" i="2" l="1"/>
  <c r="G245" i="2"/>
  <c r="G244" i="2" l="1"/>
  <c r="G186" i="2"/>
  <c r="G19" i="2"/>
  <c r="G144" i="2"/>
  <c r="G143" i="2"/>
  <c r="G142" i="2"/>
  <c r="G92" i="2"/>
  <c r="G112" i="2"/>
  <c r="G91" i="2"/>
  <c r="G18" i="9" l="1"/>
  <c r="G108" i="2" l="1"/>
  <c r="H33" i="2"/>
  <c r="G33" i="2"/>
  <c r="H37" i="9" l="1"/>
  <c r="H57" i="9" s="1"/>
  <c r="I37" i="9"/>
  <c r="I57" i="9" s="1"/>
  <c r="J37" i="9"/>
  <c r="J57" i="9" s="1"/>
  <c r="K37" i="9"/>
  <c r="K57" i="9" s="1"/>
  <c r="K25" i="9"/>
  <c r="H26" i="9"/>
  <c r="I26" i="9"/>
  <c r="H29" i="9"/>
  <c r="G10" i="9"/>
  <c r="G29" i="9" s="1"/>
  <c r="H9" i="9"/>
  <c r="H28" i="9" s="1"/>
  <c r="K9" i="9"/>
  <c r="K28" i="9" s="1"/>
  <c r="G6" i="9"/>
  <c r="G25" i="9" s="1"/>
  <c r="H6" i="9"/>
  <c r="H25" i="9" s="1"/>
  <c r="I6" i="9"/>
  <c r="I25" i="9" s="1"/>
  <c r="J6" i="9"/>
  <c r="J25" i="9" s="1"/>
  <c r="K6" i="9"/>
  <c r="H7" i="9"/>
  <c r="I7" i="9"/>
  <c r="J7" i="9"/>
  <c r="J26" i="9" s="1"/>
  <c r="K7" i="9"/>
  <c r="K26" i="9" s="1"/>
  <c r="H8" i="9"/>
  <c r="H27" i="9" s="1"/>
  <c r="I8" i="9"/>
  <c r="I27" i="9" s="1"/>
  <c r="J8" i="9"/>
  <c r="J27" i="9" s="1"/>
  <c r="K8" i="9"/>
  <c r="K27" i="9" s="1"/>
  <c r="I9" i="9"/>
  <c r="I28" i="9" s="1"/>
  <c r="J9" i="9"/>
  <c r="J28" i="9" s="1"/>
  <c r="H10" i="9"/>
  <c r="I10" i="9"/>
  <c r="I29" i="9" s="1"/>
  <c r="J10" i="9"/>
  <c r="J29" i="9" s="1"/>
  <c r="K10" i="9"/>
  <c r="G8" i="9"/>
  <c r="G27" i="9" s="1"/>
  <c r="G7" i="9"/>
  <c r="G26" i="9" s="1"/>
  <c r="F26" i="9" s="1"/>
  <c r="F20" i="9"/>
  <c r="F21" i="9"/>
  <c r="F22" i="9"/>
  <c r="F23" i="9"/>
  <c r="F15" i="9"/>
  <c r="F16" i="9"/>
  <c r="F17" i="9"/>
  <c r="F19" i="9"/>
  <c r="F11" i="9"/>
  <c r="F12" i="9"/>
  <c r="F13" i="9"/>
  <c r="F14" i="9"/>
  <c r="F10" i="9" l="1"/>
  <c r="F25" i="9"/>
  <c r="K29" i="9"/>
  <c r="F29" i="9" s="1"/>
  <c r="J24" i="9"/>
  <c r="K24" i="9"/>
  <c r="I24" i="9"/>
  <c r="H24" i="9"/>
  <c r="I5" i="9"/>
  <c r="J5" i="9"/>
  <c r="K5" i="9"/>
  <c r="H5" i="9"/>
  <c r="F8" i="9"/>
  <c r="F27" i="9"/>
  <c r="F18" i="9"/>
  <c r="G9" i="9"/>
  <c r="F6" i="9"/>
  <c r="F7" i="9"/>
  <c r="F9" i="9"/>
  <c r="F90" i="3"/>
  <c r="F89" i="3"/>
  <c r="F88" i="3"/>
  <c r="I87" i="3"/>
  <c r="I83" i="3" s="1"/>
  <c r="F87" i="3"/>
  <c r="K86" i="3"/>
  <c r="J86" i="3"/>
  <c r="I86" i="3"/>
  <c r="H86" i="3"/>
  <c r="G86" i="3"/>
  <c r="K85" i="3"/>
  <c r="J85" i="3"/>
  <c r="I85" i="3"/>
  <c r="H85" i="3"/>
  <c r="G85" i="3"/>
  <c r="E85" i="3"/>
  <c r="K84" i="3"/>
  <c r="J84" i="3"/>
  <c r="I84" i="3"/>
  <c r="H84" i="3"/>
  <c r="G84" i="3"/>
  <c r="E84" i="3"/>
  <c r="K83" i="3"/>
  <c r="J83" i="3"/>
  <c r="H83" i="3"/>
  <c r="G83" i="3"/>
  <c r="E83" i="3"/>
  <c r="H82" i="3"/>
  <c r="F99" i="3"/>
  <c r="F98" i="3"/>
  <c r="F97" i="3"/>
  <c r="I96" i="3"/>
  <c r="I92" i="3" s="1"/>
  <c r="K95" i="3"/>
  <c r="J95" i="3"/>
  <c r="I95" i="3"/>
  <c r="H95" i="3"/>
  <c r="G95" i="3"/>
  <c r="K94" i="3"/>
  <c r="J94" i="3"/>
  <c r="I94" i="3"/>
  <c r="H94" i="3"/>
  <c r="G94" i="3"/>
  <c r="E94" i="3"/>
  <c r="K93" i="3"/>
  <c r="J93" i="3"/>
  <c r="I93" i="3"/>
  <c r="H93" i="3"/>
  <c r="G93" i="3"/>
  <c r="E93" i="3"/>
  <c r="K92" i="3"/>
  <c r="J92" i="3"/>
  <c r="J91" i="3" s="1"/>
  <c r="H92" i="3"/>
  <c r="G92" i="3"/>
  <c r="E92" i="3"/>
  <c r="F126" i="3"/>
  <c r="F125" i="3"/>
  <c r="F124" i="3"/>
  <c r="I123" i="3"/>
  <c r="F123" i="3" s="1"/>
  <c r="K122" i="3"/>
  <c r="J122" i="3"/>
  <c r="I122" i="3"/>
  <c r="H122" i="3"/>
  <c r="G122" i="3"/>
  <c r="K121" i="3"/>
  <c r="J121" i="3"/>
  <c r="I121" i="3"/>
  <c r="H121" i="3"/>
  <c r="G121" i="3"/>
  <c r="K120" i="3"/>
  <c r="J120" i="3"/>
  <c r="I120" i="3"/>
  <c r="H120" i="3"/>
  <c r="G120" i="3"/>
  <c r="E120" i="3"/>
  <c r="K119" i="3"/>
  <c r="J119" i="3"/>
  <c r="H119" i="3"/>
  <c r="G119" i="3"/>
  <c r="E119" i="3"/>
  <c r="F108" i="3"/>
  <c r="F107" i="3"/>
  <c r="F106" i="3"/>
  <c r="I105" i="3"/>
  <c r="I101" i="3" s="1"/>
  <c r="K104" i="3"/>
  <c r="J104" i="3"/>
  <c r="I104" i="3"/>
  <c r="H104" i="3"/>
  <c r="G104" i="3"/>
  <c r="K103" i="3"/>
  <c r="J103" i="3"/>
  <c r="I103" i="3"/>
  <c r="H103" i="3"/>
  <c r="G103" i="3"/>
  <c r="E103" i="3"/>
  <c r="K102" i="3"/>
  <c r="J102" i="3"/>
  <c r="I102" i="3"/>
  <c r="H102" i="3"/>
  <c r="G102" i="3"/>
  <c r="K101" i="3"/>
  <c r="J101" i="3"/>
  <c r="H101" i="3"/>
  <c r="G101" i="3"/>
  <c r="E101" i="3"/>
  <c r="F117" i="3"/>
  <c r="F116" i="3"/>
  <c r="F115" i="3"/>
  <c r="I114" i="3"/>
  <c r="I110" i="3" s="1"/>
  <c r="K113" i="3"/>
  <c r="J113" i="3"/>
  <c r="I113" i="3"/>
  <c r="H113" i="3"/>
  <c r="G113" i="3"/>
  <c r="K112" i="3"/>
  <c r="J112" i="3"/>
  <c r="I112" i="3"/>
  <c r="H112" i="3"/>
  <c r="G112" i="3"/>
  <c r="K111" i="3"/>
  <c r="J111" i="3"/>
  <c r="I111" i="3"/>
  <c r="H111" i="3"/>
  <c r="G111" i="3"/>
  <c r="K110" i="3"/>
  <c r="J110" i="3"/>
  <c r="H110" i="3"/>
  <c r="G110" i="3"/>
  <c r="G74" i="3"/>
  <c r="H44" i="3"/>
  <c r="I44" i="3"/>
  <c r="J44" i="3"/>
  <c r="K44" i="3"/>
  <c r="H45" i="3"/>
  <c r="I45" i="3"/>
  <c r="J45" i="3"/>
  <c r="K45" i="3"/>
  <c r="H46" i="3"/>
  <c r="I46" i="3"/>
  <c r="J46" i="3"/>
  <c r="K46" i="3"/>
  <c r="H47" i="3"/>
  <c r="I47" i="3"/>
  <c r="J47" i="3"/>
  <c r="K47" i="3"/>
  <c r="G47" i="3"/>
  <c r="G46" i="3"/>
  <c r="G45" i="3"/>
  <c r="G44" i="3"/>
  <c r="F81" i="3"/>
  <c r="F80" i="3"/>
  <c r="F79" i="3"/>
  <c r="I78" i="3"/>
  <c r="F78" i="3" s="1"/>
  <c r="K77" i="3"/>
  <c r="J77" i="3"/>
  <c r="I77" i="3"/>
  <c r="H77" i="3"/>
  <c r="G77" i="3"/>
  <c r="K76" i="3"/>
  <c r="J76" i="3"/>
  <c r="I76" i="3"/>
  <c r="H76" i="3"/>
  <c r="G76" i="3"/>
  <c r="K75" i="3"/>
  <c r="J75" i="3"/>
  <c r="I75" i="3"/>
  <c r="H75" i="3"/>
  <c r="G75" i="3"/>
  <c r="K74" i="3"/>
  <c r="J74" i="3"/>
  <c r="H74" i="3"/>
  <c r="F55" i="3"/>
  <c r="F54" i="3"/>
  <c r="F53" i="3"/>
  <c r="F52" i="3"/>
  <c r="F51" i="3"/>
  <c r="F50" i="3"/>
  <c r="F49" i="3"/>
  <c r="F48" i="3"/>
  <c r="J118" i="3" l="1"/>
  <c r="F122" i="3"/>
  <c r="E82" i="3"/>
  <c r="F104" i="3"/>
  <c r="F120" i="3"/>
  <c r="F95" i="3"/>
  <c r="F93" i="3"/>
  <c r="I82" i="3"/>
  <c r="F83" i="3"/>
  <c r="F86" i="3"/>
  <c r="G82" i="3"/>
  <c r="I91" i="3"/>
  <c r="H109" i="3"/>
  <c r="I119" i="3"/>
  <c r="I118" i="3" s="1"/>
  <c r="J82" i="3"/>
  <c r="H100" i="3"/>
  <c r="F111" i="3"/>
  <c r="G91" i="3"/>
  <c r="E91" i="3"/>
  <c r="F96" i="3"/>
  <c r="F85" i="3"/>
  <c r="F113" i="3"/>
  <c r="J100" i="3"/>
  <c r="F103" i="3"/>
  <c r="H91" i="3"/>
  <c r="F92" i="3"/>
  <c r="K82" i="3"/>
  <c r="G118" i="3"/>
  <c r="F84" i="3"/>
  <c r="F94" i="3"/>
  <c r="F121" i="3"/>
  <c r="H118" i="3"/>
  <c r="G28" i="9"/>
  <c r="G5" i="9"/>
  <c r="K91" i="3"/>
  <c r="K118" i="3"/>
  <c r="F101" i="3"/>
  <c r="I100" i="3"/>
  <c r="G100" i="3"/>
  <c r="I43" i="3"/>
  <c r="H43" i="3"/>
  <c r="J109" i="3"/>
  <c r="F105" i="3"/>
  <c r="H73" i="3"/>
  <c r="I74" i="3"/>
  <c r="J73" i="3"/>
  <c r="F77" i="3"/>
  <c r="K43" i="3"/>
  <c r="F75" i="3"/>
  <c r="J43" i="3"/>
  <c r="F102" i="3"/>
  <c r="K100" i="3"/>
  <c r="G43" i="3"/>
  <c r="I109" i="3"/>
  <c r="K73" i="3"/>
  <c r="K109" i="3"/>
  <c r="G109" i="3"/>
  <c r="F114" i="3"/>
  <c r="G73" i="3"/>
  <c r="F112" i="3"/>
  <c r="F76" i="3"/>
  <c r="F110" i="3"/>
  <c r="F44" i="3"/>
  <c r="F47" i="3"/>
  <c r="F82" i="3" l="1"/>
  <c r="F91" i="3"/>
  <c r="F109" i="3"/>
  <c r="F119" i="3"/>
  <c r="F100" i="3"/>
  <c r="I73" i="3"/>
  <c r="F74" i="3"/>
  <c r="F28" i="9"/>
  <c r="G24" i="9"/>
  <c r="F118" i="3"/>
  <c r="F73" i="3"/>
  <c r="H17" i="3"/>
  <c r="I17" i="3"/>
  <c r="J17" i="3"/>
  <c r="K17" i="3"/>
  <c r="H18" i="3"/>
  <c r="I18" i="3"/>
  <c r="J18" i="3"/>
  <c r="K18" i="3"/>
  <c r="H19" i="3"/>
  <c r="I19" i="3"/>
  <c r="J19" i="3"/>
  <c r="K19" i="3"/>
  <c r="H21" i="3"/>
  <c r="H132" i="3" s="1"/>
  <c r="I21" i="3"/>
  <c r="I132" i="3" s="1"/>
  <c r="J21" i="3"/>
  <c r="J132" i="3" s="1"/>
  <c r="K21" i="3"/>
  <c r="K132" i="3" s="1"/>
  <c r="G21" i="3"/>
  <c r="G132" i="3" s="1"/>
  <c r="G19" i="3"/>
  <c r="G18" i="3"/>
  <c r="G17" i="3"/>
  <c r="F42" i="3"/>
  <c r="F41" i="3"/>
  <c r="F40" i="3"/>
  <c r="F39" i="3"/>
  <c r="F38" i="3"/>
  <c r="F37" i="3"/>
  <c r="F36" i="3"/>
  <c r="F35" i="3"/>
  <c r="H36" i="9" l="1"/>
  <c r="H142" i="3"/>
  <c r="H141" i="3" s="1"/>
  <c r="G36" i="9"/>
  <c r="G142" i="3"/>
  <c r="G141" i="3" s="1"/>
  <c r="K36" i="9"/>
  <c r="K142" i="3"/>
  <c r="K141" i="3" s="1"/>
  <c r="I36" i="9"/>
  <c r="I142" i="3"/>
  <c r="I141" i="3" s="1"/>
  <c r="J36" i="9"/>
  <c r="J142" i="3"/>
  <c r="J141" i="3" s="1"/>
  <c r="F132" i="3"/>
  <c r="F31" i="3"/>
  <c r="F32" i="3"/>
  <c r="F33" i="3"/>
  <c r="F34" i="3"/>
  <c r="F27" i="3"/>
  <c r="F28" i="3"/>
  <c r="F29" i="3"/>
  <c r="F30" i="3"/>
  <c r="J56" i="9" l="1"/>
  <c r="J55" i="9" s="1"/>
  <c r="J35" i="9"/>
  <c r="I56" i="9"/>
  <c r="I55" i="9" s="1"/>
  <c r="I35" i="9"/>
  <c r="K56" i="9"/>
  <c r="K55" i="9" s="1"/>
  <c r="K35" i="9"/>
  <c r="H56" i="9"/>
  <c r="H55" i="9" s="1"/>
  <c r="H35" i="9"/>
  <c r="H25" i="3"/>
  <c r="H20" i="3" s="1"/>
  <c r="H16" i="3" s="1"/>
  <c r="I25" i="3"/>
  <c r="I20" i="3" s="1"/>
  <c r="I16" i="3" s="1"/>
  <c r="J25" i="3"/>
  <c r="J20" i="3" s="1"/>
  <c r="J16" i="3" s="1"/>
  <c r="K25" i="3"/>
  <c r="K20" i="3" s="1"/>
  <c r="K16" i="3" s="1"/>
  <c r="G25" i="3"/>
  <c r="G20" i="3" s="1"/>
  <c r="G16" i="3" s="1"/>
  <c r="F22" i="3"/>
  <c r="F23" i="3"/>
  <c r="F24" i="3"/>
  <c r="F26" i="3"/>
  <c r="H8" i="3"/>
  <c r="H128" i="3" s="1"/>
  <c r="H138" i="3" s="1"/>
  <c r="I8" i="3"/>
  <c r="I128" i="3" s="1"/>
  <c r="I138" i="3" s="1"/>
  <c r="J8" i="3"/>
  <c r="J128" i="3" s="1"/>
  <c r="J138" i="3" s="1"/>
  <c r="K8" i="3"/>
  <c r="K128" i="3" s="1"/>
  <c r="K138" i="3" s="1"/>
  <c r="H9" i="3"/>
  <c r="H129" i="3" s="1"/>
  <c r="H139" i="3" s="1"/>
  <c r="I9" i="3"/>
  <c r="I129" i="3" s="1"/>
  <c r="I139" i="3" s="1"/>
  <c r="J9" i="3"/>
  <c r="J129" i="3" s="1"/>
  <c r="J139" i="3" s="1"/>
  <c r="K9" i="3"/>
  <c r="K129" i="3" s="1"/>
  <c r="K139" i="3" s="1"/>
  <c r="H10" i="3"/>
  <c r="H130" i="3" s="1"/>
  <c r="H140" i="3" s="1"/>
  <c r="I10" i="3"/>
  <c r="I130" i="3" s="1"/>
  <c r="I140" i="3" s="1"/>
  <c r="J10" i="3"/>
  <c r="J130" i="3" s="1"/>
  <c r="J140" i="3" s="1"/>
  <c r="K10" i="3"/>
  <c r="K130" i="3" s="1"/>
  <c r="K140" i="3" s="1"/>
  <c r="H11" i="3"/>
  <c r="I11" i="3"/>
  <c r="J11" i="3"/>
  <c r="K11" i="3"/>
  <c r="G11" i="3"/>
  <c r="G10" i="3"/>
  <c r="G130" i="3" s="1"/>
  <c r="G140" i="3" s="1"/>
  <c r="G9" i="3"/>
  <c r="G129" i="3" s="1"/>
  <c r="G139" i="3" s="1"/>
  <c r="G8" i="3"/>
  <c r="G128" i="3" s="1"/>
  <c r="G138" i="3" s="1"/>
  <c r="F17" i="3"/>
  <c r="F18" i="3"/>
  <c r="G143" i="3" l="1"/>
  <c r="K131" i="3"/>
  <c r="I131" i="3"/>
  <c r="H143" i="3"/>
  <c r="J131" i="3"/>
  <c r="J143" i="3"/>
  <c r="I143" i="3"/>
  <c r="K143" i="3"/>
  <c r="H131" i="3"/>
  <c r="K127" i="3"/>
  <c r="I127" i="3"/>
  <c r="J127" i="3"/>
  <c r="F130" i="3"/>
  <c r="F128" i="3"/>
  <c r="G131" i="3"/>
  <c r="G127" i="3" s="1"/>
  <c r="F129" i="3"/>
  <c r="F20" i="3"/>
  <c r="F25" i="3"/>
  <c r="F11" i="3"/>
  <c r="F12" i="3"/>
  <c r="F13" i="3"/>
  <c r="F14" i="3"/>
  <c r="F15" i="3"/>
  <c r="F131" i="3" l="1"/>
  <c r="H127" i="3"/>
  <c r="F8" i="3"/>
  <c r="F9" i="3"/>
  <c r="F10" i="3"/>
  <c r="H231" i="2"/>
  <c r="I231" i="2"/>
  <c r="J231" i="2"/>
  <c r="H232" i="2"/>
  <c r="I232" i="2"/>
  <c r="J232" i="2"/>
  <c r="K232" i="2"/>
  <c r="G231" i="2"/>
  <c r="I213" i="2"/>
  <c r="J213" i="2"/>
  <c r="H214" i="2"/>
  <c r="I214" i="2"/>
  <c r="J214" i="2"/>
  <c r="K214" i="2"/>
  <c r="H215" i="2"/>
  <c r="I215" i="2"/>
  <c r="J215" i="2"/>
  <c r="K215" i="2"/>
  <c r="K213" i="2" s="1"/>
  <c r="H216" i="2"/>
  <c r="H213" i="2" s="1"/>
  <c r="I216" i="2"/>
  <c r="J216" i="2"/>
  <c r="K216" i="2"/>
  <c r="H217" i="2"/>
  <c r="I217" i="2"/>
  <c r="J217" i="2"/>
  <c r="K217" i="2"/>
  <c r="G217" i="2"/>
  <c r="G216" i="2"/>
  <c r="G215" i="2"/>
  <c r="G213" i="2" s="1"/>
  <c r="G214" i="2"/>
  <c r="F222" i="2"/>
  <c r="F223" i="2"/>
  <c r="F224" i="2"/>
  <c r="F225" i="2"/>
  <c r="F221" i="2"/>
  <c r="F218" i="2"/>
  <c r="F220" i="2"/>
  <c r="F219" i="2"/>
  <c r="H205" i="2"/>
  <c r="I205" i="2"/>
  <c r="J205" i="2"/>
  <c r="K205" i="2"/>
  <c r="H206" i="2"/>
  <c r="I206" i="2"/>
  <c r="J206" i="2"/>
  <c r="K206" i="2"/>
  <c r="H207" i="2"/>
  <c r="I207" i="2"/>
  <c r="J207" i="2"/>
  <c r="K207" i="2"/>
  <c r="H208" i="2"/>
  <c r="I208" i="2"/>
  <c r="J208" i="2"/>
  <c r="K208" i="2"/>
  <c r="G208" i="2"/>
  <c r="G207" i="2"/>
  <c r="G206" i="2"/>
  <c r="G205" i="2"/>
  <c r="F209" i="2"/>
  <c r="F210" i="2"/>
  <c r="F211" i="2"/>
  <c r="F212" i="2"/>
  <c r="H184" i="2"/>
  <c r="I184" i="2"/>
  <c r="J184" i="2"/>
  <c r="K184" i="2"/>
  <c r="H185" i="2"/>
  <c r="I185" i="2"/>
  <c r="J185" i="2"/>
  <c r="K185" i="2"/>
  <c r="H186" i="2"/>
  <c r="I186" i="2"/>
  <c r="J186" i="2"/>
  <c r="K186" i="2"/>
  <c r="H187" i="2"/>
  <c r="I187" i="2"/>
  <c r="J187" i="2"/>
  <c r="K187" i="2"/>
  <c r="G187" i="2"/>
  <c r="G183" i="2"/>
  <c r="G185" i="2"/>
  <c r="G184" i="2"/>
  <c r="F200" i="2"/>
  <c r="F201" i="2"/>
  <c r="F202" i="2"/>
  <c r="F203" i="2"/>
  <c r="F199" i="2"/>
  <c r="F192" i="2"/>
  <c r="F193" i="2"/>
  <c r="F194" i="2"/>
  <c r="F195" i="2"/>
  <c r="F191" i="2"/>
  <c r="F190" i="2"/>
  <c r="F189" i="2"/>
  <c r="F188" i="2"/>
  <c r="H175" i="2"/>
  <c r="I175" i="2"/>
  <c r="J175" i="2"/>
  <c r="K175" i="2"/>
  <c r="H176" i="2"/>
  <c r="I176" i="2"/>
  <c r="J176" i="2"/>
  <c r="K176" i="2"/>
  <c r="H177" i="2"/>
  <c r="I177" i="2"/>
  <c r="J177" i="2"/>
  <c r="K177" i="2"/>
  <c r="H178" i="2"/>
  <c r="I178" i="2"/>
  <c r="J178" i="2"/>
  <c r="K178" i="2"/>
  <c r="G178" i="2"/>
  <c r="G177" i="2"/>
  <c r="G176" i="2"/>
  <c r="G175" i="2"/>
  <c r="F182" i="2"/>
  <c r="F181" i="2"/>
  <c r="F180" i="2"/>
  <c r="F179" i="2"/>
  <c r="E177" i="2"/>
  <c r="E174" i="2" s="1"/>
  <c r="F146" i="2"/>
  <c r="H142" i="2"/>
  <c r="I142" i="2"/>
  <c r="J142" i="2"/>
  <c r="K142" i="2"/>
  <c r="H143" i="2"/>
  <c r="I143" i="2"/>
  <c r="J143" i="2"/>
  <c r="K143" i="2"/>
  <c r="H144" i="2"/>
  <c r="I144" i="2"/>
  <c r="J144" i="2"/>
  <c r="K144" i="2"/>
  <c r="H145" i="2"/>
  <c r="I145" i="2"/>
  <c r="J145" i="2"/>
  <c r="K145" i="2"/>
  <c r="G145" i="2"/>
  <c r="G141" i="2"/>
  <c r="F173" i="2"/>
  <c r="F172" i="2"/>
  <c r="F171" i="2"/>
  <c r="F170" i="2"/>
  <c r="F169" i="2"/>
  <c r="F168" i="2"/>
  <c r="F167" i="2"/>
  <c r="F166" i="2"/>
  <c r="G134" i="2"/>
  <c r="F165" i="2"/>
  <c r="F164" i="2"/>
  <c r="F163" i="2"/>
  <c r="F162" i="2"/>
  <c r="F161" i="2"/>
  <c r="F160" i="2"/>
  <c r="F159" i="2"/>
  <c r="F158" i="2"/>
  <c r="F154" i="2"/>
  <c r="F155" i="2"/>
  <c r="F156" i="2"/>
  <c r="F157" i="2"/>
  <c r="F150" i="2"/>
  <c r="F151" i="2"/>
  <c r="F152" i="2"/>
  <c r="F153" i="2"/>
  <c r="F207" i="2" l="1"/>
  <c r="J204" i="2"/>
  <c r="H204" i="2"/>
  <c r="K204" i="2"/>
  <c r="I204" i="2"/>
  <c r="F206" i="2"/>
  <c r="G204" i="2"/>
  <c r="K183" i="2"/>
  <c r="J183" i="2"/>
  <c r="I183" i="2"/>
  <c r="H183" i="2"/>
  <c r="F217" i="2"/>
  <c r="F143" i="2"/>
  <c r="F187" i="2"/>
  <c r="F208" i="2"/>
  <c r="F205" i="2"/>
  <c r="H141" i="2"/>
  <c r="J141" i="2"/>
  <c r="G174" i="2"/>
  <c r="I141" i="2"/>
  <c r="K141" i="2"/>
  <c r="F177" i="2"/>
  <c r="F144" i="2"/>
  <c r="F145" i="2"/>
  <c r="F142" i="2"/>
  <c r="J174" i="2"/>
  <c r="H174" i="2"/>
  <c r="I174" i="2"/>
  <c r="F175" i="2"/>
  <c r="F176" i="2"/>
  <c r="F178" i="2"/>
  <c r="K174" i="2"/>
  <c r="F147" i="2"/>
  <c r="F148" i="2"/>
  <c r="F149" i="2"/>
  <c r="F140" i="2"/>
  <c r="F141" i="2" l="1"/>
  <c r="F174" i="2"/>
  <c r="H133" i="2"/>
  <c r="I133" i="2"/>
  <c r="J133" i="2"/>
  <c r="K133" i="2"/>
  <c r="H134" i="2"/>
  <c r="I134" i="2"/>
  <c r="J134" i="2"/>
  <c r="K134" i="2"/>
  <c r="H135" i="2"/>
  <c r="I135" i="2"/>
  <c r="J135" i="2"/>
  <c r="K135" i="2"/>
  <c r="H136" i="2"/>
  <c r="I136" i="2"/>
  <c r="J136" i="2"/>
  <c r="K136" i="2"/>
  <c r="G136" i="2"/>
  <c r="G135" i="2"/>
  <c r="G133" i="2"/>
  <c r="F137" i="2"/>
  <c r="F138" i="2"/>
  <c r="F139" i="2"/>
  <c r="H124" i="2"/>
  <c r="I124" i="2"/>
  <c r="J124" i="2"/>
  <c r="K124" i="2"/>
  <c r="H125" i="2"/>
  <c r="I125" i="2"/>
  <c r="J125" i="2"/>
  <c r="K125" i="2"/>
  <c r="H126" i="2"/>
  <c r="I126" i="2"/>
  <c r="J126" i="2"/>
  <c r="K126" i="2"/>
  <c r="H127" i="2"/>
  <c r="I127" i="2"/>
  <c r="J127" i="2"/>
  <c r="K127" i="2"/>
  <c r="G127" i="2"/>
  <c r="G126" i="2"/>
  <c r="G125" i="2"/>
  <c r="G124" i="2"/>
  <c r="F128" i="2"/>
  <c r="F129" i="2"/>
  <c r="F130" i="2"/>
  <c r="F131" i="2"/>
  <c r="H115" i="2"/>
  <c r="J115" i="2"/>
  <c r="K115" i="2"/>
  <c r="H116" i="2"/>
  <c r="I116" i="2"/>
  <c r="J116" i="2"/>
  <c r="K116" i="2"/>
  <c r="H117" i="2"/>
  <c r="I117" i="2"/>
  <c r="J117" i="2"/>
  <c r="K117" i="2"/>
  <c r="H118" i="2"/>
  <c r="I118" i="2"/>
  <c r="J118" i="2"/>
  <c r="K118" i="2"/>
  <c r="G118" i="2"/>
  <c r="G117" i="2"/>
  <c r="G116" i="2"/>
  <c r="G115" i="2"/>
  <c r="G114" i="2" s="1"/>
  <c r="E135" i="2"/>
  <c r="E132" i="2" s="1"/>
  <c r="F122" i="2"/>
  <c r="F121" i="2"/>
  <c r="F120" i="2"/>
  <c r="I119" i="2"/>
  <c r="I115" i="2" s="1"/>
  <c r="E115" i="2"/>
  <c r="H90" i="2"/>
  <c r="K90" i="2"/>
  <c r="H91" i="2"/>
  <c r="K91" i="2"/>
  <c r="H92" i="2"/>
  <c r="K92" i="2"/>
  <c r="H93" i="2"/>
  <c r="K93" i="2"/>
  <c r="K231" i="2" s="1"/>
  <c r="F231" i="2" s="1"/>
  <c r="G93" i="2"/>
  <c r="G90" i="2"/>
  <c r="F110" i="2"/>
  <c r="F111" i="2"/>
  <c r="F112" i="2"/>
  <c r="F113" i="2"/>
  <c r="F106" i="2"/>
  <c r="F107" i="2"/>
  <c r="F108" i="2"/>
  <c r="F109" i="2"/>
  <c r="F105" i="2"/>
  <c r="I101" i="2"/>
  <c r="I93" i="2" s="1"/>
  <c r="J101" i="2"/>
  <c r="J93" i="2" s="1"/>
  <c r="I98" i="2"/>
  <c r="J98" i="2"/>
  <c r="J90" i="2" s="1"/>
  <c r="F95" i="2"/>
  <c r="F96" i="2"/>
  <c r="F97" i="2"/>
  <c r="H17" i="2"/>
  <c r="H227" i="2" s="1"/>
  <c r="H31" i="9" s="1"/>
  <c r="H52" i="9" s="1"/>
  <c r="I17" i="2"/>
  <c r="J17" i="2"/>
  <c r="K17" i="2"/>
  <c r="K52" i="9" s="1"/>
  <c r="H18" i="2"/>
  <c r="H228" i="2" s="1"/>
  <c r="I18" i="2"/>
  <c r="J18" i="2"/>
  <c r="K18" i="2"/>
  <c r="H19" i="2"/>
  <c r="H20" i="2"/>
  <c r="H230" i="2" s="1"/>
  <c r="H34" i="9" s="1"/>
  <c r="I20" i="2"/>
  <c r="I230" i="2" s="1"/>
  <c r="I34" i="9" s="1"/>
  <c r="J20" i="2"/>
  <c r="J230" i="2" s="1"/>
  <c r="J34" i="9" s="1"/>
  <c r="K20" i="2"/>
  <c r="K230" i="2" s="1"/>
  <c r="K34" i="9" s="1"/>
  <c r="H22" i="2"/>
  <c r="I22" i="2"/>
  <c r="J22" i="2"/>
  <c r="K22" i="2"/>
  <c r="G230" i="2"/>
  <c r="G18" i="2"/>
  <c r="G17" i="2"/>
  <c r="J227" i="2" l="1"/>
  <c r="J31" i="9" s="1"/>
  <c r="J52" i="9" s="1"/>
  <c r="H229" i="2"/>
  <c r="H33" i="9" s="1"/>
  <c r="H54" i="9" s="1"/>
  <c r="G229" i="2"/>
  <c r="G33" i="9" s="1"/>
  <c r="G54" i="9" s="1"/>
  <c r="K228" i="2"/>
  <c r="K32" i="9" s="1"/>
  <c r="K53" i="9" s="1"/>
  <c r="G228" i="2"/>
  <c r="G34" i="9"/>
  <c r="F34" i="9" s="1"/>
  <c r="F230" i="2"/>
  <c r="H32" i="9"/>
  <c r="H53" i="9" s="1"/>
  <c r="G32" i="9"/>
  <c r="G53" i="9" s="1"/>
  <c r="I114" i="2"/>
  <c r="G132" i="2"/>
  <c r="G123" i="2"/>
  <c r="K123" i="2"/>
  <c r="F134" i="2"/>
  <c r="K89" i="2"/>
  <c r="K114" i="2"/>
  <c r="J123" i="2"/>
  <c r="J114" i="2"/>
  <c r="I123" i="2"/>
  <c r="F135" i="2"/>
  <c r="H114" i="2"/>
  <c r="H123" i="2"/>
  <c r="H89" i="2"/>
  <c r="F126" i="2"/>
  <c r="K132" i="2"/>
  <c r="J132" i="2"/>
  <c r="I132" i="2"/>
  <c r="F133" i="2"/>
  <c r="H132" i="2"/>
  <c r="F136" i="2"/>
  <c r="G89" i="2"/>
  <c r="F119" i="2"/>
  <c r="F124" i="2"/>
  <c r="F125" i="2"/>
  <c r="F127" i="2"/>
  <c r="F98" i="2"/>
  <c r="F93" i="2"/>
  <c r="F101" i="2"/>
  <c r="F17" i="2"/>
  <c r="F88" i="2"/>
  <c r="F87" i="2"/>
  <c r="F86" i="2"/>
  <c r="F85" i="2"/>
  <c r="F84" i="2"/>
  <c r="F83" i="2"/>
  <c r="F82" i="2"/>
  <c r="F81" i="2"/>
  <c r="I80" i="2"/>
  <c r="J80" i="2"/>
  <c r="K80" i="2"/>
  <c r="F77" i="2"/>
  <c r="F78" i="2"/>
  <c r="K79" i="2"/>
  <c r="K19" i="2" s="1"/>
  <c r="K229" i="2" s="1"/>
  <c r="K33" i="9" s="1"/>
  <c r="K54" i="9" s="1"/>
  <c r="J79" i="2"/>
  <c r="J19" i="2" s="1"/>
  <c r="I79" i="2"/>
  <c r="H75" i="2"/>
  <c r="I75" i="2"/>
  <c r="J75" i="2"/>
  <c r="K75" i="2"/>
  <c r="G75" i="2"/>
  <c r="F71" i="2"/>
  <c r="F72" i="2"/>
  <c r="F73" i="2"/>
  <c r="F74" i="2"/>
  <c r="F76" i="2"/>
  <c r="E72" i="2"/>
  <c r="H226" i="2" l="1"/>
  <c r="H30" i="9"/>
  <c r="K226" i="2"/>
  <c r="K30" i="9"/>
  <c r="F132" i="2"/>
  <c r="F80" i="2"/>
  <c r="F79" i="2"/>
  <c r="I19" i="2"/>
  <c r="F75" i="2"/>
  <c r="F70" i="2"/>
  <c r="F69" i="2"/>
  <c r="F68" i="2"/>
  <c r="F67" i="2"/>
  <c r="F66" i="2"/>
  <c r="F65" i="2"/>
  <c r="F64" i="2"/>
  <c r="F63" i="2"/>
  <c r="F59" i="2"/>
  <c r="F60" i="2"/>
  <c r="F61" i="2"/>
  <c r="F62" i="2"/>
  <c r="F55" i="2"/>
  <c r="F56" i="2"/>
  <c r="F57" i="2"/>
  <c r="F58" i="2"/>
  <c r="F51" i="2"/>
  <c r="F52" i="2"/>
  <c r="F53" i="2"/>
  <c r="F54" i="2"/>
  <c r="F44" i="2"/>
  <c r="H48" i="2"/>
  <c r="H21" i="2" s="1"/>
  <c r="H16" i="2" s="1"/>
  <c r="I48" i="2"/>
  <c r="I21" i="2" s="1"/>
  <c r="J48" i="2"/>
  <c r="J21" i="2" s="1"/>
  <c r="J16" i="2" s="1"/>
  <c r="K48" i="2"/>
  <c r="K21" i="2" s="1"/>
  <c r="K16" i="2" s="1"/>
  <c r="G48" i="2"/>
  <c r="G21" i="2" s="1"/>
  <c r="F40" i="2"/>
  <c r="F41" i="2"/>
  <c r="F42" i="2"/>
  <c r="F43" i="2"/>
  <c r="F39" i="2"/>
  <c r="F38" i="2"/>
  <c r="F36" i="2"/>
  <c r="I16" i="2" l="1"/>
  <c r="F21" i="2"/>
  <c r="G16" i="2"/>
  <c r="F48" i="2"/>
  <c r="F29" i="2"/>
  <c r="F30" i="2"/>
  <c r="F31" i="2"/>
  <c r="F32" i="2"/>
  <c r="F33" i="2"/>
  <c r="F34" i="2"/>
  <c r="F35" i="2"/>
  <c r="F37" i="2"/>
  <c r="F45" i="2"/>
  <c r="F28" i="2"/>
  <c r="F25" i="2"/>
  <c r="F26" i="2"/>
  <c r="F27" i="2"/>
  <c r="F16" i="2" l="1"/>
  <c r="F24" i="2"/>
  <c r="H137" i="3" l="1"/>
  <c r="G137" i="3"/>
  <c r="H240" i="2"/>
  <c r="G240" i="2"/>
  <c r="G237" i="2" l="1"/>
  <c r="H237" i="2"/>
  <c r="E29" i="9" l="1"/>
  <c r="F186" i="2" l="1"/>
  <c r="F185" i="2"/>
  <c r="F117" i="2" l="1"/>
  <c r="E144" i="2"/>
  <c r="E117" i="2" s="1"/>
  <c r="E143" i="2"/>
  <c r="E141" i="2" l="1"/>
  <c r="E26" i="9" l="1"/>
  <c r="J99" i="2" l="1"/>
  <c r="J91" i="2" s="1"/>
  <c r="J228" i="2" s="1"/>
  <c r="I99" i="2"/>
  <c r="J100" i="2"/>
  <c r="J92" i="2" s="1"/>
  <c r="J229" i="2" s="1"/>
  <c r="J33" i="9" s="1"/>
  <c r="J54" i="9" s="1"/>
  <c r="I100" i="2"/>
  <c r="I92" i="2" s="1"/>
  <c r="I229" i="2" s="1"/>
  <c r="I33" i="9" l="1"/>
  <c r="F229" i="2"/>
  <c r="J32" i="9"/>
  <c r="J226" i="2"/>
  <c r="F99" i="2"/>
  <c r="I91" i="2"/>
  <c r="I228" i="2" s="1"/>
  <c r="J89" i="2"/>
  <c r="F100" i="2"/>
  <c r="J30" i="9" l="1"/>
  <c r="J53" i="9"/>
  <c r="F33" i="9"/>
  <c r="I54" i="9"/>
  <c r="I32" i="9"/>
  <c r="I53" i="9" s="1"/>
  <c r="F228" i="2"/>
  <c r="E92" i="2" l="1"/>
  <c r="E91" i="2"/>
  <c r="H246" i="2" l="1"/>
  <c r="H244" i="2" l="1"/>
  <c r="E90" i="2"/>
  <c r="F102" i="2" l="1"/>
  <c r="E230" i="2" l="1"/>
  <c r="F46" i="3" l="1"/>
  <c r="E46" i="3"/>
  <c r="E19" i="3"/>
  <c r="F19" i="3" l="1"/>
  <c r="E89" i="2" l="1"/>
  <c r="I94" i="2"/>
  <c r="I90" i="2" s="1"/>
  <c r="I227" i="2" s="1"/>
  <c r="E18" i="2"/>
  <c r="E17" i="2"/>
  <c r="I31" i="9" l="1"/>
  <c r="I226" i="2"/>
  <c r="I89" i="2"/>
  <c r="F90" i="2"/>
  <c r="F91" i="2"/>
  <c r="F104" i="2"/>
  <c r="F103" i="2"/>
  <c r="I30" i="9" l="1"/>
  <c r="I52" i="9"/>
  <c r="F92" i="2"/>
  <c r="E20" i="2"/>
  <c r="F47" i="2"/>
  <c r="F20" i="2" l="1"/>
  <c r="F19" i="2" l="1"/>
  <c r="H59" i="3" l="1"/>
  <c r="E69" i="3"/>
  <c r="E68" i="3"/>
  <c r="G57" i="3"/>
  <c r="H57" i="3"/>
  <c r="I57" i="3"/>
  <c r="J57" i="3"/>
  <c r="K57" i="3"/>
  <c r="G58" i="3"/>
  <c r="H58" i="3"/>
  <c r="I58" i="3"/>
  <c r="J58" i="3"/>
  <c r="K58" i="3"/>
  <c r="G59" i="3"/>
  <c r="I59" i="3"/>
  <c r="J59" i="3"/>
  <c r="K59" i="3"/>
  <c r="E59" i="3"/>
  <c r="E58" i="3"/>
  <c r="E112" i="3" s="1"/>
  <c r="E57" i="3"/>
  <c r="F45" i="3"/>
  <c r="E45" i="3"/>
  <c r="E43" i="3" s="1"/>
  <c r="F60" i="3"/>
  <c r="E74" i="3"/>
  <c r="E185" i="2"/>
  <c r="E184" i="2"/>
  <c r="F21" i="3" l="1"/>
  <c r="E128" i="3"/>
  <c r="E138" i="3" s="1"/>
  <c r="E56" i="3"/>
  <c r="K56" i="3"/>
  <c r="F59" i="3"/>
  <c r="J56" i="3"/>
  <c r="F58" i="3"/>
  <c r="G56" i="3"/>
  <c r="F57" i="3"/>
  <c r="I56" i="3"/>
  <c r="F18" i="2" l="1"/>
  <c r="F135" i="3" l="1"/>
  <c r="E50" i="9" l="1"/>
  <c r="E49" i="9"/>
  <c r="I137" i="3"/>
  <c r="J137" i="3"/>
  <c r="K137" i="3"/>
  <c r="E137" i="3"/>
  <c r="K240" i="2"/>
  <c r="J240" i="2"/>
  <c r="I240" i="2"/>
  <c r="E240" i="2"/>
  <c r="F238" i="2"/>
  <c r="E236" i="2"/>
  <c r="E46" i="9" s="1"/>
  <c r="E235" i="2"/>
  <c r="G51" i="9" l="1"/>
  <c r="F49" i="9"/>
  <c r="F50" i="9"/>
  <c r="J48" i="9"/>
  <c r="F137" i="3"/>
  <c r="F136" i="3"/>
  <c r="K237" i="2"/>
  <c r="E237" i="2"/>
  <c r="F235" i="2"/>
  <c r="F236" i="2"/>
  <c r="E47" i="9"/>
  <c r="E48" i="9" s="1"/>
  <c r="J237" i="2"/>
  <c r="K48" i="9"/>
  <c r="I237" i="2"/>
  <c r="H51" i="9"/>
  <c r="E51" i="9"/>
  <c r="K51" i="9"/>
  <c r="J51" i="9"/>
  <c r="I51" i="9"/>
  <c r="I48" i="9"/>
  <c r="H48" i="9" l="1"/>
  <c r="F47" i="9"/>
  <c r="F46" i="9"/>
  <c r="G48" i="9"/>
  <c r="F51" i="9"/>
  <c r="F237" i="2"/>
  <c r="F48" i="9" l="1"/>
  <c r="E46" i="2" l="1"/>
  <c r="E19" i="2" s="1"/>
  <c r="F89" i="2" l="1"/>
  <c r="E126" i="2"/>
  <c r="G22" i="2"/>
  <c r="E23" i="2"/>
  <c r="E22" i="2"/>
  <c r="F50" i="2"/>
  <c r="F49" i="2"/>
  <c r="N29" i="9"/>
  <c r="F232" i="2" l="1"/>
  <c r="G37" i="9"/>
  <c r="F233" i="2"/>
  <c r="E123" i="2"/>
  <c r="E116" i="2"/>
  <c r="E114" i="2" s="1"/>
  <c r="F116" i="2"/>
  <c r="F22" i="2"/>
  <c r="F23" i="2"/>
  <c r="F115" i="2"/>
  <c r="E34" i="9"/>
  <c r="F37" i="9" l="1"/>
  <c r="G57" i="9"/>
  <c r="G35" i="9"/>
  <c r="F35" i="9" s="1"/>
  <c r="F36" i="9"/>
  <c r="G56" i="9"/>
  <c r="G55" i="9" s="1"/>
  <c r="F55" i="9" s="1"/>
  <c r="F123" i="2"/>
  <c r="H245" i="2"/>
  <c r="N31" i="9"/>
  <c r="E21" i="3" l="1"/>
  <c r="E132" i="3" s="1"/>
  <c r="F62" i="3"/>
  <c r="F61" i="3"/>
  <c r="J246" i="2"/>
  <c r="J244" i="2" s="1"/>
  <c r="E206" i="2"/>
  <c r="E207" i="2"/>
  <c r="E186" i="2"/>
  <c r="E227" i="2"/>
  <c r="E215" i="2" s="1"/>
  <c r="F198" i="2"/>
  <c r="F197" i="2"/>
  <c r="F196" i="2"/>
  <c r="I246" i="2"/>
  <c r="K246" i="2"/>
  <c r="K244" i="2" s="1"/>
  <c r="E16" i="2"/>
  <c r="I244" i="2" l="1"/>
  <c r="F244" i="2" s="1"/>
  <c r="F246" i="2"/>
  <c r="E142" i="3"/>
  <c r="E111" i="3"/>
  <c r="F141" i="3"/>
  <c r="F184" i="2"/>
  <c r="H241" i="2"/>
  <c r="K245" i="2"/>
  <c r="J245" i="2"/>
  <c r="I245" i="2"/>
  <c r="F138" i="3"/>
  <c r="H56" i="3"/>
  <c r="F56" i="3" s="1"/>
  <c r="K241" i="2"/>
  <c r="F241" i="2" s="1"/>
  <c r="J241" i="2"/>
  <c r="E241" i="2"/>
  <c r="I241" i="2"/>
  <c r="E229" i="2"/>
  <c r="E243" i="2" s="1"/>
  <c r="E183" i="2"/>
  <c r="F43" i="3"/>
  <c r="E16" i="3"/>
  <c r="F16" i="3" l="1"/>
  <c r="F183" i="2"/>
  <c r="F118" i="2"/>
  <c r="F114" i="2"/>
  <c r="F142" i="3"/>
  <c r="F5" i="9" l="1"/>
  <c r="E8" i="9"/>
  <c r="E5" i="9" s="1"/>
  <c r="E27" i="9" l="1"/>
  <c r="E24" i="9" s="1"/>
  <c r="F24" i="9" l="1"/>
  <c r="P22" i="9"/>
  <c r="N17" i="9"/>
  <c r="P17" i="9" s="1"/>
  <c r="N13" i="9"/>
  <c r="P13" i="9" s="1"/>
  <c r="K69" i="3"/>
  <c r="K68" i="3"/>
  <c r="J69" i="3"/>
  <c r="J68" i="3"/>
  <c r="I69" i="3"/>
  <c r="I68" i="3"/>
  <c r="H69" i="3"/>
  <c r="H68" i="3"/>
  <c r="G69" i="3"/>
  <c r="G68" i="3"/>
  <c r="Q128" i="3"/>
  <c r="E31" i="9" l="1"/>
  <c r="E52" i="9" s="1"/>
  <c r="E129" i="3"/>
  <c r="J67" i="3"/>
  <c r="G67" i="3"/>
  <c r="K67" i="3"/>
  <c r="I67" i="3"/>
  <c r="H67" i="3"/>
  <c r="E67" i="3"/>
  <c r="F72" i="3"/>
  <c r="F71" i="3"/>
  <c r="F70" i="3"/>
  <c r="F66" i="3"/>
  <c r="F65" i="3"/>
  <c r="F63" i="3"/>
  <c r="F64" i="3"/>
  <c r="F46" i="2"/>
  <c r="F94" i="2"/>
  <c r="E10" i="3"/>
  <c r="E130" i="3" s="1"/>
  <c r="E204" i="2"/>
  <c r="E110" i="3" l="1"/>
  <c r="E109" i="3" s="1"/>
  <c r="E102" i="3"/>
  <c r="E100" i="3" s="1"/>
  <c r="E139" i="3"/>
  <c r="E121" i="3" s="1"/>
  <c r="E118" i="3" s="1"/>
  <c r="E76" i="3"/>
  <c r="F216" i="2"/>
  <c r="H242" i="2"/>
  <c r="H243" i="2"/>
  <c r="H247" i="2" s="1"/>
  <c r="G243" i="2"/>
  <c r="G242" i="2"/>
  <c r="J243" i="2"/>
  <c r="J247" i="2" s="1"/>
  <c r="I243" i="2"/>
  <c r="I247" i="2" s="1"/>
  <c r="I242" i="2"/>
  <c r="K242" i="2"/>
  <c r="J242" i="2"/>
  <c r="E127" i="3"/>
  <c r="E75" i="3" s="1"/>
  <c r="E140" i="3"/>
  <c r="E143" i="3" s="1"/>
  <c r="N33" i="9"/>
  <c r="E73" i="3" l="1"/>
  <c r="G247" i="2"/>
  <c r="F204" i="2"/>
  <c r="K243" i="2"/>
  <c r="K247" i="2" s="1"/>
  <c r="F139" i="3"/>
  <c r="F243" i="2" l="1"/>
  <c r="F247" i="2"/>
  <c r="E228" i="2"/>
  <c r="E242" i="2" l="1"/>
  <c r="E216" i="2"/>
  <c r="N32" i="9"/>
  <c r="E7" i="3" l="1"/>
  <c r="J7" i="3" l="1"/>
  <c r="K7" i="3"/>
  <c r="H7" i="3"/>
  <c r="I7" i="3"/>
  <c r="G7" i="3"/>
  <c r="F127" i="3" l="1"/>
  <c r="F7" i="3"/>
  <c r="F140" i="3" l="1"/>
  <c r="F143" i="3" l="1"/>
  <c r="E33" i="9"/>
  <c r="E53" i="9" s="1"/>
  <c r="J58" i="9" l="1"/>
  <c r="K58" i="9"/>
  <c r="F56" i="9"/>
  <c r="F57" i="9"/>
  <c r="I58" i="9" l="1"/>
  <c r="H58" i="9"/>
  <c r="F53" i="9"/>
  <c r="F32" i="9"/>
  <c r="E32" i="9"/>
  <c r="E54" i="9" s="1"/>
  <c r="E233" i="2"/>
  <c r="E246" i="2" s="1"/>
  <c r="F54" i="9" l="1"/>
  <c r="E232" i="2"/>
  <c r="E226" i="2" l="1"/>
  <c r="E214" i="2" s="1"/>
  <c r="E213" i="2" s="1"/>
  <c r="E245" i="2"/>
  <c r="E37" i="9" l="1"/>
  <c r="E57" i="9" s="1"/>
  <c r="E36" i="9" l="1"/>
  <c r="E30" i="9" l="1"/>
  <c r="E56" i="9"/>
  <c r="E58" i="9" s="1"/>
  <c r="Q132" i="3"/>
  <c r="Q129" i="3"/>
  <c r="Q130" i="3" l="1"/>
  <c r="E247" i="2" l="1"/>
  <c r="F68" i="3" l="1"/>
  <c r="F69" i="3"/>
  <c r="F67" i="3" l="1"/>
  <c r="F214" i="2"/>
  <c r="G227" i="2"/>
  <c r="G31" i="9" l="1"/>
  <c r="G226" i="2"/>
  <c r="F226" i="2" s="1"/>
  <c r="N36" i="9" s="1"/>
  <c r="F227" i="2"/>
  <c r="N37" i="9" s="1"/>
  <c r="G241" i="2"/>
  <c r="G30" i="9" l="1"/>
  <c r="F30" i="9" s="1"/>
  <c r="G52" i="9"/>
  <c r="F31" i="9"/>
  <c r="F213" i="2"/>
  <c r="F215" i="2"/>
  <c r="F52" i="9"/>
  <c r="G58" i="9"/>
  <c r="F58" i="9" s="1"/>
</calcChain>
</file>

<file path=xl/comments1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47920 - УО, 256017 -хэс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хэс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19341,952 - хэс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19341,952 - хэс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63,482 - хэс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63,482 - хэс</t>
        </r>
      </text>
    </comment>
  </commentList>
</comments>
</file>

<file path=xl/comments2.xml><?xml version="1.0" encoding="utf-8"?>
<comments xmlns="http://schemas.openxmlformats.org/spreadsheetml/2006/main">
  <authors>
    <author>Губернская Екатерина Геннадьевна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164,566 - хэс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164,566 - хэс
</t>
        </r>
      </text>
    </comment>
  </commentList>
</comments>
</file>

<file path=xl/sharedStrings.xml><?xml version="1.0" encoding="utf-8"?>
<sst xmlns="http://schemas.openxmlformats.org/spreadsheetml/2006/main" count="870" uniqueCount="262">
  <si>
    <t>№ п/п</t>
  </si>
  <si>
    <t>Средства бюджета Московской области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</si>
  <si>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</si>
  <si>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</si>
  <si>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</si>
  <si>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</si>
  <si>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</si>
  <si>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</si>
  <si>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</si>
  <si>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</si>
  <si>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</si>
  <si>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</si>
  <si>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</si>
  <si>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</si>
  <si>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</si>
  <si>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</si>
  <si>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</si>
  <si>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</si>
  <si>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</si>
  <si>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Объем финансирования по годам (тыс. рублей)</t>
  </si>
  <si>
    <t>Объем финансирования по годам (тыс. руб.)</t>
  </si>
  <si>
    <t>Обеспечение 100% оплаты проезда к месту учебы и обратно отдельным категориям обучающихся</t>
  </si>
  <si>
    <t>ВСЕГО по Муниципальной программе, в том числе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</si>
  <si>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</si>
  <si>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</si>
  <si>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</si>
  <si>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</si>
  <si>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</si>
  <si>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</si>
  <si>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</si>
  <si>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</si>
  <si>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</si>
  <si>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</si>
  <si>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</si>
  <si>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</si>
  <si>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</si>
  <si>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</si>
  <si>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</si>
  <si>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</si>
  <si>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</si>
  <si>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</si>
  <si>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</si>
  <si>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</si>
  <si>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4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</si>
  <si>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</si>
  <si>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</si>
  <si>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</si>
  <si>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</si>
  <si>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</si>
  <si>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</si>
  <si>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</si>
  <si>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2023 год</t>
  </si>
  <si>
    <t>2024 год</t>
  </si>
  <si>
    <t>2020-2024 годы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</si>
  <si>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</si>
  <si>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</si>
  <si>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</si>
  <si>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>Срок исполнения мероприятия</t>
  </si>
  <si>
    <t>4.1</t>
  </si>
  <si>
    <t>5.1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</si>
  <si>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</si>
  <si>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</si>
  <si>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</si>
  <si>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</si>
  <si>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</si>
  <si>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</si>
  <si>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</si>
  <si>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</si>
  <si>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</si>
  <si>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</si>
  <si>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</si>
  <si>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</si>
  <si>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</si>
  <si>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</si>
  <si>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</si>
  <si>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</si>
  <si>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</si>
  <si>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</si>
  <si>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</si>
  <si>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</si>
  <si>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</si>
  <si>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</si>
  <si>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</si>
  <si>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</si>
  <si>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</si>
  <si>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</si>
  <si>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</si>
  <si>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Управление образования, МАОУ "ОЦЭВ"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</si>
  <si>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</si>
  <si>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</si>
  <si>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</si>
  <si>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</si>
  <si>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</si>
  <si>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"Обеспечивающая подпрограмма"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</si>
  <si>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</si>
  <si>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</si>
  <si>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</si>
  <si>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Обеспечение  дошкольных 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</si>
  <si>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</si>
  <si>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</si>
  <si>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</si>
  <si>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</si>
  <si>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</si>
  <si>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</si>
  <si>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</si>
  <si>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</si>
  <si>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1.9</t>
  </si>
  <si>
    <t>1.10</t>
  </si>
  <si>
    <t>100% обеспеченность горячим питанием обучающихся, получающих начальное общее образование</t>
  </si>
  <si>
    <t>6.3</t>
  </si>
  <si>
    <t>2</t>
  </si>
  <si>
    <t>Основное мероприятие 01. "Финансовое обеспечение деятельности образовательных организаций"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</si>
  <si>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</si>
  <si>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</si>
  <si>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</si>
  <si>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</si>
  <si>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</si>
  <si>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Основное мероприятие 01. "Создание условий для реализации полномочий органов местного самоуправления"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</si>
  <si>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</si>
  <si>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 xml:space="preserve">Приобретение автобусов для доставки обучающихся в общеобразовательные организации 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</si>
  <si>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</si>
  <si>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</si>
  <si>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</si>
  <si>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</si>
  <si>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t>1.11</t>
  </si>
  <si>
    <t>Мероприятие 08.02. Оснащение отремонтированных зданий общеобразовательных организаций средствами обучения и воспитания</t>
  </si>
  <si>
    <t>1.12</t>
  </si>
  <si>
    <t>1.13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</si>
  <si>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</si>
  <si>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Создание детского технопарка "Кванториум"</t>
  </si>
  <si>
    <t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</si>
  <si>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от «___» __________ 2022 № ______</t>
  </si>
  <si>
    <t>УМЦ "Развитие образования",     МБОУ ОРЦ "Сопровождение", МАУ "Комбинат питания "Доброе кафе"</t>
  </si>
  <si>
    <t>Приложение 4</t>
  </si>
  <si>
    <t>2025 год</t>
  </si>
  <si>
    <t>2026 год</t>
  </si>
  <si>
    <t>2027 год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</si>
  <si>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2023-2027 ГОДЫ</t>
  </si>
  <si>
    <t>2023-2027 годы</t>
  </si>
  <si>
    <t>Внебюджетные источники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</si>
  <si>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местности. Организация наема транспортных средств для подвоза обучающихся к месту учебы и обратно</t>
  </si>
  <si>
    <t>Создание условий, отвечающих требованиям СанПиН. Проведение капитального ремонта, технического переоснащения и благоустройства территорий</t>
  </si>
  <si>
    <t>100% выплатат компенсации части родительской платы всем подавшим заявления родителям (законным представителям) воспитанников дошкольных образовательных учреждений и дошкольных отделений общеобразовательных учреждений</t>
  </si>
  <si>
    <t>в том числе за счет доходов от предпринимательской и иной, приносящей доход деятельности</t>
  </si>
  <si>
    <t>в том числе за счет средств  родительской платы за присмотр и уход за детьми</t>
  </si>
  <si>
    <t>Увеличение количества общеобразовательных учреждениий (в том числе дошкольные отделения), которым предоставлены современные условия обучения до 95%. Создание условий, отвечающих требованиям СанПиН в 100% общеобразовательных учреждений (в том числе дошкольные отделения)</t>
  </si>
  <si>
    <t>Обеспечение общеобразовательных учреждений  услугой по охране объектов и имущества</t>
  </si>
  <si>
    <t>Управление образования, МКУ ХЭС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</si>
  <si>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</t>
  </si>
  <si>
    <t>1.14</t>
  </si>
  <si>
    <t>1.15</t>
  </si>
  <si>
    <t>Мероприятия в сфере дошкольного образования</t>
  </si>
  <si>
    <t>Основное мероприятие 02.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</si>
  <si>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Мероприятие 02.01.
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</si>
  <si>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Управление образования, МАУ "Комбинат питания "Доброе Кафе"</t>
  </si>
  <si>
    <t>100% обеспеченность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</si>
  <si>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Создание дополнительных мест для детей в возрасте от 1,5 до 7 лет в организациях, осуществляющих присмотр и уход за детьми. Содержание (расходы на обеспечение деятельности) палисадиков</t>
  </si>
  <si>
    <t>Основное мероприятие 03. "Повышение степени пожарной безопасности"</t>
  </si>
  <si>
    <t>Выполнение работ по обеспечению пожарной безопасности в муниципальных образовательных организациях</t>
  </si>
  <si>
    <t>Основное мероприятие 04.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</si>
  <si>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Мероприятие 04.01.
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</si>
  <si>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Мероприятие 03.01.                                                         Выполнение работ по обеспечению пожарной безопасности в муниципальных образовательных организациях</t>
  </si>
  <si>
    <t>Мероприятие 02.13.                                                              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</si>
  <si>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02.10.                                                        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</si>
  <si>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Мероприятие 02.02.                                                         Приобретение автобусов для доставки обучающихся в общеобразовательные организации, расположенные в сельских населенных пунктах</t>
  </si>
  <si>
    <t>Мероприятие 01.20.                                                             Мероприятия в сфере дошкольного образования</t>
  </si>
  <si>
    <t>Мероприятие 01.19.                                                 Профессиональная физическая охрана муниципальных учреждений дошкольного образования</t>
  </si>
  <si>
    <t>Мероприятие 01.18.                                                              Укрепление материально-технической базы и проведение текущего ремонта учреждений дошкольного образования</t>
  </si>
  <si>
    <t xml:space="preserve">Мероприятие 01.17.                                                                        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</si>
  <si>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01.16.                                                           Оснащение и лицензирование медицинских кабинетов образовательных организаций</t>
  </si>
  <si>
    <t>Мероприятие 01.15.                                                            Мероприятия в сфере образования</t>
  </si>
  <si>
    <t>Мероприятие 01.14.                                                             Организация питания обучающихся и воспитанников общеобразовательных организаций</t>
  </si>
  <si>
    <t>Мероприятие 01.13.                                                             Профессиональная физическая охрана муниципальных учреждений в сфере общеобразовательных организаций</t>
  </si>
  <si>
    <t>Мероприятие 01.12.                                                             Укрепление материально-технической базы и проведение текущего ремонта общеобразовательных организаций</t>
  </si>
  <si>
    <t>Мероприятие 01.11.                                                                           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</t>
  </si>
  <si>
    <t>Мероприятие 01.10.                                                                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</si>
  <si>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Мероприятие 01.08.                                                             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</si>
  <si>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01.02.                                                            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</t>
  </si>
  <si>
    <t>Мероприятие 01.01.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</si>
  <si>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07. "Проведение капитального ремонта объектов дошкольного образования, закупка оборудования"</t>
  </si>
  <si>
    <t xml:space="preserve">Мероприятие 07.01. 
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</t>
  </si>
  <si>
    <t>Мероприятие 08.01.                                                            Проведение работ по капитальному ремонту зданий региональных (муниципальных) общеобразовательных организаций</t>
  </si>
  <si>
    <t>Проведение работ по капитальному ремонту зданий региональных (муниципальных) общеобразовательных организаций (2023 -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</si>
  <si>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Оснащение отремонтированных зданий общеобразовательных организаций средствами обучения и воспитания (2023 -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</si>
  <si>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Мероприятие 08.03. 
Разработка проектно-сметной документации на проведение капитального ремонта зданий муниципальных общеобразовательных организаций</t>
  </si>
  <si>
    <t>Разработка проектно-сметной документации на проведение капитального ремонта зданий муниципальных общеобразовательных организаций (2023 - Старогородковская специальная (коррекционная) общеобразовательная школа-интернат VIII вида им. Фурагиной А.В.)</t>
  </si>
  <si>
    <t>6.4</t>
  </si>
  <si>
    <t>Мероприятие 08.04. 
Благоустройство территорий муниципальных общеобразовательных организаций, в зданиях которых выполнен капитальный ремонт</t>
  </si>
  <si>
    <t>Благоустройство территорий муниципальных общеобразовательных организаций, в зданиях которых выполнен капитальный ремонт (2023 - Старогородковская специальная (коррекционная) общеобразовательная школа-интернат VIII вида им. Фурагиной А.В.)</t>
  </si>
  <si>
    <t>6.5</t>
  </si>
  <si>
    <t>Мероприятие 08.05. 
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</si>
  <si>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</si>
  <si>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6.6</t>
  </si>
  <si>
    <t>Мероприятие 08.06
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</si>
  <si>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</si>
  <si>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6.7</t>
  </si>
  <si>
    <t>Мероприятие 08.07. 
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</si>
  <si>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</si>
  <si>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Мероприятие 09.01. 
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</si>
  <si>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 xml:space="preserve">Мероприятие Е1.01.                                                        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</si>
  <si>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8.2</t>
  </si>
  <si>
    <t>Мероприятие Е1.02.
Обеспечение условий для функционирования центров образования естественно-научной и технологической направленностей</t>
  </si>
  <si>
    <t>Обеспечение условий для функционирования центров образования естественно-научной и технологической направленностей, расположенных в сельской местности и малых городах</t>
  </si>
  <si>
    <t>8.3</t>
  </si>
  <si>
    <t>8.4</t>
  </si>
  <si>
    <t>Мероприятие Е2.01.
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</si>
  <si>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9.1</t>
  </si>
  <si>
    <t>Мероприятие Е1.04.                                                                Проведение капитального ремонта в муниципальных общеобразовательных организациях</t>
  </si>
  <si>
    <t>Обновлнае материально-технической база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</si>
  <si>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10.1</t>
  </si>
  <si>
    <t>10.2</t>
  </si>
  <si>
    <t>Мероприятие Р2.01. 
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</si>
  <si>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Р2.02. 
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</si>
  <si>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</si>
  <si>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Основное мероприятие 01. "Реализация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детей"</t>
  </si>
  <si>
    <t>Мероприятие 01.01. Стипендии в области образования, культуры и искусства (юные дарования, одаренные дети)</t>
  </si>
  <si>
    <t>Мероприятие 02.01.                                                                Расходы на обеспечение деятельности (оказание услуг) муниципальных учреждений - организации дополнительного образования</t>
  </si>
  <si>
    <t>Мероприятие 02.03.                                                Профессиональная физическая охрана муниципальных учреждений дополнительного образования</t>
  </si>
  <si>
    <t>Мероприятие 02.02.                                                           Укрепление материально-технической базы и проведение текущего ремонта учреждений дополнительного образования</t>
  </si>
  <si>
    <t>Мероприятие 02.04.                                                Мероприятия в сфере дополнительного образования</t>
  </si>
  <si>
    <t>Мероприятия в сфере дополнительного образования</t>
  </si>
  <si>
    <t>Основное мероприятие 04. "Обеспечение функционирования модели персонифицированного финансирования дополнительного образования детей"</t>
  </si>
  <si>
    <t>Мероприятие 04.01.                                                                Внедрение и обеспечение функционирования модели персонифицированного финансирования дополнительного образования детей</t>
  </si>
  <si>
    <t>Мероприятие 04.02.                                                               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</si>
  <si>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</si>
  <si>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</t>
  </si>
  <si>
    <t>Основное мероприятие 05. "Повышение степени пожарной безопасности"</t>
  </si>
  <si>
    <t>Выполнение работ по обеспечению пожарной безопасности в муниципальных организациях дополнительного образования</t>
  </si>
  <si>
    <t>Мероприятие Е2.02.
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</si>
  <si>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ЕВ. Федеральный проект "Патриотическое воспитание граждан Российской Федерации"</t>
  </si>
  <si>
    <t>Мероприятие ЕВ.01. 
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</si>
  <si>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</si>
  <si>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Мероприятие Е1.01.
Создание детского технопарка "Кванториум"</t>
  </si>
  <si>
    <t xml:space="preserve">Основное мероприятие 50. Мероприятия по повышению финансовой грамотности </t>
  </si>
  <si>
    <t>Мероприятие 50.01.
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</si>
  <si>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</si>
  <si>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Мероприятие 01.01.                                                             Обеспечение деятельности муниципальных органов - учреждения в сфере образования</t>
  </si>
  <si>
    <t>Мероприятие 01.02.                                                             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</si>
  <si>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                                                                Мероприятия в сфере образования</t>
  </si>
  <si>
    <t>100% выполнение муниципального задания и обеспечение деятельности УМЦ "Развитие образования", МБОУ ОРЦ "Сопровождение", МАУ "Комбинат питания "Доброе кафе"</t>
  </si>
  <si>
    <t>Мероприятия в сфере образования: проведение районных мероприятий,  выплата премии Главы , создание кластерной модели муниципальной методической службы</t>
  </si>
  <si>
    <t xml:space="preserve">Приложение 1 к муниципальной программе </t>
  </si>
  <si>
    <t>Основное мероприятие 09. "Обеспечение условий доступности для инвалидов объектов и предоставляемых услуг в сфере образования"</t>
  </si>
  <si>
    <t>Основное мероприятие 02. "Финансовое обеспечение деятельности организаций дополнительного образования"</t>
  </si>
  <si>
    <t>Итого Подпрограмма "Общее образование", в том числе:</t>
  </si>
  <si>
    <t>Итого Подпрограмма "Дополнительное образование, воспитание и психолого-социальное сопровождение детей", в том числе:</t>
  </si>
  <si>
    <t xml:space="preserve"> Итого Подпрограмма "Обеспечивающая подпрограмма", в том числе:</t>
  </si>
  <si>
    <t>Мероприятие Е4.01.                                                        Создание центров цифрового образования детей</t>
  </si>
  <si>
    <t>Мероприятие 01.07.                                                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</si>
  <si>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02.08.                                                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</si>
  <si>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02.05.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</si>
  <si>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05.01.                                                         Выполнение работ по обеспечению пожарной безопасности в муниципальных организациях дополнительного образования</t>
  </si>
  <si>
    <t xml:space="preserve">Мероприятие Е1.03.                                                         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</t>
  </si>
  <si>
    <t>Получение общедоступного и бесплатного дошкольного, начального общего, основного общего, среднего общего образования, дополнительного образования в муниципальных общеобразовательных организациях. Приобретение учебников и учебных пособий, средств обучения, игр, игрушек.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</si>
  <si>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Получение общедоступного и бесплатного дошкольного, начального общего, основного общего, среднего общего образования в частных общеобразовательных организациях. Частные дошкольные образовательные организации и частные общеобразовательных организации  получат финансирование на расходы по оплате труда работников, расходы на учебники, учебно-наглядные пособия, средства обучения, игры и игрушки </t>
  </si>
  <si>
    <t>Создание условий, отвечающих требованиям СанПиН. Проведение капитального ремонта, технического переоснащения (2023 - дошкольное отделение детский сад № 55 МБОУ Одинцовская гимназия № 7)</t>
  </si>
  <si>
    <t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(2024 - Старогородковская специальная (коррекционная) общеобразовательная школа-интернат VIII вида им. Фурагиной А.В, МКОУ для обучающихся  с ОВЗ Одинцовская общеобразовательная школа "Надежда")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</si>
  <si>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образования. Создание условий, отвечающих требованиям СанПиН. Проведение текущего ремонта, приобретение оборудования. (2023 - МБДОУ детский сад № 40, 2024 -МБОУ Школа "КвантУм" имени героя Советского Союза Василия Фабричнова)</t>
  </si>
  <si>
    <t xml:space="preserve">Содержание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образования. 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</si>
  <si>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Управление образования, Финансово-казначесйское управление, руководители организаций, МКУ "Централизованная бухгалтерия"</t>
  </si>
  <si>
    <t xml:space="preserve">Заместитель начальника Управления образования                                                                   </t>
  </si>
  <si>
    <t>О.В. Новожилова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</si>
</sst>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332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7" borderId="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6" borderId="0" xfId="0" applyFont="1" applyFill="1"/>
    <xf numFmtId="0" fontId="9" fillId="0" borderId="2" xfId="1" applyFont="1" applyFill="1" applyBorder="1"/>
    <xf numFmtId="0" fontId="10" fillId="0" borderId="0" xfId="0" applyFont="1"/>
    <xf numFmtId="165" fontId="6" fillId="0" borderId="0" xfId="0" applyNumberFormat="1" applyFont="1" applyFill="1"/>
    <xf numFmtId="0" fontId="6" fillId="0" borderId="0" xfId="0" applyFont="1" applyFill="1"/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165" fontId="13" fillId="8" borderId="2" xfId="3" applyNumberFormat="1" applyFont="1" applyFill="1" applyBorder="1" applyAlignment="1" applyProtection="1">
      <alignment horizontal="center" vertical="center" wrapText="1"/>
    </xf>
    <xf numFmtId="165" fontId="13" fillId="8" borderId="6" xfId="3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0" borderId="2" xfId="4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6" fillId="0" borderId="2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165" fontId="6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7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7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7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7" borderId="2" xfId="4" applyNumberFormat="1" applyFont="1" applyFill="1" applyBorder="1" applyAlignment="1">
      <alignment horizontal="right" vertical="center" wrapText="1"/>
    </xf>
    <xf numFmtId="167" fontId="8" fillId="7" borderId="2" xfId="4" applyNumberFormat="1" applyFont="1" applyFill="1" applyBorder="1" applyAlignment="1" applyProtection="1">
      <alignment horizontal="right" vertical="center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8" fillId="3" borderId="0" xfId="4" applyNumberFormat="1" applyFont="1" applyFill="1" applyBorder="1" applyAlignment="1" applyProtection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right"/>
    </xf>
    <xf numFmtId="167" fontId="12" fillId="7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7" borderId="2" xfId="5" applyNumberFormat="1" applyFont="1" applyFill="1" applyBorder="1" applyAlignment="1" applyProtection="1">
      <alignment horizontal="center" vertical="center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3" borderId="0" xfId="0" applyNumberFormat="1" applyFont="1" applyFill="1" applyBorder="1" applyAlignment="1" applyProtection="1">
      <alignment horizontal="right" vertical="top"/>
    </xf>
    <xf numFmtId="167" fontId="21" fillId="3" borderId="0" xfId="0" applyNumberFormat="1" applyFont="1" applyFill="1"/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22" fillId="2" borderId="0" xfId="1" applyFont="1" applyFill="1" applyAlignment="1">
      <alignment horizontal="center"/>
    </xf>
    <xf numFmtId="0" fontId="23" fillId="2" borderId="0" xfId="7" applyNumberFormat="1" applyFont="1" applyFill="1" applyBorder="1" applyAlignment="1" applyProtection="1">
      <alignment vertical="top"/>
    </xf>
    <xf numFmtId="0" fontId="22" fillId="2" borderId="0" xfId="7" applyNumberFormat="1" applyFont="1" applyFill="1" applyBorder="1" applyAlignment="1" applyProtection="1">
      <alignment horizontal="center" vertical="center"/>
    </xf>
    <xf numFmtId="0" fontId="22" fillId="2" borderId="0" xfId="7" applyNumberFormat="1" applyFont="1" applyFill="1" applyBorder="1" applyAlignment="1" applyProtection="1">
      <alignment vertical="top"/>
    </xf>
    <xf numFmtId="0" fontId="22" fillId="2" borderId="0" xfId="7" applyNumberFormat="1" applyFont="1" applyFill="1" applyBorder="1" applyAlignment="1" applyProtection="1">
      <alignment vertical="top" wrapText="1"/>
    </xf>
    <xf numFmtId="0" fontId="22" fillId="3" borderId="0" xfId="7" applyNumberFormat="1" applyFont="1" applyFill="1" applyBorder="1" applyAlignment="1" applyProtection="1">
      <alignment vertical="top" wrapText="1"/>
    </xf>
    <xf numFmtId="0" fontId="22" fillId="2" borderId="0" xfId="7" applyNumberFormat="1" applyFont="1" applyFill="1" applyBorder="1" applyAlignment="1" applyProtection="1">
      <alignment horizontal="left" vertical="top" wrapText="1"/>
    </xf>
    <xf numFmtId="49" fontId="24" fillId="3" borderId="2" xfId="4" applyNumberFormat="1" applyFont="1" applyFill="1" applyBorder="1" applyAlignment="1" applyProtection="1">
      <alignment horizontal="center" vertical="top"/>
    </xf>
    <xf numFmtId="49" fontId="24" fillId="7" borderId="2" xfId="4" applyNumberFormat="1" applyFont="1" applyFill="1" applyBorder="1" applyAlignment="1" applyProtection="1">
      <alignment horizontal="center" vertical="top"/>
    </xf>
    <xf numFmtId="0" fontId="23" fillId="0" borderId="0" xfId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3" borderId="0" xfId="1" applyNumberFormat="1" applyFont="1" applyFill="1" applyBorder="1" applyAlignment="1">
      <alignment horizontal="right" vertical="center"/>
    </xf>
    <xf numFmtId="167" fontId="23" fillId="3" borderId="0" xfId="1" applyNumberFormat="1" applyFont="1" applyFill="1" applyBorder="1" applyAlignment="1">
      <alignment horizontal="right" vertical="center"/>
    </xf>
    <xf numFmtId="167" fontId="23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Border="1"/>
    <xf numFmtId="0" fontId="22" fillId="0" borderId="0" xfId="1" applyFont="1" applyBorder="1" applyAlignment="1">
      <alignment vertical="center"/>
    </xf>
    <xf numFmtId="0" fontId="1" fillId="0" borderId="0" xfId="0" applyFont="1"/>
    <xf numFmtId="167" fontId="25" fillId="0" borderId="2" xfId="0" applyNumberFormat="1" applyFont="1" applyBorder="1"/>
    <xf numFmtId="167" fontId="1" fillId="0" borderId="0" xfId="0" applyNumberFormat="1" applyFont="1"/>
    <xf numFmtId="167" fontId="26" fillId="0" borderId="2" xfId="0" applyNumberFormat="1" applyFont="1" applyBorder="1"/>
    <xf numFmtId="0" fontId="27" fillId="0" borderId="0" xfId="0" applyFont="1"/>
    <xf numFmtId="0" fontId="1" fillId="3" borderId="0" xfId="0" applyFont="1" applyFill="1"/>
    <xf numFmtId="165" fontId="27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7" fontId="9" fillId="3" borderId="2" xfId="4" applyNumberFormat="1" applyFont="1" applyFill="1" applyBorder="1" applyAlignment="1" applyProtection="1">
      <alignment horizontal="center" vertical="center"/>
    </xf>
    <xf numFmtId="165" fontId="9" fillId="0" borderId="2" xfId="4" applyNumberFormat="1" applyFont="1" applyFill="1" applyBorder="1" applyAlignment="1">
      <alignment horizontal="left" vertical="top" wrapText="1" indent="1"/>
    </xf>
    <xf numFmtId="167" fontId="24" fillId="3" borderId="2" xfId="7" applyNumberFormat="1" applyFont="1" applyFill="1" applyBorder="1" applyAlignment="1" applyProtection="1">
      <alignment horizontal="center" vertical="center" wrapText="1"/>
    </xf>
    <xf numFmtId="167" fontId="24" fillId="3" borderId="2" xfId="1" applyNumberFormat="1" applyFont="1" applyFill="1" applyBorder="1" applyAlignment="1" applyProtection="1">
      <alignment horizontal="center" vertical="center" wrapText="1"/>
    </xf>
    <xf numFmtId="167" fontId="24" fillId="3" borderId="2" xfId="4" applyNumberFormat="1" applyFont="1" applyFill="1" applyBorder="1" applyAlignment="1" applyProtection="1">
      <alignment horizontal="center" vertical="center"/>
    </xf>
    <xf numFmtId="167" fontId="24" fillId="0" borderId="2" xfId="3" applyNumberFormat="1" applyFont="1" applyFill="1" applyBorder="1" applyAlignment="1" applyProtection="1">
      <alignment horizontal="center" vertical="center" wrapText="1"/>
    </xf>
    <xf numFmtId="167" fontId="24" fillId="3" borderId="2" xfId="3" applyNumberFormat="1" applyFont="1" applyFill="1" applyBorder="1" applyAlignment="1" applyProtection="1">
      <alignment horizontal="center" vertical="center" wrapText="1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3" borderId="2" xfId="7" applyNumberFormat="1" applyFont="1" applyFill="1" applyBorder="1" applyAlignment="1" applyProtection="1">
      <alignment horizontal="center" vertical="center" wrapText="1"/>
    </xf>
    <xf numFmtId="167" fontId="8" fillId="9" borderId="2" xfId="4" applyNumberFormat="1" applyFont="1" applyFill="1" applyBorder="1" applyAlignment="1" applyProtection="1">
      <alignment horizontal="center" vertical="center"/>
    </xf>
    <xf numFmtId="167" fontId="9" fillId="9" borderId="2" xfId="4" applyNumberFormat="1" applyFont="1" applyFill="1" applyBorder="1" applyAlignment="1" applyProtection="1">
      <alignment horizontal="center" vertical="center"/>
    </xf>
    <xf numFmtId="167" fontId="9" fillId="9" borderId="2" xfId="1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 applyProtection="1">
      <alignment vertical="top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22" fillId="0" borderId="0" xfId="7" applyNumberFormat="1" applyFont="1" applyFill="1" applyBorder="1" applyAlignment="1" applyProtection="1">
      <alignment vertical="top"/>
    </xf>
    <xf numFmtId="165" fontId="23" fillId="0" borderId="0" xfId="4" applyNumberFormat="1" applyFont="1" applyFill="1" applyBorder="1" applyAlignment="1" applyProtection="1">
      <alignment horizontal="right" vertical="center"/>
    </xf>
    <xf numFmtId="167" fontId="26" fillId="0" borderId="2" xfId="0" applyNumberFormat="1" applyFont="1" applyFill="1" applyBorder="1"/>
    <xf numFmtId="165" fontId="1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/>
    <xf numFmtId="49" fontId="8" fillId="9" borderId="2" xfId="2" applyNumberFormat="1" applyFont="1" applyFill="1" applyBorder="1" applyAlignment="1" applyProtection="1">
      <alignment horizontal="center" vertical="center" wrapText="1"/>
    </xf>
    <xf numFmtId="167" fontId="8" fillId="9" borderId="2" xfId="5" applyNumberFormat="1" applyFont="1" applyFill="1" applyBorder="1" applyAlignment="1" applyProtection="1">
      <alignment horizontal="center" vertical="center"/>
    </xf>
    <xf numFmtId="167" fontId="9" fillId="9" borderId="2" xfId="3" applyNumberFormat="1" applyFont="1" applyFill="1" applyBorder="1" applyAlignment="1" applyProtection="1">
      <alignment horizontal="center" vertical="center" wrapText="1"/>
    </xf>
    <xf numFmtId="167" fontId="9" fillId="9" borderId="2" xfId="5" applyNumberFormat="1" applyFont="1" applyFill="1" applyBorder="1" applyAlignment="1" applyProtection="1">
      <alignment horizontal="center" vertical="center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/>
    </xf>
    <xf numFmtId="167" fontId="8" fillId="9" borderId="2" xfId="1" applyNumberFormat="1" applyFont="1" applyFill="1" applyBorder="1" applyAlignment="1">
      <alignment horizontal="center" vertical="center"/>
    </xf>
    <xf numFmtId="167" fontId="9" fillId="9" borderId="2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right" vertical="center"/>
    </xf>
    <xf numFmtId="167" fontId="9" fillId="7" borderId="2" xfId="4" applyNumberFormat="1" applyFont="1" applyFill="1" applyBorder="1" applyAlignment="1">
      <alignment horizontal="right" vertical="center" wrapText="1"/>
    </xf>
    <xf numFmtId="0" fontId="8" fillId="0" borderId="0" xfId="4" applyNumberFormat="1" applyFont="1" applyFill="1" applyBorder="1" applyAlignment="1" applyProtection="1">
      <alignment horizontal="center" vertical="top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vertical="top"/>
    </xf>
    <xf numFmtId="167" fontId="12" fillId="0" borderId="2" xfId="0" applyNumberFormat="1" applyFont="1" applyFill="1" applyBorder="1" applyAlignment="1">
      <alignment horizontal="right"/>
    </xf>
    <xf numFmtId="165" fontId="8" fillId="3" borderId="0" xfId="4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>
      <alignment horizontal="left" vertical="top" wrapText="1" indent="1"/>
    </xf>
    <xf numFmtId="0" fontId="9" fillId="0" borderId="2" xfId="1" applyFont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6" fontId="6" fillId="0" borderId="0" xfId="0" applyNumberFormat="1" applyFont="1" applyFill="1"/>
    <xf numFmtId="167" fontId="8" fillId="0" borderId="2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4" applyNumberFormat="1" applyFont="1" applyFill="1" applyBorder="1" applyAlignment="1">
      <alignment horizontal="right" vertical="center" wrapText="1"/>
    </xf>
    <xf numFmtId="0" fontId="9" fillId="7" borderId="2" xfId="4" applyNumberFormat="1" applyFont="1" applyFill="1" applyBorder="1" applyAlignment="1">
      <alignment horizontal="left" vertical="top" wrapText="1" indent="1"/>
    </xf>
    <xf numFmtId="0" fontId="8" fillId="7" borderId="2" xfId="4" applyNumberFormat="1" applyFont="1" applyFill="1" applyBorder="1" applyAlignment="1">
      <alignment horizontal="left" vertical="top" wrapText="1" indent="1"/>
    </xf>
    <xf numFmtId="0" fontId="16" fillId="0" borderId="0" xfId="4" applyNumberFormat="1" applyFont="1" applyFill="1" applyBorder="1" applyAlignment="1" applyProtection="1">
      <alignment vertical="top"/>
    </xf>
    <xf numFmtId="167" fontId="9" fillId="7" borderId="2" xfId="4" applyNumberFormat="1" applyFont="1" applyFill="1" applyBorder="1" applyAlignment="1" applyProtection="1">
      <alignment horizontal="right" vertic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0" xfId="5" applyNumberFormat="1" applyFont="1" applyFill="1" applyBorder="1" applyAlignment="1" applyProtection="1">
      <alignment horizontal="center" vertical="center"/>
    </xf>
    <xf numFmtId="167" fontId="16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 wrapText="1"/>
    </xf>
    <xf numFmtId="0" fontId="10" fillId="0" borderId="0" xfId="0" applyFont="1" applyFill="1"/>
    <xf numFmtId="4" fontId="6" fillId="0" borderId="0" xfId="0" applyNumberFormat="1" applyFont="1" applyFill="1"/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7" fontId="19" fillId="0" borderId="2" xfId="3" applyNumberFormat="1" applyFont="1" applyFill="1" applyBorder="1" applyAlignment="1" applyProtection="1">
      <alignment horizontal="center" vertical="center" wrapText="1"/>
    </xf>
    <xf numFmtId="49" fontId="13" fillId="9" borderId="2" xfId="2" applyNumberFormat="1" applyFont="1" applyFill="1" applyBorder="1" applyAlignment="1" applyProtection="1">
      <alignment horizontal="center" vertical="center" wrapText="1"/>
    </xf>
    <xf numFmtId="167" fontId="13" fillId="9" borderId="2" xfId="5" applyNumberFormat="1" applyFont="1" applyFill="1" applyBorder="1" applyAlignment="1" applyProtection="1">
      <alignment horizontal="center" vertical="center"/>
    </xf>
    <xf numFmtId="167" fontId="19" fillId="9" borderId="2" xfId="3" applyNumberFormat="1" applyFont="1" applyFill="1" applyBorder="1" applyAlignment="1" applyProtection="1">
      <alignment horizontal="center" vertical="center" wrapText="1"/>
    </xf>
    <xf numFmtId="167" fontId="9" fillId="3" borderId="2" xfId="3" applyNumberFormat="1" applyFont="1" applyFill="1" applyBorder="1" applyAlignment="1" applyProtection="1">
      <alignment horizontal="center" vertical="center" wrapText="1"/>
    </xf>
    <xf numFmtId="167" fontId="28" fillId="3" borderId="2" xfId="3" applyNumberFormat="1" applyFont="1" applyFill="1" applyBorder="1" applyAlignment="1" applyProtection="1">
      <alignment horizontal="center" vertical="center" wrapText="1"/>
    </xf>
    <xf numFmtId="165" fontId="13" fillId="8" borderId="0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49" fontId="9" fillId="0" borderId="2" xfId="5" applyNumberFormat="1" applyFont="1" applyFill="1" applyBorder="1" applyAlignment="1" applyProtection="1">
      <alignment horizontal="center" vertical="top"/>
    </xf>
    <xf numFmtId="167" fontId="16" fillId="3" borderId="2" xfId="5" applyNumberFormat="1" applyFont="1" applyFill="1" applyBorder="1" applyAlignment="1" applyProtection="1">
      <alignment vertical="top"/>
    </xf>
    <xf numFmtId="167" fontId="16" fillId="0" borderId="2" xfId="5" applyNumberFormat="1" applyFont="1" applyFill="1" applyBorder="1" applyAlignment="1" applyProtection="1">
      <alignment vertical="top"/>
    </xf>
    <xf numFmtId="165" fontId="8" fillId="9" borderId="2" xfId="5" applyNumberFormat="1" applyFont="1" applyFill="1" applyBorder="1" applyAlignment="1" applyProtection="1">
      <alignment horizontal="center" vertical="center"/>
    </xf>
    <xf numFmtId="0" fontId="16" fillId="9" borderId="2" xfId="5" applyNumberFormat="1" applyFont="1" applyFill="1" applyBorder="1" applyAlignment="1" applyProtection="1">
      <alignment vertical="top"/>
    </xf>
    <xf numFmtId="167" fontId="16" fillId="9" borderId="2" xfId="5" applyNumberFormat="1" applyFont="1" applyFill="1" applyBorder="1" applyAlignment="1" applyProtection="1">
      <alignment vertical="top"/>
    </xf>
    <xf numFmtId="165" fontId="9" fillId="0" borderId="2" xfId="1" applyNumberFormat="1" applyFont="1" applyFill="1" applyBorder="1" applyAlignment="1">
      <alignment horizontal="center" vertical="center"/>
    </xf>
    <xf numFmtId="167" fontId="9" fillId="7" borderId="2" xfId="5" applyNumberFormat="1" applyFont="1" applyFill="1" applyBorder="1" applyAlignment="1" applyProtection="1">
      <alignment horizontal="center" vertical="center"/>
    </xf>
    <xf numFmtId="167" fontId="8" fillId="9" borderId="2" xfId="4" applyNumberFormat="1" applyFont="1" applyFill="1" applyBorder="1" applyAlignment="1">
      <alignment horizontal="right" vertical="center" wrapText="1"/>
    </xf>
    <xf numFmtId="0" fontId="9" fillId="9" borderId="2" xfId="4" applyNumberFormat="1" applyFont="1" applyFill="1" applyBorder="1" applyAlignment="1">
      <alignment horizontal="left" vertical="top" wrapText="1" indent="1"/>
    </xf>
    <xf numFmtId="0" fontId="8" fillId="9" borderId="2" xfId="4" applyNumberFormat="1" applyFont="1" applyFill="1" applyBorder="1" applyAlignment="1">
      <alignment horizontal="left" vertical="top" wrapText="1" indent="1"/>
    </xf>
    <xf numFmtId="167" fontId="8" fillId="9" borderId="2" xfId="4" applyNumberFormat="1" applyFont="1" applyFill="1" applyBorder="1" applyAlignment="1" applyProtection="1">
      <alignment horizontal="right" vertical="center"/>
    </xf>
    <xf numFmtId="0" fontId="16" fillId="9" borderId="2" xfId="4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49" fontId="8" fillId="9" borderId="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9" borderId="2" xfId="7" applyNumberFormat="1" applyFont="1" applyFill="1" applyBorder="1" applyAlignment="1" applyProtection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49" fontId="8" fillId="9" borderId="2" xfId="5" applyNumberFormat="1" applyFont="1" applyFill="1" applyBorder="1" applyAlignment="1" applyProtection="1">
      <alignment horizontal="center" vertical="top"/>
    </xf>
    <xf numFmtId="0" fontId="13" fillId="9" borderId="2" xfId="3" applyNumberFormat="1" applyFont="1" applyFill="1" applyBorder="1" applyAlignment="1" applyProtection="1">
      <alignment horizontal="center" vertical="center" wrapText="1"/>
    </xf>
    <xf numFmtId="0" fontId="8" fillId="9" borderId="2" xfId="3" applyNumberFormat="1" applyFont="1" applyFill="1" applyBorder="1" applyAlignment="1" applyProtection="1">
      <alignment horizontal="center" vertical="center" wrapText="1"/>
    </xf>
    <xf numFmtId="49" fontId="8" fillId="3" borderId="2" xfId="3" applyNumberFormat="1" applyFont="1" applyFill="1" applyBorder="1" applyAlignment="1" applyProtection="1">
      <alignment horizontal="center" vertical="top" wrapText="1"/>
    </xf>
    <xf numFmtId="0" fontId="9" fillId="3" borderId="2" xfId="1" applyFont="1" applyFill="1" applyBorder="1" applyAlignment="1">
      <alignment horizontal="center" vertical="center" wrapText="1"/>
    </xf>
    <xf numFmtId="49" fontId="8" fillId="9" borderId="2" xfId="4" applyNumberFormat="1" applyFont="1" applyFill="1" applyBorder="1" applyAlignment="1" applyProtection="1">
      <alignment horizontal="center" vertical="top"/>
    </xf>
    <xf numFmtId="49" fontId="8" fillId="9" borderId="2" xfId="4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2" xfId="10" applyFont="1" applyFill="1" applyBorder="1" applyAlignment="1">
      <alignment horizontal="center" vertical="center" wrapText="1"/>
    </xf>
    <xf numFmtId="49" fontId="8" fillId="9" borderId="2" xfId="4" applyNumberFormat="1" applyFont="1" applyFill="1" applyBorder="1" applyAlignment="1" applyProtection="1">
      <alignment horizontal="center" vertical="top"/>
      <protection locked="0"/>
    </xf>
    <xf numFmtId="0" fontId="8" fillId="9" borderId="2" xfId="4" applyNumberFormat="1" applyFont="1" applyFill="1" applyBorder="1" applyAlignment="1" applyProtection="1">
      <alignment horizontal="center" vertical="top"/>
    </xf>
    <xf numFmtId="49" fontId="8" fillId="3" borderId="2" xfId="1" applyNumberFormat="1" applyFont="1" applyFill="1" applyBorder="1" applyAlignment="1" applyProtection="1">
      <alignment horizontal="center" vertical="top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2" xfId="7" applyNumberFormat="1" applyFont="1" applyFill="1" applyBorder="1" applyAlignment="1" applyProtection="1">
      <alignment horizontal="center" vertical="top" wrapText="1"/>
    </xf>
    <xf numFmtId="0" fontId="8" fillId="3" borderId="2" xfId="1" applyFont="1" applyFill="1" applyBorder="1" applyAlignment="1">
      <alignment horizontal="left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0" fontId="26" fillId="0" borderId="3" xfId="0" applyFont="1" applyBorder="1" applyAlignment="1">
      <alignment horizontal="right"/>
    </xf>
    <xf numFmtId="0" fontId="26" fillId="0" borderId="4" xfId="0" applyFont="1" applyBorder="1" applyAlignment="1">
      <alignment horizontal="right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25" fillId="0" borderId="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9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right"/>
    </xf>
    <xf numFmtId="49" fontId="8" fillId="3" borderId="2" xfId="4" applyNumberFormat="1" applyFont="1" applyFill="1" applyBorder="1" applyAlignment="1" applyProtection="1">
      <alignment horizontal="center" vertical="top" wrapText="1"/>
    </xf>
    <xf numFmtId="0" fontId="8" fillId="3" borderId="2" xfId="4" applyNumberFormat="1" applyFont="1" applyFill="1" applyBorder="1" applyAlignment="1" applyProtection="1">
      <alignment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164" fontId="24" fillId="3" borderId="2" xfId="4" applyNumberFormat="1" applyFont="1" applyFill="1" applyBorder="1" applyAlignment="1" applyProtection="1">
      <alignment horizontal="center" vertical="center" wrapText="1"/>
    </xf>
    <xf numFmtId="0" fontId="24" fillId="3" borderId="2" xfId="11" applyNumberFormat="1" applyFont="1" applyFill="1" applyBorder="1" applyAlignment="1" applyProtection="1">
      <alignment horizontal="center" vertical="center" wrapText="1"/>
    </xf>
    <xf numFmtId="0" fontId="24" fillId="7" borderId="2" xfId="11" applyNumberFormat="1" applyFont="1" applyFill="1" applyBorder="1" applyAlignment="1" applyProtection="1">
      <alignment horizontal="center" vertical="center" wrapText="1"/>
    </xf>
    <xf numFmtId="0" fontId="24" fillId="3" borderId="2" xfId="4" applyNumberFormat="1" applyFont="1" applyFill="1" applyBorder="1" applyAlignment="1" applyProtection="1">
      <alignment horizontal="center" vertical="center" wrapText="1"/>
    </xf>
    <xf numFmtId="49" fontId="24" fillId="3" borderId="2" xfId="4" applyNumberFormat="1" applyFont="1" applyFill="1" applyBorder="1" applyAlignment="1" applyProtection="1">
      <alignment horizontal="center" vertical="center"/>
    </xf>
    <xf numFmtId="49" fontId="8" fillId="3" borderId="2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9" borderId="2" xfId="7" applyNumberFormat="1" applyFont="1" applyFill="1" applyBorder="1" applyAlignment="1" applyProtection="1">
      <alignment horizontal="center" vertical="top"/>
    </xf>
    <xf numFmtId="0" fontId="8" fillId="9" borderId="2" xfId="7" applyNumberFormat="1" applyFont="1" applyFill="1" applyBorder="1" applyAlignment="1" applyProtection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49" fontId="9" fillId="9" borderId="2" xfId="1" applyNumberFormat="1" applyFont="1" applyFill="1" applyBorder="1" applyAlignment="1">
      <alignment horizontal="center" vertical="center" wrapText="1"/>
    </xf>
    <xf numFmtId="0" fontId="9" fillId="9" borderId="2" xfId="7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2" xfId="5" applyNumberFormat="1" applyFont="1" applyFill="1" applyBorder="1" applyAlignment="1" applyProtection="1">
      <alignment horizontal="center" vertical="top"/>
    </xf>
    <xf numFmtId="0" fontId="8" fillId="9" borderId="2" xfId="4" applyNumberFormat="1" applyFont="1" applyFill="1" applyBorder="1" applyAlignment="1">
      <alignment horizontal="right" vertical="center" wrapText="1"/>
    </xf>
    <xf numFmtId="0" fontId="14" fillId="9" borderId="2" xfId="10" applyFont="1" applyFill="1" applyBorder="1" applyAlignment="1">
      <alignment horizontal="right" vertical="center" wrapText="1"/>
    </xf>
    <xf numFmtId="49" fontId="8" fillId="4" borderId="2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2" xfId="4" applyNumberFormat="1" applyFont="1" applyFill="1" applyBorder="1" applyAlignment="1" applyProtection="1">
      <alignment horizontal="center" vertical="top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8" fillId="9" borderId="2" xfId="4" applyNumberFormat="1" applyFont="1" applyFill="1" applyBorder="1" applyAlignment="1" applyProtection="1">
      <alignment horizontal="right" vertical="center" wrapText="1"/>
    </xf>
    <xf numFmtId="0" fontId="11" fillId="0" borderId="5" xfId="0" applyFont="1" applyBorder="1" applyAlignment="1">
      <alignment horizontal="right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/>
    </xf>
    <xf numFmtId="49" fontId="15" fillId="0" borderId="2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7" borderId="2" xfId="2" applyNumberFormat="1" applyFont="1" applyFill="1" applyBorder="1" applyAlignment="1" applyProtection="1">
      <alignment horizontal="center" vertical="center" wrapText="1"/>
    </xf>
    <xf numFmtId="0" fontId="9" fillId="3" borderId="2" xfId="4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9" borderId="2" xfId="1" applyFont="1" applyFill="1" applyBorder="1" applyAlignment="1">
      <alignment horizontal="center"/>
    </xf>
    <xf numFmtId="0" fontId="8" fillId="7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5" borderId="2" xfId="1" applyNumberFormat="1" applyFont="1" applyFill="1" applyBorder="1" applyAlignment="1" applyProtection="1">
      <alignment horizontal="center" vertical="center" wrapText="1"/>
    </xf>
    <xf numFmtId="0" fontId="8" fillId="7" borderId="2" xfId="4" applyNumberFormat="1" applyFont="1" applyFill="1" applyBorder="1" applyAlignment="1">
      <alignment horizontal="right" vertical="center" wrapText="1"/>
    </xf>
    <xf numFmtId="0" fontId="14" fillId="7" borderId="2" xfId="10" applyFont="1" applyFill="1" applyBorder="1" applyAlignment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center" vertical="top"/>
    </xf>
    <xf numFmtId="49" fontId="13" fillId="3" borderId="2" xfId="3" applyNumberFormat="1" applyFont="1" applyFill="1" applyBorder="1" applyAlignment="1" applyProtection="1">
      <alignment horizontal="center" vertical="top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9" borderId="2" xfId="5" applyNumberFormat="1" applyFont="1" applyFill="1" applyBorder="1" applyAlignment="1" applyProtection="1">
      <alignment horizontal="right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CCFFCC"/>
      <color rgb="FFCCFFFF"/>
      <color rgb="FFCCECFF"/>
      <color rgb="FF99CCFF"/>
      <color rgb="FF00FFFF"/>
      <color rgb="FF99FF99"/>
      <color rgb="FFFFFFCC"/>
      <color rgb="FFFFCC00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R258"/>
  <sheetViews>
    <sheetView view="pageBreakPreview" zoomScale="70" zoomScaleNormal="80" zoomScaleSheetLayoutView="70" workbookViewId="0">
      <pane ySplit="14" topLeftCell="A225" activePane="bottomLeft" state="frozen"/>
      <selection pane="bottomLeft" activeCell="G227" sqref="G227:G229"/>
    </sheetView>
  </sheetViews>
  <sheetFormatPr defaultColWidth="9.140625" defaultRowHeight="15" x14ac:dyDescent="0.25"/>
  <cols>
    <col min="1" max="1" width="9.140625" style="129"/>
    <col min="2" max="2" width="69" style="129" customWidth="1"/>
    <col min="3" max="3" width="17" style="129" customWidth="1"/>
    <col min="4" max="4" width="30.85546875" style="129" customWidth="1"/>
    <col min="5" max="5" width="20.5703125" style="129" hidden="1" customWidth="1"/>
    <col min="6" max="6" width="22.140625" style="159" customWidth="1"/>
    <col min="7" max="7" width="22.28515625" style="129" customWidth="1"/>
    <col min="8" max="8" width="21.5703125" style="134" customWidth="1"/>
    <col min="9" max="9" width="21.7109375" style="134" customWidth="1"/>
    <col min="10" max="10" width="21.85546875" style="129" customWidth="1"/>
    <col min="11" max="11" width="21.7109375" style="129" customWidth="1"/>
    <col min="12" max="12" width="21.5703125" style="129" customWidth="1"/>
    <col min="13" max="13" width="50" style="129" customWidth="1"/>
    <col min="14" max="14" width="11.85546875" style="2" customWidth="1"/>
    <col min="15" max="16" width="9.140625" style="2"/>
    <col min="17" max="17" width="14.7109375" style="2" customWidth="1"/>
    <col min="18" max="16384" width="9.140625" style="2"/>
  </cols>
  <sheetData>
    <row r="1" spans="1:18" ht="18.75" x14ac:dyDescent="0.25">
      <c r="A1" s="3"/>
      <c r="B1" s="99"/>
      <c r="C1" s="99"/>
      <c r="D1" s="99"/>
      <c r="E1" s="99"/>
      <c r="F1" s="152"/>
      <c r="G1" s="99"/>
      <c r="H1" s="99"/>
      <c r="I1" s="99"/>
      <c r="J1" s="99"/>
      <c r="K1" s="69"/>
      <c r="L1" s="69"/>
      <c r="M1" s="107" t="s">
        <v>133</v>
      </c>
    </row>
    <row r="2" spans="1:18" ht="18.75" x14ac:dyDescent="0.25">
      <c r="A2" s="3"/>
      <c r="B2" s="99"/>
      <c r="C2" s="99"/>
      <c r="D2" s="99"/>
      <c r="E2" s="99"/>
      <c r="F2" s="152"/>
      <c r="G2" s="99"/>
      <c r="H2" s="99"/>
      <c r="I2" s="99"/>
      <c r="J2" s="99"/>
      <c r="K2" s="69"/>
      <c r="L2" s="69"/>
      <c r="M2" s="107" t="s">
        <v>94</v>
      </c>
    </row>
    <row r="3" spans="1:18" ht="18.75" x14ac:dyDescent="0.25">
      <c r="A3" s="3"/>
      <c r="B3" s="2"/>
      <c r="C3" s="99"/>
      <c r="D3" s="99"/>
      <c r="E3" s="99"/>
      <c r="F3" s="152"/>
      <c r="G3" s="99"/>
      <c r="H3" s="99"/>
      <c r="I3" s="99"/>
      <c r="J3" s="99"/>
      <c r="K3" s="69"/>
      <c r="L3" s="69"/>
      <c r="M3" s="107" t="s">
        <v>95</v>
      </c>
    </row>
    <row r="4" spans="1:18" ht="18.75" x14ac:dyDescent="0.25">
      <c r="A4" s="3"/>
      <c r="B4" s="99"/>
      <c r="C4" s="99"/>
      <c r="D4" s="99"/>
      <c r="E4" s="99"/>
      <c r="F4" s="152"/>
      <c r="G4" s="99"/>
      <c r="H4" s="99"/>
      <c r="I4" s="99"/>
      <c r="J4" s="99"/>
      <c r="K4" s="69"/>
      <c r="L4" s="69"/>
      <c r="M4" s="107" t="s">
        <v>131</v>
      </c>
    </row>
    <row r="5" spans="1:18" ht="15.75" x14ac:dyDescent="0.25">
      <c r="A5" s="3"/>
      <c r="B5" s="99"/>
      <c r="C5" s="99"/>
      <c r="D5" s="99"/>
      <c r="E5" s="99"/>
      <c r="F5" s="152"/>
      <c r="G5" s="99"/>
      <c r="H5" s="99"/>
      <c r="I5" s="99"/>
      <c r="J5" s="99"/>
      <c r="K5" s="69"/>
      <c r="L5" s="69"/>
      <c r="M5" s="69"/>
    </row>
    <row r="6" spans="1:18" ht="18" customHeight="1" x14ac:dyDescent="0.25">
      <c r="A6" s="49"/>
      <c r="B6" s="99"/>
      <c r="C6" s="101"/>
      <c r="D6" s="100"/>
      <c r="E6" s="279"/>
      <c r="F6" s="279"/>
      <c r="G6" s="279"/>
      <c r="H6" s="279"/>
      <c r="I6" s="51"/>
      <c r="J6" s="51"/>
      <c r="K6" s="280" t="s">
        <v>241</v>
      </c>
      <c r="L6" s="280"/>
      <c r="M6" s="280"/>
    </row>
    <row r="7" spans="1:18" ht="18" customHeight="1" x14ac:dyDescent="0.25">
      <c r="A7" s="49"/>
      <c r="B7" s="99"/>
      <c r="C7" s="101"/>
      <c r="D7" s="100"/>
      <c r="E7" s="146"/>
      <c r="F7" s="153"/>
      <c r="G7" s="146"/>
      <c r="H7" s="146"/>
      <c r="I7" s="51"/>
      <c r="J7" s="51"/>
      <c r="K7" s="147"/>
      <c r="L7" s="147"/>
      <c r="M7" s="147"/>
    </row>
    <row r="8" spans="1:18" ht="18" customHeight="1" x14ac:dyDescent="0.25">
      <c r="A8" s="102"/>
      <c r="B8" s="99"/>
      <c r="C8" s="101"/>
      <c r="D8" s="100"/>
      <c r="E8" s="146"/>
      <c r="F8" s="153"/>
      <c r="G8" s="146"/>
      <c r="H8" s="146"/>
      <c r="I8" s="51"/>
      <c r="J8" s="51"/>
      <c r="K8" s="147"/>
      <c r="L8" s="147"/>
      <c r="M8" s="147"/>
    </row>
    <row r="9" spans="1:18" ht="40.5" customHeight="1" x14ac:dyDescent="0.25">
      <c r="A9" s="7"/>
      <c r="B9" s="281" t="s">
        <v>137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</row>
    <row r="10" spans="1:18" ht="15.75" customHeight="1" x14ac:dyDescent="0.25">
      <c r="A10" s="113"/>
      <c r="B10" s="114"/>
      <c r="C10" s="115"/>
      <c r="D10" s="116"/>
      <c r="E10" s="116"/>
      <c r="F10" s="154"/>
      <c r="G10" s="117"/>
      <c r="H10" s="118"/>
      <c r="I10" s="118"/>
      <c r="J10" s="117"/>
      <c r="K10" s="117"/>
      <c r="L10" s="119"/>
      <c r="M10" s="119"/>
    </row>
    <row r="11" spans="1:18" ht="15" customHeight="1" x14ac:dyDescent="0.25">
      <c r="A11" s="283" t="s">
        <v>5</v>
      </c>
      <c r="B11" s="283" t="s">
        <v>6</v>
      </c>
      <c r="C11" s="283" t="s">
        <v>57</v>
      </c>
      <c r="D11" s="283" t="s">
        <v>7</v>
      </c>
      <c r="E11" s="283" t="s">
        <v>50</v>
      </c>
      <c r="F11" s="284" t="s">
        <v>8</v>
      </c>
      <c r="G11" s="285" t="s">
        <v>20</v>
      </c>
      <c r="H11" s="285"/>
      <c r="I11" s="285"/>
      <c r="J11" s="285"/>
      <c r="K11" s="285"/>
      <c r="L11" s="282" t="s">
        <v>9</v>
      </c>
      <c r="M11" s="282" t="s">
        <v>2</v>
      </c>
    </row>
    <row r="12" spans="1:18" x14ac:dyDescent="0.25">
      <c r="A12" s="283"/>
      <c r="B12" s="283"/>
      <c r="C12" s="283"/>
      <c r="D12" s="283"/>
      <c r="E12" s="283"/>
      <c r="F12" s="284"/>
      <c r="G12" s="285"/>
      <c r="H12" s="285"/>
      <c r="I12" s="285"/>
      <c r="J12" s="285"/>
      <c r="K12" s="285"/>
      <c r="L12" s="282"/>
      <c r="M12" s="282"/>
    </row>
    <row r="13" spans="1:18" ht="45.75" customHeight="1" x14ac:dyDescent="0.25">
      <c r="A13" s="283"/>
      <c r="B13" s="283"/>
      <c r="C13" s="283"/>
      <c r="D13" s="283"/>
      <c r="E13" s="283"/>
      <c r="F13" s="284"/>
      <c r="G13" s="222" t="s">
        <v>51</v>
      </c>
      <c r="H13" s="222" t="s">
        <v>52</v>
      </c>
      <c r="I13" s="222" t="s">
        <v>134</v>
      </c>
      <c r="J13" s="222" t="s">
        <v>135</v>
      </c>
      <c r="K13" s="222" t="s">
        <v>136</v>
      </c>
      <c r="L13" s="282"/>
      <c r="M13" s="282"/>
    </row>
    <row r="14" spans="1:18" ht="17.25" customHeight="1" x14ac:dyDescent="0.25">
      <c r="A14" s="120" t="s">
        <v>15</v>
      </c>
      <c r="B14" s="120">
        <v>2</v>
      </c>
      <c r="C14" s="120" t="s">
        <v>10</v>
      </c>
      <c r="D14" s="120" t="s">
        <v>43</v>
      </c>
      <c r="E14" s="120" t="s">
        <v>11</v>
      </c>
      <c r="F14" s="121" t="s">
        <v>11</v>
      </c>
      <c r="G14" s="120" t="s">
        <v>41</v>
      </c>
      <c r="H14" s="120" t="s">
        <v>12</v>
      </c>
      <c r="I14" s="120" t="s">
        <v>42</v>
      </c>
      <c r="J14" s="120" t="s">
        <v>13</v>
      </c>
      <c r="K14" s="120" t="s">
        <v>14</v>
      </c>
      <c r="L14" s="120" t="s">
        <v>16</v>
      </c>
      <c r="M14" s="120" t="s">
        <v>17</v>
      </c>
    </row>
    <row r="15" spans="1:18" s="16" customFormat="1" ht="25.5" customHeight="1" x14ac:dyDescent="0.25">
      <c r="A15" s="286" t="s">
        <v>91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</row>
    <row r="16" spans="1:18" s="15" customFormat="1" ht="18.75" x14ac:dyDescent="0.25">
      <c r="A16" s="245" t="s">
        <v>15</v>
      </c>
      <c r="B16" s="246" t="s">
        <v>111</v>
      </c>
      <c r="C16" s="246" t="s">
        <v>138</v>
      </c>
      <c r="D16" s="226" t="s">
        <v>3</v>
      </c>
      <c r="E16" s="149" t="e">
        <f>SUM(E18:E23)</f>
        <v>#REF!</v>
      </c>
      <c r="F16" s="68">
        <f>SUM(G16:K16)</f>
        <v>51317620.756999999</v>
      </c>
      <c r="G16" s="149">
        <f>G17+G18+G19+G21</f>
        <v>10386719.141000001</v>
      </c>
      <c r="H16" s="149">
        <f t="shared" ref="H16:K16" si="0">H17+H18+H19+H21</f>
        <v>10232725.403999999</v>
      </c>
      <c r="I16" s="149">
        <f t="shared" si="0"/>
        <v>10232725.403999999</v>
      </c>
      <c r="J16" s="149">
        <f t="shared" si="0"/>
        <v>10232725.403999999</v>
      </c>
      <c r="K16" s="149">
        <f t="shared" si="0"/>
        <v>10232725.403999999</v>
      </c>
      <c r="L16" s="255"/>
      <c r="M16" s="256"/>
      <c r="Q16" s="64"/>
      <c r="R16" s="64"/>
    </row>
    <row r="17" spans="1:18" s="15" customFormat="1" ht="39" customHeight="1" x14ac:dyDescent="0.25">
      <c r="A17" s="245"/>
      <c r="B17" s="246"/>
      <c r="C17" s="246"/>
      <c r="D17" s="226" t="s">
        <v>46</v>
      </c>
      <c r="E17" s="150" t="e">
        <f>#REF!</f>
        <v>#REF!</v>
      </c>
      <c r="F17" s="68">
        <f>SUM(G17:K17)</f>
        <v>740519</v>
      </c>
      <c r="G17" s="150">
        <f>G24+G28+G32+G36+G40+G44+G51+G55+G59+G63+G67+G71+G77+G81+G85</f>
        <v>149819</v>
      </c>
      <c r="H17" s="150">
        <f t="shared" ref="H17:K17" si="1">H24+H28+H32+H36+H40+H44+H51+H55+H59+H63+H67+H71+H77+H81+H85</f>
        <v>147675</v>
      </c>
      <c r="I17" s="150">
        <f t="shared" si="1"/>
        <v>147675</v>
      </c>
      <c r="J17" s="150">
        <f t="shared" si="1"/>
        <v>147675</v>
      </c>
      <c r="K17" s="150">
        <f t="shared" si="1"/>
        <v>147675</v>
      </c>
      <c r="L17" s="255"/>
      <c r="M17" s="256"/>
      <c r="Q17" s="64"/>
      <c r="R17" s="64"/>
    </row>
    <row r="18" spans="1:18" s="15" customFormat="1" ht="39.75" customHeight="1" x14ac:dyDescent="0.25">
      <c r="A18" s="245"/>
      <c r="B18" s="246"/>
      <c r="C18" s="246"/>
      <c r="D18" s="226" t="s">
        <v>1</v>
      </c>
      <c r="E18" s="150" t="e">
        <f>E32+E37+#REF!+#REF!</f>
        <v>#REF!</v>
      </c>
      <c r="F18" s="68">
        <f t="shared" ref="F18:F93" si="2">SUM(G18:K18)</f>
        <v>33986680</v>
      </c>
      <c r="G18" s="150">
        <f>G25+G29+G33+G37+G41+G45+G52+G56+G60+G64+G68+G72+G78+G82+G86</f>
        <v>6797336</v>
      </c>
      <c r="H18" s="150">
        <f t="shared" ref="H18:K18" si="3">H25+H29+H33+H37+H41+H45+H52+H56+H60+H64+H68+H72+H78+H82+H86</f>
        <v>6797336</v>
      </c>
      <c r="I18" s="150">
        <f t="shared" si="3"/>
        <v>6797336</v>
      </c>
      <c r="J18" s="150">
        <f t="shared" si="3"/>
        <v>6797336</v>
      </c>
      <c r="K18" s="150">
        <f t="shared" si="3"/>
        <v>6797336</v>
      </c>
      <c r="L18" s="255"/>
      <c r="M18" s="256"/>
      <c r="Q18" s="64"/>
      <c r="R18" s="64"/>
    </row>
    <row r="19" spans="1:18" s="15" customFormat="1" ht="58.5" customHeight="1" x14ac:dyDescent="0.25">
      <c r="A19" s="245"/>
      <c r="B19" s="246"/>
      <c r="C19" s="246"/>
      <c r="D19" s="226" t="s">
        <v>55</v>
      </c>
      <c r="E19" s="150" t="e">
        <f>E46+E53+E57+E61+#REF!+#REF!+#REF!+#REF!</f>
        <v>#REF!</v>
      </c>
      <c r="F19" s="68">
        <f t="shared" si="2"/>
        <v>14466110.112</v>
      </c>
      <c r="G19" s="150">
        <f>G26+G30+G34+G38+G42+G46+G53+G57+G65+G69+G73+G79+G83+G87</f>
        <v>3014701.8120000004</v>
      </c>
      <c r="H19" s="150">
        <f t="shared" ref="H19:K19" si="4">H26+H30+H34+H38+H42+H46+H53+H57+H65+H69+H73+H79+H83+H87</f>
        <v>2862852.0750000002</v>
      </c>
      <c r="I19" s="150">
        <f t="shared" si="4"/>
        <v>2862852.0750000002</v>
      </c>
      <c r="J19" s="150">
        <f t="shared" si="4"/>
        <v>2862852.0750000002</v>
      </c>
      <c r="K19" s="150">
        <f t="shared" si="4"/>
        <v>2862852.0750000002</v>
      </c>
      <c r="L19" s="255"/>
      <c r="M19" s="256"/>
      <c r="Q19" s="64"/>
      <c r="R19" s="64"/>
    </row>
    <row r="20" spans="1:18" s="15" customFormat="1" ht="77.25" customHeight="1" x14ac:dyDescent="0.25">
      <c r="A20" s="245"/>
      <c r="B20" s="246"/>
      <c r="C20" s="246"/>
      <c r="D20" s="226" t="s">
        <v>81</v>
      </c>
      <c r="E20" s="150">
        <f>E47</f>
        <v>0</v>
      </c>
      <c r="F20" s="68">
        <f t="shared" si="2"/>
        <v>2234620</v>
      </c>
      <c r="G20" s="150">
        <f>G47+G74</f>
        <v>446924</v>
      </c>
      <c r="H20" s="150">
        <f t="shared" ref="H20:K20" si="5">H47+H74</f>
        <v>446924</v>
      </c>
      <c r="I20" s="150">
        <f t="shared" si="5"/>
        <v>446924</v>
      </c>
      <c r="J20" s="150">
        <f t="shared" si="5"/>
        <v>446924</v>
      </c>
      <c r="K20" s="150">
        <f t="shared" si="5"/>
        <v>446924</v>
      </c>
      <c r="L20" s="255"/>
      <c r="M20" s="256"/>
      <c r="Q20" s="64"/>
      <c r="R20" s="64"/>
    </row>
    <row r="21" spans="1:18" s="15" customFormat="1" ht="37.5" x14ac:dyDescent="0.25">
      <c r="A21" s="245"/>
      <c r="B21" s="246"/>
      <c r="C21" s="246"/>
      <c r="D21" s="226" t="s">
        <v>139</v>
      </c>
      <c r="E21" s="150"/>
      <c r="F21" s="68">
        <f t="shared" si="2"/>
        <v>2124311.645</v>
      </c>
      <c r="G21" s="150">
        <f>G27+G31+G35+G39+G43+G48+G54+G58+G62+G66+G70+G75+G80+G84+G88</f>
        <v>424862.32900000003</v>
      </c>
      <c r="H21" s="150">
        <f t="shared" ref="H21:K21" si="6">H27+H31+H35+H39+H43+H48+H54+H58+H62+H66+H70+H75+H80+H84+H88</f>
        <v>424862.32900000003</v>
      </c>
      <c r="I21" s="150">
        <f t="shared" si="6"/>
        <v>424862.32900000003</v>
      </c>
      <c r="J21" s="150">
        <f t="shared" si="6"/>
        <v>424862.32900000003</v>
      </c>
      <c r="K21" s="150">
        <f t="shared" si="6"/>
        <v>424862.32900000003</v>
      </c>
      <c r="L21" s="255"/>
      <c r="M21" s="256"/>
      <c r="Q21" s="64"/>
      <c r="R21" s="64"/>
    </row>
    <row r="22" spans="1:18" s="15" customFormat="1" ht="93.75" customHeight="1" x14ac:dyDescent="0.25">
      <c r="A22" s="245"/>
      <c r="B22" s="246"/>
      <c r="C22" s="246"/>
      <c r="D22" s="234" t="s">
        <v>143</v>
      </c>
      <c r="E22" s="151">
        <f>E49</f>
        <v>262352.43170000002</v>
      </c>
      <c r="F22" s="68">
        <f t="shared" si="2"/>
        <v>2008354.6350000002</v>
      </c>
      <c r="G22" s="151">
        <f t="shared" ref="G22" si="7">G49</f>
        <v>401670.92700000003</v>
      </c>
      <c r="H22" s="151">
        <f t="shared" ref="H22:K22" si="8">H49</f>
        <v>401670.92700000003</v>
      </c>
      <c r="I22" s="151">
        <f t="shared" si="8"/>
        <v>401670.92700000003</v>
      </c>
      <c r="J22" s="151">
        <f t="shared" si="8"/>
        <v>401670.92700000003</v>
      </c>
      <c r="K22" s="151">
        <f t="shared" si="8"/>
        <v>401670.92700000003</v>
      </c>
      <c r="L22" s="255"/>
      <c r="M22" s="256"/>
      <c r="Q22" s="64"/>
      <c r="R22" s="64"/>
    </row>
    <row r="23" spans="1:18" s="15" customFormat="1" ht="75" x14ac:dyDescent="0.25">
      <c r="A23" s="245"/>
      <c r="B23" s="246"/>
      <c r="C23" s="246"/>
      <c r="D23" s="234" t="s">
        <v>144</v>
      </c>
      <c r="E23" s="151">
        <f>E50</f>
        <v>8751.5480000000007</v>
      </c>
      <c r="F23" s="68">
        <f t="shared" si="2"/>
        <v>115957.01000000001</v>
      </c>
      <c r="G23" s="151">
        <f>G50+G76</f>
        <v>23191.402000000002</v>
      </c>
      <c r="H23" s="151">
        <f t="shared" ref="H23:K23" si="9">H50+H76</f>
        <v>23191.402000000002</v>
      </c>
      <c r="I23" s="151">
        <f t="shared" si="9"/>
        <v>23191.402000000002</v>
      </c>
      <c r="J23" s="151">
        <f t="shared" si="9"/>
        <v>23191.402000000002</v>
      </c>
      <c r="K23" s="151">
        <f t="shared" si="9"/>
        <v>23191.402000000002</v>
      </c>
      <c r="L23" s="255"/>
      <c r="M23" s="256"/>
      <c r="Q23" s="64"/>
      <c r="R23" s="64"/>
    </row>
    <row r="24" spans="1:18" s="53" customFormat="1" ht="36.75" customHeight="1" x14ac:dyDescent="0.25">
      <c r="A24" s="257" t="s">
        <v>31</v>
      </c>
      <c r="B24" s="258" t="s">
        <v>178</v>
      </c>
      <c r="C24" s="259" t="s">
        <v>138</v>
      </c>
      <c r="D24" s="230" t="s">
        <v>46</v>
      </c>
      <c r="E24" s="77">
        <v>0</v>
      </c>
      <c r="F24" s="73">
        <f>SUM(G24:K24)</f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260" t="s">
        <v>4</v>
      </c>
      <c r="M24" s="244" t="s">
        <v>141</v>
      </c>
    </row>
    <row r="25" spans="1:18" s="53" customFormat="1" ht="37.5" x14ac:dyDescent="0.25">
      <c r="A25" s="257"/>
      <c r="B25" s="258"/>
      <c r="C25" s="259"/>
      <c r="D25" s="230" t="s">
        <v>1</v>
      </c>
      <c r="E25" s="77"/>
      <c r="F25" s="73">
        <f t="shared" ref="F25:F27" si="10">SUM(G25:K25)</f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260"/>
      <c r="M25" s="244"/>
    </row>
    <row r="26" spans="1:18" s="53" customFormat="1" ht="56.25" x14ac:dyDescent="0.25">
      <c r="A26" s="257"/>
      <c r="B26" s="258"/>
      <c r="C26" s="259"/>
      <c r="D26" s="230" t="s">
        <v>55</v>
      </c>
      <c r="E26" s="77">
        <v>0</v>
      </c>
      <c r="F26" s="73">
        <f t="shared" si="10"/>
        <v>1151937</v>
      </c>
      <c r="G26" s="77">
        <f>47920+256017+48000</f>
        <v>351937</v>
      </c>
      <c r="H26" s="77">
        <v>200000</v>
      </c>
      <c r="I26" s="77">
        <v>200000</v>
      </c>
      <c r="J26" s="77">
        <v>200000</v>
      </c>
      <c r="K26" s="77">
        <v>200000</v>
      </c>
      <c r="L26" s="260"/>
      <c r="M26" s="244"/>
      <c r="N26" s="54"/>
    </row>
    <row r="27" spans="1:18" s="53" customFormat="1" ht="37.5" x14ac:dyDescent="0.25">
      <c r="A27" s="257"/>
      <c r="B27" s="258"/>
      <c r="C27" s="259"/>
      <c r="D27" s="230" t="s">
        <v>139</v>
      </c>
      <c r="E27" s="77"/>
      <c r="F27" s="73">
        <f t="shared" si="10"/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260"/>
      <c r="M27" s="244"/>
      <c r="N27" s="54"/>
    </row>
    <row r="28" spans="1:18" s="53" customFormat="1" ht="36.75" customHeight="1" x14ac:dyDescent="0.25">
      <c r="A28" s="250" t="s">
        <v>32</v>
      </c>
      <c r="B28" s="267" t="s">
        <v>177</v>
      </c>
      <c r="C28" s="252" t="s">
        <v>138</v>
      </c>
      <c r="D28" s="229" t="s">
        <v>46</v>
      </c>
      <c r="E28" s="74">
        <v>750</v>
      </c>
      <c r="F28" s="68">
        <f t="shared" ref="F28:F45" si="11">SUM(G28:K28)</f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261" t="s">
        <v>4</v>
      </c>
      <c r="M28" s="253" t="s">
        <v>140</v>
      </c>
    </row>
    <row r="29" spans="1:18" s="53" customFormat="1" ht="37.5" x14ac:dyDescent="0.25">
      <c r="A29" s="250"/>
      <c r="B29" s="267"/>
      <c r="C29" s="252"/>
      <c r="D29" s="229" t="s">
        <v>1</v>
      </c>
      <c r="E29" s="74"/>
      <c r="F29" s="68">
        <f t="shared" si="11"/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261"/>
      <c r="M29" s="253"/>
    </row>
    <row r="30" spans="1:18" s="53" customFormat="1" ht="56.25" x14ac:dyDescent="0.25">
      <c r="A30" s="250"/>
      <c r="B30" s="267"/>
      <c r="C30" s="252"/>
      <c r="D30" s="229" t="s">
        <v>55</v>
      </c>
      <c r="E30" s="74">
        <v>7541.03</v>
      </c>
      <c r="F30" s="68">
        <f t="shared" si="11"/>
        <v>1487367.91</v>
      </c>
      <c r="G30" s="74">
        <v>297473.58199999999</v>
      </c>
      <c r="H30" s="74">
        <v>297473.58199999999</v>
      </c>
      <c r="I30" s="74">
        <v>297473.58199999999</v>
      </c>
      <c r="J30" s="74">
        <v>297473.58199999999</v>
      </c>
      <c r="K30" s="74">
        <v>297473.58199999999</v>
      </c>
      <c r="L30" s="261"/>
      <c r="M30" s="253"/>
    </row>
    <row r="31" spans="1:18" s="53" customFormat="1" ht="37.5" x14ac:dyDescent="0.25">
      <c r="A31" s="250"/>
      <c r="B31" s="267"/>
      <c r="C31" s="252"/>
      <c r="D31" s="229" t="s">
        <v>139</v>
      </c>
      <c r="E31" s="74"/>
      <c r="F31" s="68">
        <f t="shared" si="11"/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261"/>
      <c r="M31" s="253"/>
    </row>
    <row r="32" spans="1:18" s="53" customFormat="1" ht="67.5" customHeight="1" x14ac:dyDescent="0.25">
      <c r="A32" s="276" t="s">
        <v>33</v>
      </c>
      <c r="B32" s="251" t="s">
        <v>248</v>
      </c>
      <c r="C32" s="252" t="s">
        <v>138</v>
      </c>
      <c r="D32" s="238" t="s">
        <v>46</v>
      </c>
      <c r="E32" s="74">
        <v>2978099</v>
      </c>
      <c r="F32" s="68">
        <f t="shared" si="11"/>
        <v>740519</v>
      </c>
      <c r="G32" s="74">
        <v>149819</v>
      </c>
      <c r="H32" s="74">
        <v>147675</v>
      </c>
      <c r="I32" s="74">
        <v>147675</v>
      </c>
      <c r="J32" s="74">
        <v>147675</v>
      </c>
      <c r="K32" s="74">
        <v>147675</v>
      </c>
      <c r="L32" s="261" t="s">
        <v>4</v>
      </c>
      <c r="M32" s="254" t="s">
        <v>253</v>
      </c>
    </row>
    <row r="33" spans="1:13" s="53" customFormat="1" ht="67.5" customHeight="1" x14ac:dyDescent="0.25">
      <c r="A33" s="276"/>
      <c r="B33" s="251"/>
      <c r="C33" s="252"/>
      <c r="D33" s="238" t="s">
        <v>1</v>
      </c>
      <c r="E33" s="74"/>
      <c r="F33" s="68">
        <f t="shared" si="11"/>
        <v>30637775</v>
      </c>
      <c r="G33" s="74">
        <f>6277374-G32</f>
        <v>6127555</v>
      </c>
      <c r="H33" s="74">
        <f>6275230-H32</f>
        <v>6127555</v>
      </c>
      <c r="I33" s="74">
        <v>6127555</v>
      </c>
      <c r="J33" s="74">
        <v>6127555</v>
      </c>
      <c r="K33" s="74">
        <v>6127555</v>
      </c>
      <c r="L33" s="261"/>
      <c r="M33" s="254"/>
    </row>
    <row r="34" spans="1:13" s="53" customFormat="1" ht="67.5" customHeight="1" x14ac:dyDescent="0.25">
      <c r="A34" s="276"/>
      <c r="B34" s="251"/>
      <c r="C34" s="252"/>
      <c r="D34" s="238" t="s">
        <v>55</v>
      </c>
      <c r="E34" s="74"/>
      <c r="F34" s="68">
        <f t="shared" si="11"/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261"/>
      <c r="M34" s="254"/>
    </row>
    <row r="35" spans="1:13" s="53" customFormat="1" ht="67.5" customHeight="1" x14ac:dyDescent="0.25">
      <c r="A35" s="276"/>
      <c r="B35" s="251"/>
      <c r="C35" s="252"/>
      <c r="D35" s="238" t="s">
        <v>139</v>
      </c>
      <c r="E35" s="74"/>
      <c r="F35" s="68">
        <f t="shared" si="11"/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261"/>
      <c r="M35" s="254"/>
    </row>
    <row r="36" spans="1:13" s="53" customFormat="1" ht="90" customHeight="1" x14ac:dyDescent="0.25">
      <c r="A36" s="250" t="s">
        <v>34</v>
      </c>
      <c r="B36" s="277" t="s">
        <v>176</v>
      </c>
      <c r="C36" s="252" t="s">
        <v>138</v>
      </c>
      <c r="D36" s="238" t="s">
        <v>46</v>
      </c>
      <c r="E36" s="74"/>
      <c r="F36" s="68">
        <f t="shared" si="11"/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261" t="s">
        <v>4</v>
      </c>
      <c r="M36" s="253" t="s">
        <v>254</v>
      </c>
    </row>
    <row r="37" spans="1:13" s="53" customFormat="1" ht="90" customHeight="1" x14ac:dyDescent="0.25">
      <c r="A37" s="250"/>
      <c r="B37" s="277"/>
      <c r="C37" s="252"/>
      <c r="D37" s="238" t="s">
        <v>1</v>
      </c>
      <c r="E37" s="74">
        <v>264347</v>
      </c>
      <c r="F37" s="68">
        <f t="shared" si="11"/>
        <v>2656280</v>
      </c>
      <c r="G37" s="74">
        <v>531256</v>
      </c>
      <c r="H37" s="74">
        <v>531256</v>
      </c>
      <c r="I37" s="74">
        <v>531256</v>
      </c>
      <c r="J37" s="74">
        <v>531256</v>
      </c>
      <c r="K37" s="74">
        <v>531256</v>
      </c>
      <c r="L37" s="261"/>
      <c r="M37" s="253"/>
    </row>
    <row r="38" spans="1:13" s="53" customFormat="1" ht="90" customHeight="1" x14ac:dyDescent="0.25">
      <c r="A38" s="250"/>
      <c r="B38" s="277"/>
      <c r="C38" s="252"/>
      <c r="D38" s="238" t="s">
        <v>55</v>
      </c>
      <c r="E38" s="74"/>
      <c r="F38" s="68">
        <f t="shared" si="11"/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261"/>
      <c r="M38" s="253"/>
    </row>
    <row r="39" spans="1:13" s="53" customFormat="1" ht="77.25" customHeight="1" x14ac:dyDescent="0.25">
      <c r="A39" s="250"/>
      <c r="B39" s="277"/>
      <c r="C39" s="252"/>
      <c r="D39" s="238" t="s">
        <v>139</v>
      </c>
      <c r="E39" s="74"/>
      <c r="F39" s="68">
        <f t="shared" si="11"/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261"/>
      <c r="M39" s="253"/>
    </row>
    <row r="40" spans="1:13" s="53" customFormat="1" ht="37.5" customHeight="1" x14ac:dyDescent="0.25">
      <c r="A40" s="262" t="s">
        <v>71</v>
      </c>
      <c r="B40" s="263" t="s">
        <v>175</v>
      </c>
      <c r="C40" s="264" t="s">
        <v>138</v>
      </c>
      <c r="D40" s="229" t="s">
        <v>46</v>
      </c>
      <c r="E40" s="74"/>
      <c r="F40" s="68">
        <f t="shared" si="11"/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265" t="s">
        <v>259</v>
      </c>
      <c r="M40" s="266" t="s">
        <v>142</v>
      </c>
    </row>
    <row r="41" spans="1:13" s="53" customFormat="1" ht="51.75" customHeight="1" x14ac:dyDescent="0.25">
      <c r="A41" s="262"/>
      <c r="B41" s="263"/>
      <c r="C41" s="264"/>
      <c r="D41" s="233" t="s">
        <v>1</v>
      </c>
      <c r="E41" s="79">
        <v>125047</v>
      </c>
      <c r="F41" s="68">
        <f t="shared" si="11"/>
        <v>692625</v>
      </c>
      <c r="G41" s="79">
        <v>138525</v>
      </c>
      <c r="H41" s="79">
        <v>138525</v>
      </c>
      <c r="I41" s="79">
        <v>138525</v>
      </c>
      <c r="J41" s="79">
        <v>138525</v>
      </c>
      <c r="K41" s="79">
        <v>138525</v>
      </c>
      <c r="L41" s="265"/>
      <c r="M41" s="266"/>
    </row>
    <row r="42" spans="1:13" s="53" customFormat="1" ht="56.25" x14ac:dyDescent="0.25">
      <c r="A42" s="262"/>
      <c r="B42" s="263"/>
      <c r="C42" s="264"/>
      <c r="D42" s="233" t="s">
        <v>55</v>
      </c>
      <c r="E42" s="79"/>
      <c r="F42" s="68">
        <f t="shared" si="11"/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265"/>
      <c r="M42" s="266"/>
    </row>
    <row r="43" spans="1:13" s="53" customFormat="1" ht="49.5" customHeight="1" x14ac:dyDescent="0.25">
      <c r="A43" s="262"/>
      <c r="B43" s="263"/>
      <c r="C43" s="264"/>
      <c r="D43" s="233" t="s">
        <v>139</v>
      </c>
      <c r="E43" s="79"/>
      <c r="F43" s="68">
        <f t="shared" si="11"/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265"/>
      <c r="M43" s="266"/>
    </row>
    <row r="44" spans="1:13" s="53" customFormat="1" ht="36.75" customHeight="1" x14ac:dyDescent="0.25">
      <c r="A44" s="276" t="s">
        <v>98</v>
      </c>
      <c r="B44" s="267" t="s">
        <v>174</v>
      </c>
      <c r="C44" s="252" t="s">
        <v>138</v>
      </c>
      <c r="D44" s="229" t="s">
        <v>46</v>
      </c>
      <c r="E44" s="79"/>
      <c r="F44" s="68">
        <f t="shared" si="11"/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261" t="s">
        <v>82</v>
      </c>
      <c r="M44" s="254" t="s">
        <v>130</v>
      </c>
    </row>
    <row r="45" spans="1:13" s="53" customFormat="1" ht="37.5" customHeight="1" x14ac:dyDescent="0.25">
      <c r="A45" s="276"/>
      <c r="B45" s="267"/>
      <c r="C45" s="252"/>
      <c r="D45" s="229" t="s">
        <v>1</v>
      </c>
      <c r="E45" s="74"/>
      <c r="F45" s="68">
        <f t="shared" si="11"/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261"/>
      <c r="M45" s="254"/>
    </row>
    <row r="46" spans="1:13" s="53" customFormat="1" ht="56.25" x14ac:dyDescent="0.25">
      <c r="A46" s="276"/>
      <c r="B46" s="267"/>
      <c r="C46" s="252"/>
      <c r="D46" s="229" t="s">
        <v>55</v>
      </c>
      <c r="E46" s="74">
        <f>711549.13716</f>
        <v>711549.13716000004</v>
      </c>
      <c r="F46" s="68">
        <f t="shared" si="2"/>
        <v>9927842.7019999996</v>
      </c>
      <c r="G46" s="74">
        <f>1897333.689+19341.952+15000+10000+10000-158.025+17911.2-2992.75+3000+6060.16+3939.84+6000</f>
        <v>1985436.0660000001</v>
      </c>
      <c r="H46" s="74">
        <f>1897499.282+19341.952+15000+10000+10000-158.025+17911.2-2992.75+3000+6060.16+3939.84+6000</f>
        <v>1985601.659</v>
      </c>
      <c r="I46" s="143">
        <f>1897499.282+19341.952+15000+10000+10000-158.025+17911.2-2992.75+3000+6060.16+3939.84+6000</f>
        <v>1985601.659</v>
      </c>
      <c r="J46" s="74">
        <f t="shared" ref="J46:K46" si="12">1897499.282+19341.952+15000+10000+10000-158.025+17911.2-2992.75+3000+6060.16+3939.84+6000</f>
        <v>1985601.659</v>
      </c>
      <c r="K46" s="74">
        <f t="shared" si="12"/>
        <v>1985601.659</v>
      </c>
      <c r="L46" s="261"/>
      <c r="M46" s="254"/>
    </row>
    <row r="47" spans="1:13" s="53" customFormat="1" ht="78" customHeight="1" x14ac:dyDescent="0.25">
      <c r="A47" s="276"/>
      <c r="B47" s="267"/>
      <c r="C47" s="252"/>
      <c r="D47" s="229" t="s">
        <v>81</v>
      </c>
      <c r="E47" s="74">
        <v>0</v>
      </c>
      <c r="F47" s="68">
        <f t="shared" si="2"/>
        <v>2231989.58</v>
      </c>
      <c r="G47" s="139">
        <v>446397.91600000003</v>
      </c>
      <c r="H47" s="139">
        <v>446397.91600000003</v>
      </c>
      <c r="I47" s="139">
        <v>446397.91600000003</v>
      </c>
      <c r="J47" s="139">
        <v>446397.91600000003</v>
      </c>
      <c r="K47" s="139">
        <v>446397.91600000003</v>
      </c>
      <c r="L47" s="261"/>
      <c r="M47" s="254"/>
    </row>
    <row r="48" spans="1:13" s="53" customFormat="1" ht="39.75" customHeight="1" x14ac:dyDescent="0.25">
      <c r="A48" s="276"/>
      <c r="B48" s="267"/>
      <c r="C48" s="252"/>
      <c r="D48" s="229" t="s">
        <v>139</v>
      </c>
      <c r="E48" s="74"/>
      <c r="F48" s="68">
        <f t="shared" si="2"/>
        <v>2124132.4449999998</v>
      </c>
      <c r="G48" s="74">
        <f>G49+G50</f>
        <v>424826.489</v>
      </c>
      <c r="H48" s="74">
        <f t="shared" ref="H48:K48" si="13">H49+H50</f>
        <v>424826.489</v>
      </c>
      <c r="I48" s="74">
        <f t="shared" si="13"/>
        <v>424826.489</v>
      </c>
      <c r="J48" s="74">
        <f t="shared" si="13"/>
        <v>424826.489</v>
      </c>
      <c r="K48" s="74">
        <f t="shared" si="13"/>
        <v>424826.489</v>
      </c>
      <c r="L48" s="261"/>
      <c r="M48" s="254"/>
    </row>
    <row r="49" spans="1:14" s="53" customFormat="1" ht="96" customHeight="1" x14ac:dyDescent="0.25">
      <c r="A49" s="276"/>
      <c r="B49" s="267"/>
      <c r="C49" s="252"/>
      <c r="D49" s="222" t="s">
        <v>143</v>
      </c>
      <c r="E49" s="79">
        <v>262352.43170000002</v>
      </c>
      <c r="F49" s="73">
        <f t="shared" si="2"/>
        <v>2008354.6350000002</v>
      </c>
      <c r="G49" s="148">
        <v>401670.92700000003</v>
      </c>
      <c r="H49" s="148">
        <v>401670.92700000003</v>
      </c>
      <c r="I49" s="148">
        <v>401670.92700000003</v>
      </c>
      <c r="J49" s="148">
        <v>401670.92700000003</v>
      </c>
      <c r="K49" s="148">
        <v>401670.92700000003</v>
      </c>
      <c r="L49" s="261"/>
      <c r="M49" s="254"/>
    </row>
    <row r="50" spans="1:14" s="53" customFormat="1" ht="77.25" customHeight="1" x14ac:dyDescent="0.25">
      <c r="A50" s="276"/>
      <c r="B50" s="267"/>
      <c r="C50" s="252"/>
      <c r="D50" s="222" t="s">
        <v>144</v>
      </c>
      <c r="E50" s="79">
        <v>8751.5480000000007</v>
      </c>
      <c r="F50" s="73">
        <f t="shared" si="2"/>
        <v>115777.81000000001</v>
      </c>
      <c r="G50" s="148">
        <v>23155.562000000002</v>
      </c>
      <c r="H50" s="148">
        <v>23155.562000000002</v>
      </c>
      <c r="I50" s="148">
        <v>23155.562000000002</v>
      </c>
      <c r="J50" s="148">
        <v>23155.562000000002</v>
      </c>
      <c r="K50" s="148">
        <v>23155.562000000002</v>
      </c>
      <c r="L50" s="261"/>
      <c r="M50" s="254"/>
      <c r="N50" s="70"/>
    </row>
    <row r="51" spans="1:14" s="53" customFormat="1" ht="39" customHeight="1" x14ac:dyDescent="0.25">
      <c r="A51" s="262" t="s">
        <v>100</v>
      </c>
      <c r="B51" s="263" t="s">
        <v>173</v>
      </c>
      <c r="C51" s="264" t="s">
        <v>138</v>
      </c>
      <c r="D51" s="222" t="s">
        <v>46</v>
      </c>
      <c r="E51" s="79"/>
      <c r="F51" s="73">
        <f t="shared" si="2"/>
        <v>0</v>
      </c>
      <c r="G51" s="79">
        <v>0</v>
      </c>
      <c r="H51" s="79">
        <v>0</v>
      </c>
      <c r="I51" s="141">
        <v>0</v>
      </c>
      <c r="J51" s="141">
        <v>0</v>
      </c>
      <c r="K51" s="141">
        <v>0</v>
      </c>
      <c r="L51" s="265" t="s">
        <v>147</v>
      </c>
      <c r="M51" s="266" t="s">
        <v>145</v>
      </c>
      <c r="N51" s="70"/>
    </row>
    <row r="52" spans="1:14" s="53" customFormat="1" ht="37.5" x14ac:dyDescent="0.25">
      <c r="A52" s="262"/>
      <c r="B52" s="263"/>
      <c r="C52" s="264"/>
      <c r="D52" s="222" t="s">
        <v>1</v>
      </c>
      <c r="E52" s="79"/>
      <c r="F52" s="73">
        <f t="shared" si="2"/>
        <v>0</v>
      </c>
      <c r="G52" s="79">
        <v>0</v>
      </c>
      <c r="H52" s="79">
        <v>0</v>
      </c>
      <c r="I52" s="141">
        <v>0</v>
      </c>
      <c r="J52" s="141">
        <v>0</v>
      </c>
      <c r="K52" s="141">
        <v>0</v>
      </c>
      <c r="L52" s="265"/>
      <c r="M52" s="266"/>
      <c r="N52" s="70"/>
    </row>
    <row r="53" spans="1:14" s="53" customFormat="1" ht="56.25" x14ac:dyDescent="0.25">
      <c r="A53" s="262"/>
      <c r="B53" s="263"/>
      <c r="C53" s="264"/>
      <c r="D53" s="233" t="s">
        <v>54</v>
      </c>
      <c r="E53" s="79">
        <v>0</v>
      </c>
      <c r="F53" s="73">
        <f t="shared" si="2"/>
        <v>0</v>
      </c>
      <c r="G53" s="79">
        <v>0</v>
      </c>
      <c r="H53" s="79">
        <v>0</v>
      </c>
      <c r="I53" s="141">
        <v>0</v>
      </c>
      <c r="J53" s="141">
        <v>0</v>
      </c>
      <c r="K53" s="141">
        <v>0</v>
      </c>
      <c r="L53" s="265"/>
      <c r="M53" s="266"/>
    </row>
    <row r="54" spans="1:14" s="53" customFormat="1" ht="42" customHeight="1" x14ac:dyDescent="0.25">
      <c r="A54" s="262"/>
      <c r="B54" s="263"/>
      <c r="C54" s="264"/>
      <c r="D54" s="229" t="s">
        <v>139</v>
      </c>
      <c r="E54" s="79"/>
      <c r="F54" s="73">
        <f t="shared" si="2"/>
        <v>0</v>
      </c>
      <c r="G54" s="79">
        <v>0</v>
      </c>
      <c r="H54" s="79">
        <v>0</v>
      </c>
      <c r="I54" s="141">
        <v>0</v>
      </c>
      <c r="J54" s="141">
        <v>0</v>
      </c>
      <c r="K54" s="141">
        <v>0</v>
      </c>
      <c r="L54" s="265"/>
      <c r="M54" s="266"/>
    </row>
    <row r="55" spans="1:14" s="53" customFormat="1" ht="40.5" customHeight="1" x14ac:dyDescent="0.25">
      <c r="A55" s="262" t="s">
        <v>101</v>
      </c>
      <c r="B55" s="263" t="s">
        <v>172</v>
      </c>
      <c r="C55" s="264" t="s">
        <v>138</v>
      </c>
      <c r="D55" s="229" t="s">
        <v>46</v>
      </c>
      <c r="E55" s="79"/>
      <c r="F55" s="73">
        <f t="shared" si="2"/>
        <v>0</v>
      </c>
      <c r="G55" s="79">
        <v>0</v>
      </c>
      <c r="H55" s="79">
        <v>0</v>
      </c>
      <c r="I55" s="141">
        <v>0</v>
      </c>
      <c r="J55" s="141">
        <v>0</v>
      </c>
      <c r="K55" s="141">
        <v>0</v>
      </c>
      <c r="L55" s="265" t="s">
        <v>4</v>
      </c>
      <c r="M55" s="266" t="s">
        <v>146</v>
      </c>
    </row>
    <row r="56" spans="1:14" s="53" customFormat="1" ht="37.5" x14ac:dyDescent="0.25">
      <c r="A56" s="262"/>
      <c r="B56" s="263"/>
      <c r="C56" s="264"/>
      <c r="D56" s="229" t="s">
        <v>1</v>
      </c>
      <c r="E56" s="79"/>
      <c r="F56" s="73">
        <f t="shared" si="2"/>
        <v>0</v>
      </c>
      <c r="G56" s="79">
        <v>0</v>
      </c>
      <c r="H56" s="79">
        <v>0</v>
      </c>
      <c r="I56" s="141">
        <v>0</v>
      </c>
      <c r="J56" s="141">
        <v>0</v>
      </c>
      <c r="K56" s="141">
        <v>0</v>
      </c>
      <c r="L56" s="265"/>
      <c r="M56" s="266"/>
    </row>
    <row r="57" spans="1:14" s="53" customFormat="1" ht="56.25" x14ac:dyDescent="0.25">
      <c r="A57" s="262"/>
      <c r="B57" s="263"/>
      <c r="C57" s="264"/>
      <c r="D57" s="233" t="s">
        <v>54</v>
      </c>
      <c r="E57" s="79">
        <v>0</v>
      </c>
      <c r="F57" s="73">
        <f t="shared" si="2"/>
        <v>1759008</v>
      </c>
      <c r="G57" s="79">
        <f>340712.8+11088.8</f>
        <v>351801.59999999998</v>
      </c>
      <c r="H57" s="79">
        <f>340712.8+11088.8</f>
        <v>351801.59999999998</v>
      </c>
      <c r="I57" s="141">
        <f>340712.8+11088.8</f>
        <v>351801.59999999998</v>
      </c>
      <c r="J57" s="141">
        <f t="shared" ref="J57:K57" si="14">340712.8+11088.8</f>
        <v>351801.59999999998</v>
      </c>
      <c r="K57" s="141">
        <f t="shared" si="14"/>
        <v>351801.59999999998</v>
      </c>
      <c r="L57" s="265"/>
      <c r="M57" s="266"/>
    </row>
    <row r="58" spans="1:14" s="53" customFormat="1" ht="37.5" x14ac:dyDescent="0.25">
      <c r="A58" s="262"/>
      <c r="B58" s="263"/>
      <c r="C58" s="264"/>
      <c r="D58" s="233" t="s">
        <v>139</v>
      </c>
      <c r="E58" s="79"/>
      <c r="F58" s="73">
        <f t="shared" si="2"/>
        <v>0</v>
      </c>
      <c r="G58" s="79">
        <v>0</v>
      </c>
      <c r="H58" s="79">
        <v>0</v>
      </c>
      <c r="I58" s="141">
        <v>0</v>
      </c>
      <c r="J58" s="141">
        <v>0</v>
      </c>
      <c r="K58" s="141">
        <v>0</v>
      </c>
      <c r="L58" s="265"/>
      <c r="M58" s="266"/>
    </row>
    <row r="59" spans="1:14" s="53" customFormat="1" ht="33.75" customHeight="1" x14ac:dyDescent="0.25">
      <c r="A59" s="262" t="s">
        <v>106</v>
      </c>
      <c r="B59" s="263" t="s">
        <v>171</v>
      </c>
      <c r="C59" s="264" t="s">
        <v>138</v>
      </c>
      <c r="D59" s="233" t="s">
        <v>46</v>
      </c>
      <c r="E59" s="79"/>
      <c r="F59" s="73">
        <f t="shared" si="2"/>
        <v>0</v>
      </c>
      <c r="G59" s="79">
        <v>0</v>
      </c>
      <c r="H59" s="79">
        <v>0</v>
      </c>
      <c r="I59" s="141">
        <v>0</v>
      </c>
      <c r="J59" s="141">
        <v>0</v>
      </c>
      <c r="K59" s="141">
        <v>0</v>
      </c>
      <c r="L59" s="265" t="s">
        <v>4</v>
      </c>
      <c r="M59" s="266" t="s">
        <v>99</v>
      </c>
    </row>
    <row r="60" spans="1:14" s="53" customFormat="1" ht="37.5" x14ac:dyDescent="0.25">
      <c r="A60" s="262"/>
      <c r="B60" s="263"/>
      <c r="C60" s="264"/>
      <c r="D60" s="233" t="s">
        <v>1</v>
      </c>
      <c r="E60" s="79"/>
      <c r="F60" s="73">
        <f t="shared" si="2"/>
        <v>0</v>
      </c>
      <c r="G60" s="79">
        <v>0</v>
      </c>
      <c r="H60" s="79">
        <v>0</v>
      </c>
      <c r="I60" s="141">
        <v>0</v>
      </c>
      <c r="J60" s="141">
        <v>0</v>
      </c>
      <c r="K60" s="141">
        <v>0</v>
      </c>
      <c r="L60" s="265"/>
      <c r="M60" s="266"/>
    </row>
    <row r="61" spans="1:14" s="53" customFormat="1" ht="56.25" x14ac:dyDescent="0.25">
      <c r="A61" s="262"/>
      <c r="B61" s="263"/>
      <c r="C61" s="264"/>
      <c r="D61" s="233" t="s">
        <v>54</v>
      </c>
      <c r="E61" s="79">
        <v>0</v>
      </c>
      <c r="F61" s="73">
        <f t="shared" si="2"/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265"/>
      <c r="M61" s="266"/>
    </row>
    <row r="62" spans="1:14" s="53" customFormat="1" ht="37.5" x14ac:dyDescent="0.25">
      <c r="A62" s="262"/>
      <c r="B62" s="263"/>
      <c r="C62" s="264"/>
      <c r="D62" s="233" t="s">
        <v>139</v>
      </c>
      <c r="E62" s="79"/>
      <c r="F62" s="73">
        <f t="shared" si="2"/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265"/>
      <c r="M62" s="266"/>
    </row>
    <row r="63" spans="1:14" s="53" customFormat="1" ht="33.75" customHeight="1" x14ac:dyDescent="0.25">
      <c r="A63" s="262" t="s">
        <v>107</v>
      </c>
      <c r="B63" s="263" t="s">
        <v>170</v>
      </c>
      <c r="C63" s="264" t="s">
        <v>138</v>
      </c>
      <c r="D63" s="233" t="s">
        <v>46</v>
      </c>
      <c r="E63" s="79"/>
      <c r="F63" s="73">
        <f t="shared" ref="F63:F66" si="15">SUM(G63:K63)</f>
        <v>0</v>
      </c>
      <c r="G63" s="79">
        <v>0</v>
      </c>
      <c r="H63" s="79">
        <v>0</v>
      </c>
      <c r="I63" s="141">
        <v>0</v>
      </c>
      <c r="J63" s="141">
        <v>0</v>
      </c>
      <c r="K63" s="141">
        <v>0</v>
      </c>
      <c r="L63" s="265" t="s">
        <v>4</v>
      </c>
      <c r="M63" s="266" t="s">
        <v>70</v>
      </c>
    </row>
    <row r="64" spans="1:14" s="53" customFormat="1" ht="37.5" x14ac:dyDescent="0.25">
      <c r="A64" s="262"/>
      <c r="B64" s="263"/>
      <c r="C64" s="264"/>
      <c r="D64" s="233" t="s">
        <v>1</v>
      </c>
      <c r="E64" s="79"/>
      <c r="F64" s="73">
        <f t="shared" si="15"/>
        <v>0</v>
      </c>
      <c r="G64" s="79">
        <v>0</v>
      </c>
      <c r="H64" s="79">
        <v>0</v>
      </c>
      <c r="I64" s="141">
        <v>0</v>
      </c>
      <c r="J64" s="141">
        <v>0</v>
      </c>
      <c r="K64" s="141">
        <v>0</v>
      </c>
      <c r="L64" s="265"/>
      <c r="M64" s="266"/>
    </row>
    <row r="65" spans="1:13" s="53" customFormat="1" ht="56.25" x14ac:dyDescent="0.25">
      <c r="A65" s="262"/>
      <c r="B65" s="263"/>
      <c r="C65" s="264"/>
      <c r="D65" s="233" t="s">
        <v>54</v>
      </c>
      <c r="E65" s="79">
        <v>0</v>
      </c>
      <c r="F65" s="73">
        <f t="shared" si="15"/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265"/>
      <c r="M65" s="266"/>
    </row>
    <row r="66" spans="1:13" s="53" customFormat="1" ht="37.5" x14ac:dyDescent="0.25">
      <c r="A66" s="262"/>
      <c r="B66" s="263"/>
      <c r="C66" s="264"/>
      <c r="D66" s="233" t="s">
        <v>139</v>
      </c>
      <c r="E66" s="79"/>
      <c r="F66" s="73">
        <f t="shared" si="15"/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265"/>
      <c r="M66" s="266"/>
    </row>
    <row r="67" spans="1:13" s="53" customFormat="1" ht="33.75" customHeight="1" x14ac:dyDescent="0.25">
      <c r="A67" s="262" t="s">
        <v>124</v>
      </c>
      <c r="B67" s="263" t="s">
        <v>169</v>
      </c>
      <c r="C67" s="264" t="s">
        <v>138</v>
      </c>
      <c r="D67" s="233" t="s">
        <v>46</v>
      </c>
      <c r="E67" s="79"/>
      <c r="F67" s="73">
        <f t="shared" ref="F67:F88" si="16">SUM(G67:K67)</f>
        <v>0</v>
      </c>
      <c r="G67" s="79">
        <v>0</v>
      </c>
      <c r="H67" s="79">
        <v>0</v>
      </c>
      <c r="I67" s="141">
        <v>0</v>
      </c>
      <c r="J67" s="141">
        <v>0</v>
      </c>
      <c r="K67" s="141">
        <v>0</v>
      </c>
      <c r="L67" s="265" t="s">
        <v>4</v>
      </c>
      <c r="M67" s="266" t="s">
        <v>102</v>
      </c>
    </row>
    <row r="68" spans="1:13" s="53" customFormat="1" ht="37.5" x14ac:dyDescent="0.25">
      <c r="A68" s="262"/>
      <c r="B68" s="263"/>
      <c r="C68" s="264"/>
      <c r="D68" s="233" t="s">
        <v>1</v>
      </c>
      <c r="E68" s="79"/>
      <c r="F68" s="73">
        <f t="shared" si="16"/>
        <v>0</v>
      </c>
      <c r="G68" s="79">
        <v>0</v>
      </c>
      <c r="H68" s="79">
        <v>0</v>
      </c>
      <c r="I68" s="141">
        <v>0</v>
      </c>
      <c r="J68" s="141">
        <v>0</v>
      </c>
      <c r="K68" s="141">
        <v>0</v>
      </c>
      <c r="L68" s="265"/>
      <c r="M68" s="266"/>
    </row>
    <row r="69" spans="1:13" s="53" customFormat="1" ht="56.25" x14ac:dyDescent="0.25">
      <c r="A69" s="262"/>
      <c r="B69" s="263"/>
      <c r="C69" s="264"/>
      <c r="D69" s="233" t="s">
        <v>54</v>
      </c>
      <c r="E69" s="79">
        <v>0</v>
      </c>
      <c r="F69" s="73">
        <f t="shared" si="16"/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265"/>
      <c r="M69" s="266"/>
    </row>
    <row r="70" spans="1:13" s="53" customFormat="1" ht="37.5" x14ac:dyDescent="0.25">
      <c r="A70" s="262"/>
      <c r="B70" s="263"/>
      <c r="C70" s="264"/>
      <c r="D70" s="233" t="s">
        <v>139</v>
      </c>
      <c r="E70" s="79"/>
      <c r="F70" s="73">
        <f t="shared" si="16"/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265"/>
      <c r="M70" s="266"/>
    </row>
    <row r="71" spans="1:13" s="53" customFormat="1" ht="38.25" customHeight="1" x14ac:dyDescent="0.25">
      <c r="A71" s="287" t="s">
        <v>126</v>
      </c>
      <c r="B71" s="288" t="s">
        <v>168</v>
      </c>
      <c r="C71" s="289" t="s">
        <v>138</v>
      </c>
      <c r="D71" s="233" t="s">
        <v>46</v>
      </c>
      <c r="E71" s="79"/>
      <c r="F71" s="73">
        <f t="shared" si="16"/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266" t="s">
        <v>82</v>
      </c>
      <c r="M71" s="266" t="s">
        <v>90</v>
      </c>
    </row>
    <row r="72" spans="1:13" s="53" customFormat="1" ht="37.5" customHeight="1" x14ac:dyDescent="0.25">
      <c r="A72" s="287"/>
      <c r="B72" s="288"/>
      <c r="C72" s="289"/>
      <c r="D72" s="233" t="s">
        <v>1</v>
      </c>
      <c r="E72" s="79">
        <f>943864.80836+E73</f>
        <v>1128859.5313599999</v>
      </c>
      <c r="F72" s="73">
        <f t="shared" si="16"/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266"/>
      <c r="M72" s="266"/>
    </row>
    <row r="73" spans="1:13" s="53" customFormat="1" ht="58.5" customHeight="1" x14ac:dyDescent="0.25">
      <c r="A73" s="287"/>
      <c r="B73" s="288"/>
      <c r="C73" s="289"/>
      <c r="D73" s="222" t="s">
        <v>54</v>
      </c>
      <c r="E73" s="79">
        <v>184994.723</v>
      </c>
      <c r="F73" s="73">
        <f t="shared" si="16"/>
        <v>125938.5</v>
      </c>
      <c r="G73" s="79">
        <f>25028.857+63.482+158.025</f>
        <v>25250.364000000001</v>
      </c>
      <c r="H73" s="79">
        <f>24950.527+63.482+158.025</f>
        <v>25172.034</v>
      </c>
      <c r="I73" s="79">
        <f>24950.527+63.482+158.025</f>
        <v>25172.034</v>
      </c>
      <c r="J73" s="79">
        <f t="shared" ref="J73:K73" si="17">24950.527+63.482+158.025</f>
        <v>25172.034</v>
      </c>
      <c r="K73" s="79">
        <f t="shared" si="17"/>
        <v>25172.034</v>
      </c>
      <c r="L73" s="266"/>
      <c r="M73" s="266"/>
    </row>
    <row r="74" spans="1:13" s="53" customFormat="1" ht="75" x14ac:dyDescent="0.25">
      <c r="A74" s="287"/>
      <c r="B74" s="288"/>
      <c r="C74" s="289"/>
      <c r="D74" s="222" t="s">
        <v>81</v>
      </c>
      <c r="E74" s="79">
        <v>56075.205379999999</v>
      </c>
      <c r="F74" s="73">
        <f t="shared" si="16"/>
        <v>2630.4199999999996</v>
      </c>
      <c r="G74" s="148">
        <v>526.08399999999995</v>
      </c>
      <c r="H74" s="148">
        <v>526.08399999999995</v>
      </c>
      <c r="I74" s="148">
        <v>526.08399999999995</v>
      </c>
      <c r="J74" s="148">
        <v>526.08399999999995</v>
      </c>
      <c r="K74" s="148">
        <v>526.08399999999995</v>
      </c>
      <c r="L74" s="266"/>
      <c r="M74" s="266"/>
    </row>
    <row r="75" spans="1:13" s="53" customFormat="1" ht="37.5" x14ac:dyDescent="0.25">
      <c r="A75" s="287"/>
      <c r="B75" s="288"/>
      <c r="C75" s="289"/>
      <c r="D75" s="222" t="s">
        <v>139</v>
      </c>
      <c r="E75" s="79"/>
      <c r="F75" s="73">
        <f t="shared" si="16"/>
        <v>179.20000000000002</v>
      </c>
      <c r="G75" s="79">
        <f>G76</f>
        <v>35.840000000000003</v>
      </c>
      <c r="H75" s="79">
        <f t="shared" ref="H75:K75" si="18">H76</f>
        <v>35.840000000000003</v>
      </c>
      <c r="I75" s="79">
        <f t="shared" si="18"/>
        <v>35.840000000000003</v>
      </c>
      <c r="J75" s="79">
        <f t="shared" si="18"/>
        <v>35.840000000000003</v>
      </c>
      <c r="K75" s="79">
        <f t="shared" si="18"/>
        <v>35.840000000000003</v>
      </c>
      <c r="L75" s="266"/>
      <c r="M75" s="266"/>
    </row>
    <row r="76" spans="1:13" s="53" customFormat="1" ht="75" x14ac:dyDescent="0.25">
      <c r="A76" s="287"/>
      <c r="B76" s="288"/>
      <c r="C76" s="289"/>
      <c r="D76" s="222" t="s">
        <v>144</v>
      </c>
      <c r="E76" s="79">
        <v>219815.44200000001</v>
      </c>
      <c r="F76" s="73">
        <f t="shared" si="16"/>
        <v>179.20000000000002</v>
      </c>
      <c r="G76" s="148">
        <v>35.840000000000003</v>
      </c>
      <c r="H76" s="148">
        <v>35.840000000000003</v>
      </c>
      <c r="I76" s="148">
        <v>35.840000000000003</v>
      </c>
      <c r="J76" s="148">
        <v>35.840000000000003</v>
      </c>
      <c r="K76" s="148">
        <v>35.840000000000003</v>
      </c>
      <c r="L76" s="266"/>
      <c r="M76" s="266"/>
    </row>
    <row r="77" spans="1:13" s="53" customFormat="1" ht="39" customHeight="1" x14ac:dyDescent="0.25">
      <c r="A77" s="262" t="s">
        <v>127</v>
      </c>
      <c r="B77" s="263" t="s">
        <v>167</v>
      </c>
      <c r="C77" s="264" t="s">
        <v>138</v>
      </c>
      <c r="D77" s="233" t="s">
        <v>46</v>
      </c>
      <c r="E77" s="79"/>
      <c r="F77" s="73">
        <f t="shared" si="16"/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265" t="s">
        <v>4</v>
      </c>
      <c r="M77" s="266" t="s">
        <v>148</v>
      </c>
    </row>
    <row r="78" spans="1:13" s="53" customFormat="1" ht="37.5" x14ac:dyDescent="0.25">
      <c r="A78" s="262"/>
      <c r="B78" s="263"/>
      <c r="C78" s="264"/>
      <c r="D78" s="233" t="s">
        <v>1</v>
      </c>
      <c r="E78" s="79"/>
      <c r="F78" s="73">
        <f t="shared" si="16"/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265"/>
      <c r="M78" s="266"/>
    </row>
    <row r="79" spans="1:13" s="53" customFormat="1" ht="61.5" customHeight="1" x14ac:dyDescent="0.25">
      <c r="A79" s="262"/>
      <c r="B79" s="263"/>
      <c r="C79" s="264"/>
      <c r="D79" s="233" t="s">
        <v>54</v>
      </c>
      <c r="E79" s="79">
        <v>0</v>
      </c>
      <c r="F79" s="73">
        <f t="shared" si="16"/>
        <v>0</v>
      </c>
      <c r="G79" s="79">
        <v>0</v>
      </c>
      <c r="H79" s="79">
        <v>0</v>
      </c>
      <c r="I79" s="79">
        <f t="shared" ref="I79:K80" si="19">50000-50000</f>
        <v>0</v>
      </c>
      <c r="J79" s="79">
        <f t="shared" si="19"/>
        <v>0</v>
      </c>
      <c r="K79" s="79">
        <f t="shared" si="19"/>
        <v>0</v>
      </c>
      <c r="L79" s="265"/>
      <c r="M79" s="266"/>
    </row>
    <row r="80" spans="1:13" s="53" customFormat="1" ht="37.5" x14ac:dyDescent="0.25">
      <c r="A80" s="262"/>
      <c r="B80" s="263"/>
      <c r="C80" s="264"/>
      <c r="D80" s="233" t="s">
        <v>139</v>
      </c>
      <c r="E80" s="79"/>
      <c r="F80" s="73">
        <f t="shared" si="16"/>
        <v>0</v>
      </c>
      <c r="G80" s="79">
        <v>0</v>
      </c>
      <c r="H80" s="79">
        <v>0</v>
      </c>
      <c r="I80" s="79">
        <f t="shared" si="19"/>
        <v>0</v>
      </c>
      <c r="J80" s="79">
        <f t="shared" si="19"/>
        <v>0</v>
      </c>
      <c r="K80" s="79">
        <f t="shared" si="19"/>
        <v>0</v>
      </c>
      <c r="L80" s="265"/>
      <c r="M80" s="266"/>
    </row>
    <row r="81" spans="1:18" s="53" customFormat="1" ht="40.5" customHeight="1" x14ac:dyDescent="0.25">
      <c r="A81" s="262" t="s">
        <v>149</v>
      </c>
      <c r="B81" s="263" t="s">
        <v>166</v>
      </c>
      <c r="C81" s="264" t="s">
        <v>138</v>
      </c>
      <c r="D81" s="229" t="s">
        <v>46</v>
      </c>
      <c r="E81" s="79"/>
      <c r="F81" s="73">
        <f t="shared" si="16"/>
        <v>0</v>
      </c>
      <c r="G81" s="79">
        <v>0</v>
      </c>
      <c r="H81" s="79">
        <v>0</v>
      </c>
      <c r="I81" s="141">
        <v>0</v>
      </c>
      <c r="J81" s="141">
        <v>0</v>
      </c>
      <c r="K81" s="141">
        <v>0</v>
      </c>
      <c r="L81" s="265" t="s">
        <v>4</v>
      </c>
      <c r="M81" s="266" t="s">
        <v>97</v>
      </c>
    </row>
    <row r="82" spans="1:18" s="53" customFormat="1" ht="37.5" x14ac:dyDescent="0.25">
      <c r="A82" s="262"/>
      <c r="B82" s="263"/>
      <c r="C82" s="264"/>
      <c r="D82" s="229" t="s">
        <v>1</v>
      </c>
      <c r="E82" s="79"/>
      <c r="F82" s="73">
        <f t="shared" si="16"/>
        <v>0</v>
      </c>
      <c r="G82" s="79">
        <v>0</v>
      </c>
      <c r="H82" s="79">
        <v>0</v>
      </c>
      <c r="I82" s="141">
        <v>0</v>
      </c>
      <c r="J82" s="141">
        <v>0</v>
      </c>
      <c r="K82" s="141">
        <v>0</v>
      </c>
      <c r="L82" s="265"/>
      <c r="M82" s="266"/>
    </row>
    <row r="83" spans="1:18" s="53" customFormat="1" ht="56.25" x14ac:dyDescent="0.25">
      <c r="A83" s="262"/>
      <c r="B83" s="263"/>
      <c r="C83" s="264"/>
      <c r="D83" s="233" t="s">
        <v>54</v>
      </c>
      <c r="E83" s="79">
        <v>0</v>
      </c>
      <c r="F83" s="73">
        <f t="shared" si="16"/>
        <v>14016</v>
      </c>
      <c r="G83" s="79">
        <v>2803.2</v>
      </c>
      <c r="H83" s="79">
        <v>2803.2</v>
      </c>
      <c r="I83" s="141">
        <v>2803.2</v>
      </c>
      <c r="J83" s="141">
        <v>2803.2</v>
      </c>
      <c r="K83" s="141">
        <v>2803.2</v>
      </c>
      <c r="L83" s="265"/>
      <c r="M83" s="266"/>
    </row>
    <row r="84" spans="1:18" s="53" customFormat="1" ht="37.5" x14ac:dyDescent="0.25">
      <c r="A84" s="262"/>
      <c r="B84" s="263"/>
      <c r="C84" s="264"/>
      <c r="D84" s="233" t="s">
        <v>139</v>
      </c>
      <c r="E84" s="79"/>
      <c r="F84" s="73">
        <f t="shared" si="16"/>
        <v>0</v>
      </c>
      <c r="G84" s="79">
        <v>0</v>
      </c>
      <c r="H84" s="79">
        <v>0</v>
      </c>
      <c r="I84" s="141">
        <v>0</v>
      </c>
      <c r="J84" s="141">
        <v>0</v>
      </c>
      <c r="K84" s="141">
        <v>0</v>
      </c>
      <c r="L84" s="265"/>
      <c r="M84" s="266"/>
    </row>
    <row r="85" spans="1:18" s="53" customFormat="1" ht="33.75" customHeight="1" x14ac:dyDescent="0.25">
      <c r="A85" s="262" t="s">
        <v>150</v>
      </c>
      <c r="B85" s="263" t="s">
        <v>165</v>
      </c>
      <c r="C85" s="264" t="s">
        <v>138</v>
      </c>
      <c r="D85" s="233" t="s">
        <v>46</v>
      </c>
      <c r="E85" s="79"/>
      <c r="F85" s="73">
        <f t="shared" si="16"/>
        <v>0</v>
      </c>
      <c r="G85" s="79">
        <v>0</v>
      </c>
      <c r="H85" s="79">
        <v>0</v>
      </c>
      <c r="I85" s="141">
        <v>0</v>
      </c>
      <c r="J85" s="141">
        <v>0</v>
      </c>
      <c r="K85" s="141">
        <v>0</v>
      </c>
      <c r="L85" s="265" t="s">
        <v>4</v>
      </c>
      <c r="M85" s="266" t="s">
        <v>151</v>
      </c>
    </row>
    <row r="86" spans="1:18" s="53" customFormat="1" ht="37.5" x14ac:dyDescent="0.25">
      <c r="A86" s="262"/>
      <c r="B86" s="263"/>
      <c r="C86" s="264"/>
      <c r="D86" s="233" t="s">
        <v>1</v>
      </c>
      <c r="E86" s="79"/>
      <c r="F86" s="73">
        <f t="shared" si="16"/>
        <v>0</v>
      </c>
      <c r="G86" s="79">
        <v>0</v>
      </c>
      <c r="H86" s="79">
        <v>0</v>
      </c>
      <c r="I86" s="141">
        <v>0</v>
      </c>
      <c r="J86" s="141">
        <v>0</v>
      </c>
      <c r="K86" s="141">
        <v>0</v>
      </c>
      <c r="L86" s="265"/>
      <c r="M86" s="266"/>
    </row>
    <row r="87" spans="1:18" s="53" customFormat="1" ht="64.5" customHeight="1" x14ac:dyDescent="0.25">
      <c r="A87" s="262"/>
      <c r="B87" s="263"/>
      <c r="C87" s="264"/>
      <c r="D87" s="233" t="s">
        <v>54</v>
      </c>
      <c r="E87" s="79">
        <v>0</v>
      </c>
      <c r="F87" s="73">
        <f t="shared" si="16"/>
        <v>0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  <c r="L87" s="265"/>
      <c r="M87" s="266"/>
    </row>
    <row r="88" spans="1:18" s="53" customFormat="1" ht="37.5" x14ac:dyDescent="0.25">
      <c r="A88" s="262"/>
      <c r="B88" s="263"/>
      <c r="C88" s="264"/>
      <c r="D88" s="233" t="s">
        <v>139</v>
      </c>
      <c r="E88" s="79"/>
      <c r="F88" s="73">
        <f t="shared" si="16"/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265"/>
      <c r="M88" s="266"/>
    </row>
    <row r="89" spans="1:18" s="15" customFormat="1" ht="18.75" customHeight="1" x14ac:dyDescent="0.25">
      <c r="A89" s="245" t="s">
        <v>110</v>
      </c>
      <c r="B89" s="246" t="s">
        <v>152</v>
      </c>
      <c r="C89" s="246" t="s">
        <v>138</v>
      </c>
      <c r="D89" s="226" t="s">
        <v>3</v>
      </c>
      <c r="E89" s="149" t="e">
        <f>E91+E92+E90</f>
        <v>#REF!</v>
      </c>
      <c r="F89" s="68">
        <f t="shared" si="2"/>
        <v>3676421.4400000004</v>
      </c>
      <c r="G89" s="149">
        <f>G91+G92+G90+G93</f>
        <v>716659.54999999993</v>
      </c>
      <c r="H89" s="149">
        <f t="shared" ref="H89:K89" si="20">H91+H92+H90+H93</f>
        <v>716659.54999999993</v>
      </c>
      <c r="I89" s="149">
        <f t="shared" si="20"/>
        <v>747700.78</v>
      </c>
      <c r="J89" s="149">
        <f t="shared" si="20"/>
        <v>747700.78</v>
      </c>
      <c r="K89" s="149">
        <f t="shared" si="20"/>
        <v>747700.78</v>
      </c>
      <c r="L89" s="255"/>
      <c r="M89" s="256"/>
      <c r="Q89" s="64"/>
      <c r="R89" s="64"/>
    </row>
    <row r="90" spans="1:18" s="15" customFormat="1" ht="39.75" customHeight="1" x14ac:dyDescent="0.25">
      <c r="A90" s="245"/>
      <c r="B90" s="246"/>
      <c r="C90" s="246"/>
      <c r="D90" s="226" t="s">
        <v>46</v>
      </c>
      <c r="E90" s="150">
        <f>E102</f>
        <v>0</v>
      </c>
      <c r="F90" s="68">
        <f t="shared" si="2"/>
        <v>876252.95</v>
      </c>
      <c r="G90" s="150">
        <f>G94+G98+G102+G106+G110</f>
        <v>168810.58</v>
      </c>
      <c r="H90" s="150">
        <f t="shared" ref="H90:K90" si="21">H94+H98+H102+H106+H110</f>
        <v>168810.58</v>
      </c>
      <c r="I90" s="150">
        <f t="shared" si="21"/>
        <v>179543.93</v>
      </c>
      <c r="J90" s="150">
        <f t="shared" si="21"/>
        <v>179543.93</v>
      </c>
      <c r="K90" s="150">
        <f t="shared" si="21"/>
        <v>179543.93</v>
      </c>
      <c r="L90" s="255"/>
      <c r="M90" s="256"/>
      <c r="Q90" s="64"/>
      <c r="R90" s="64"/>
    </row>
    <row r="91" spans="1:18" s="15" customFormat="1" ht="39.75" customHeight="1" x14ac:dyDescent="0.25">
      <c r="A91" s="245"/>
      <c r="B91" s="246"/>
      <c r="C91" s="246"/>
      <c r="D91" s="226" t="s">
        <v>1</v>
      </c>
      <c r="E91" s="150" t="e">
        <f>#REF!+E94+E95+E99+#REF!+#REF!+E103+E107</f>
        <v>#REF!</v>
      </c>
      <c r="F91" s="68">
        <f t="shared" si="2"/>
        <v>1285462.3499999999</v>
      </c>
      <c r="G91" s="150">
        <f>G95+G99+G103+G107+G111</f>
        <v>246770.22</v>
      </c>
      <c r="H91" s="150">
        <f t="shared" ref="H91:K91" si="22">H95+H99+H103+H107+H111</f>
        <v>246770.22</v>
      </c>
      <c r="I91" s="150">
        <f t="shared" si="22"/>
        <v>263973.96999999997</v>
      </c>
      <c r="J91" s="150">
        <f t="shared" si="22"/>
        <v>263973.96999999997</v>
      </c>
      <c r="K91" s="150">
        <f t="shared" si="22"/>
        <v>263973.96999999997</v>
      </c>
      <c r="L91" s="255"/>
      <c r="M91" s="256"/>
      <c r="Q91" s="64"/>
      <c r="R91" s="64"/>
    </row>
    <row r="92" spans="1:18" s="15" customFormat="1" ht="58.5" customHeight="1" x14ac:dyDescent="0.25">
      <c r="A92" s="245"/>
      <c r="B92" s="246"/>
      <c r="C92" s="246"/>
      <c r="D92" s="226" t="s">
        <v>55</v>
      </c>
      <c r="E92" s="150" t="e">
        <f>#REF!+E100+#REF!+#REF!+#REF!+E104+E108</f>
        <v>#REF!</v>
      </c>
      <c r="F92" s="68">
        <f t="shared" si="2"/>
        <v>1514706.1400000001</v>
      </c>
      <c r="G92" s="150">
        <f>G96+G100+G104+G108+G112</f>
        <v>301078.75</v>
      </c>
      <c r="H92" s="150">
        <f t="shared" ref="H92:K92" si="23">H96+H100+H104+H108+H112</f>
        <v>301078.75</v>
      </c>
      <c r="I92" s="150">
        <f t="shared" si="23"/>
        <v>304182.88</v>
      </c>
      <c r="J92" s="150">
        <f t="shared" si="23"/>
        <v>304182.88</v>
      </c>
      <c r="K92" s="150">
        <f t="shared" si="23"/>
        <v>304182.88</v>
      </c>
      <c r="L92" s="255"/>
      <c r="M92" s="256"/>
      <c r="Q92" s="64"/>
      <c r="R92" s="64"/>
    </row>
    <row r="93" spans="1:18" s="15" customFormat="1" ht="37.5" x14ac:dyDescent="0.25">
      <c r="A93" s="245"/>
      <c r="B93" s="246"/>
      <c r="C93" s="246"/>
      <c r="D93" s="226" t="s">
        <v>139</v>
      </c>
      <c r="E93" s="150"/>
      <c r="F93" s="68">
        <f t="shared" si="2"/>
        <v>0</v>
      </c>
      <c r="G93" s="150">
        <f>G97+G101+G105+G109+G113</f>
        <v>0</v>
      </c>
      <c r="H93" s="150">
        <f t="shared" ref="H93:K93" si="24">H97+H101+H105+H109+H113</f>
        <v>0</v>
      </c>
      <c r="I93" s="150">
        <f t="shared" si="24"/>
        <v>0</v>
      </c>
      <c r="J93" s="150">
        <f t="shared" si="24"/>
        <v>0</v>
      </c>
      <c r="K93" s="150">
        <f t="shared" si="24"/>
        <v>0</v>
      </c>
      <c r="L93" s="255"/>
      <c r="M93" s="256"/>
      <c r="Q93" s="64"/>
      <c r="R93" s="64"/>
    </row>
    <row r="94" spans="1:18" s="53" customFormat="1" ht="40.5" customHeight="1" x14ac:dyDescent="0.25">
      <c r="A94" s="250" t="s">
        <v>35</v>
      </c>
      <c r="B94" s="267" t="s">
        <v>153</v>
      </c>
      <c r="C94" s="252" t="s">
        <v>138</v>
      </c>
      <c r="D94" s="233" t="s">
        <v>46</v>
      </c>
      <c r="E94" s="74">
        <v>200475</v>
      </c>
      <c r="F94" s="68">
        <f t="shared" ref="F94:F201" si="25">SUM(G94:K94)</f>
        <v>0</v>
      </c>
      <c r="G94" s="74">
        <v>0</v>
      </c>
      <c r="H94" s="74">
        <v>0</v>
      </c>
      <c r="I94" s="74">
        <f>202841-202841</f>
        <v>0</v>
      </c>
      <c r="J94" s="74">
        <v>0</v>
      </c>
      <c r="K94" s="74">
        <v>0</v>
      </c>
      <c r="L94" s="261" t="s">
        <v>4</v>
      </c>
      <c r="M94" s="253" t="s">
        <v>21</v>
      </c>
    </row>
    <row r="95" spans="1:18" s="53" customFormat="1" ht="37.5" x14ac:dyDescent="0.25">
      <c r="A95" s="250"/>
      <c r="B95" s="267"/>
      <c r="C95" s="252"/>
      <c r="D95" s="233" t="s">
        <v>1</v>
      </c>
      <c r="E95" s="74">
        <v>93</v>
      </c>
      <c r="F95" s="68">
        <f t="shared" si="25"/>
        <v>75</v>
      </c>
      <c r="G95" s="74">
        <v>15</v>
      </c>
      <c r="H95" s="74">
        <v>15</v>
      </c>
      <c r="I95" s="74">
        <v>15</v>
      </c>
      <c r="J95" s="74">
        <v>15</v>
      </c>
      <c r="K95" s="74">
        <v>15</v>
      </c>
      <c r="L95" s="261"/>
      <c r="M95" s="253"/>
    </row>
    <row r="96" spans="1:18" s="53" customFormat="1" ht="56.25" x14ac:dyDescent="0.25">
      <c r="A96" s="250"/>
      <c r="B96" s="267"/>
      <c r="C96" s="252"/>
      <c r="D96" s="233" t="s">
        <v>54</v>
      </c>
      <c r="E96" s="74"/>
      <c r="F96" s="68">
        <f t="shared" si="25"/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261"/>
      <c r="M96" s="253"/>
    </row>
    <row r="97" spans="1:13" s="53" customFormat="1" ht="37.5" x14ac:dyDescent="0.25">
      <c r="A97" s="250"/>
      <c r="B97" s="267"/>
      <c r="C97" s="252"/>
      <c r="D97" s="233" t="s">
        <v>139</v>
      </c>
      <c r="E97" s="74"/>
      <c r="F97" s="68">
        <f t="shared" si="25"/>
        <v>0</v>
      </c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261"/>
      <c r="M97" s="253"/>
    </row>
    <row r="98" spans="1:13" s="53" customFormat="1" ht="33.75" customHeight="1" x14ac:dyDescent="0.25">
      <c r="A98" s="250" t="s">
        <v>36</v>
      </c>
      <c r="B98" s="251" t="s">
        <v>164</v>
      </c>
      <c r="C98" s="252" t="s">
        <v>138</v>
      </c>
      <c r="D98" s="233" t="s">
        <v>46</v>
      </c>
      <c r="E98" s="74"/>
      <c r="F98" s="68">
        <f t="shared" si="25"/>
        <v>0</v>
      </c>
      <c r="G98" s="74">
        <v>0</v>
      </c>
      <c r="H98" s="74">
        <v>0</v>
      </c>
      <c r="I98" s="74">
        <f>1680-1680</f>
        <v>0</v>
      </c>
      <c r="J98" s="74">
        <f>1680-1680</f>
        <v>0</v>
      </c>
      <c r="K98" s="74">
        <v>0</v>
      </c>
      <c r="L98" s="261" t="s">
        <v>4</v>
      </c>
      <c r="M98" s="253" t="s">
        <v>119</v>
      </c>
    </row>
    <row r="99" spans="1:13" s="53" customFormat="1" ht="37.5" customHeight="1" x14ac:dyDescent="0.25">
      <c r="A99" s="250"/>
      <c r="B99" s="251"/>
      <c r="C99" s="252"/>
      <c r="D99" s="233" t="s">
        <v>1</v>
      </c>
      <c r="E99" s="74">
        <v>1680</v>
      </c>
      <c r="F99" s="68">
        <f t="shared" si="25"/>
        <v>0</v>
      </c>
      <c r="G99" s="74">
        <v>0</v>
      </c>
      <c r="H99" s="74">
        <v>0</v>
      </c>
      <c r="I99" s="74">
        <f>1680-1680</f>
        <v>0</v>
      </c>
      <c r="J99" s="74">
        <f>1680-1680</f>
        <v>0</v>
      </c>
      <c r="K99" s="74">
        <v>0</v>
      </c>
      <c r="L99" s="261"/>
      <c r="M99" s="253"/>
    </row>
    <row r="100" spans="1:13" s="53" customFormat="1" ht="56.25" x14ac:dyDescent="0.25">
      <c r="A100" s="250"/>
      <c r="B100" s="251"/>
      <c r="C100" s="252"/>
      <c r="D100" s="233" t="s">
        <v>54</v>
      </c>
      <c r="E100" s="74">
        <v>420</v>
      </c>
      <c r="F100" s="68">
        <f t="shared" si="25"/>
        <v>0</v>
      </c>
      <c r="G100" s="74">
        <v>0</v>
      </c>
      <c r="H100" s="74">
        <v>0</v>
      </c>
      <c r="I100" s="74">
        <f>420-420</f>
        <v>0</v>
      </c>
      <c r="J100" s="74">
        <f>420-420</f>
        <v>0</v>
      </c>
      <c r="K100" s="74">
        <v>0</v>
      </c>
      <c r="L100" s="261"/>
      <c r="M100" s="253"/>
    </row>
    <row r="101" spans="1:13" s="53" customFormat="1" ht="37.5" x14ac:dyDescent="0.25">
      <c r="A101" s="250"/>
      <c r="B101" s="251"/>
      <c r="C101" s="252"/>
      <c r="D101" s="233" t="s">
        <v>139</v>
      </c>
      <c r="E101" s="74"/>
      <c r="F101" s="68">
        <f t="shared" si="25"/>
        <v>0</v>
      </c>
      <c r="G101" s="74">
        <v>0</v>
      </c>
      <c r="H101" s="74">
        <v>0</v>
      </c>
      <c r="I101" s="74">
        <f>420-420</f>
        <v>0</v>
      </c>
      <c r="J101" s="74">
        <f>420-420</f>
        <v>0</v>
      </c>
      <c r="K101" s="74">
        <v>0</v>
      </c>
      <c r="L101" s="261"/>
      <c r="M101" s="253"/>
    </row>
    <row r="102" spans="1:13" s="53" customFormat="1" ht="36.75" customHeight="1" x14ac:dyDescent="0.25">
      <c r="A102" s="250" t="s">
        <v>37</v>
      </c>
      <c r="B102" s="251" t="s">
        <v>249</v>
      </c>
      <c r="C102" s="252" t="s">
        <v>138</v>
      </c>
      <c r="D102" s="229" t="s">
        <v>46</v>
      </c>
      <c r="E102" s="74">
        <v>0</v>
      </c>
      <c r="F102" s="68">
        <f t="shared" si="25"/>
        <v>876252.95</v>
      </c>
      <c r="G102" s="74">
        <v>168810.58</v>
      </c>
      <c r="H102" s="74">
        <v>168810.58</v>
      </c>
      <c r="I102" s="74">
        <v>179543.93</v>
      </c>
      <c r="J102" s="74">
        <v>179543.93</v>
      </c>
      <c r="K102" s="74">
        <v>179543.93</v>
      </c>
      <c r="L102" s="261" t="s">
        <v>154</v>
      </c>
      <c r="M102" s="253" t="s">
        <v>108</v>
      </c>
    </row>
    <row r="103" spans="1:13" s="53" customFormat="1" ht="37.5" x14ac:dyDescent="0.25">
      <c r="A103" s="250"/>
      <c r="B103" s="251"/>
      <c r="C103" s="252"/>
      <c r="D103" s="229" t="s">
        <v>1</v>
      </c>
      <c r="E103" s="74">
        <v>0</v>
      </c>
      <c r="F103" s="68">
        <f t="shared" si="25"/>
        <v>564072.35</v>
      </c>
      <c r="G103" s="74">
        <v>102492.22</v>
      </c>
      <c r="H103" s="74">
        <v>102492.22</v>
      </c>
      <c r="I103" s="74">
        <v>119695.97</v>
      </c>
      <c r="J103" s="74">
        <v>119695.97</v>
      </c>
      <c r="K103" s="74">
        <v>119695.97</v>
      </c>
      <c r="L103" s="261"/>
      <c r="M103" s="253"/>
    </row>
    <row r="104" spans="1:13" s="53" customFormat="1" ht="56.25" x14ac:dyDescent="0.25">
      <c r="A104" s="250"/>
      <c r="B104" s="251"/>
      <c r="C104" s="252"/>
      <c r="D104" s="229" t="s">
        <v>55</v>
      </c>
      <c r="E104" s="74">
        <v>0</v>
      </c>
      <c r="F104" s="68">
        <f t="shared" si="25"/>
        <v>160036.14000000001</v>
      </c>
      <c r="G104" s="74">
        <v>30144.75</v>
      </c>
      <c r="H104" s="74">
        <v>30144.75</v>
      </c>
      <c r="I104" s="74">
        <v>33248.879999999997</v>
      </c>
      <c r="J104" s="74">
        <v>33248.879999999997</v>
      </c>
      <c r="K104" s="74">
        <v>33248.879999999997</v>
      </c>
      <c r="L104" s="261"/>
      <c r="M104" s="253"/>
    </row>
    <row r="105" spans="1:13" s="53" customFormat="1" ht="37.5" x14ac:dyDescent="0.25">
      <c r="A105" s="250"/>
      <c r="B105" s="251"/>
      <c r="C105" s="252"/>
      <c r="D105" s="233" t="s">
        <v>139</v>
      </c>
      <c r="E105" s="74"/>
      <c r="F105" s="68">
        <f t="shared" si="25"/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261"/>
      <c r="M105" s="253"/>
    </row>
    <row r="106" spans="1:13" s="53" customFormat="1" ht="35.25" customHeight="1" x14ac:dyDescent="0.25">
      <c r="A106" s="250" t="s">
        <v>38</v>
      </c>
      <c r="B106" s="251" t="s">
        <v>163</v>
      </c>
      <c r="C106" s="252" t="s">
        <v>138</v>
      </c>
      <c r="D106" s="229" t="s">
        <v>46</v>
      </c>
      <c r="E106" s="74"/>
      <c r="F106" s="68">
        <f t="shared" si="25"/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261" t="s">
        <v>154</v>
      </c>
      <c r="M106" s="253" t="s">
        <v>155</v>
      </c>
    </row>
    <row r="107" spans="1:13" s="53" customFormat="1" ht="37.5" x14ac:dyDescent="0.25">
      <c r="A107" s="250"/>
      <c r="B107" s="251"/>
      <c r="C107" s="252"/>
      <c r="D107" s="229" t="s">
        <v>1</v>
      </c>
      <c r="E107" s="74">
        <v>0</v>
      </c>
      <c r="F107" s="68">
        <f t="shared" si="25"/>
        <v>530405</v>
      </c>
      <c r="G107" s="74">
        <v>106081</v>
      </c>
      <c r="H107" s="74">
        <v>106081</v>
      </c>
      <c r="I107" s="74">
        <v>106081</v>
      </c>
      <c r="J107" s="74">
        <v>106081</v>
      </c>
      <c r="K107" s="74">
        <v>106081</v>
      </c>
      <c r="L107" s="261"/>
      <c r="M107" s="253"/>
    </row>
    <row r="108" spans="1:13" s="53" customFormat="1" ht="56.25" x14ac:dyDescent="0.25">
      <c r="A108" s="250"/>
      <c r="B108" s="251"/>
      <c r="C108" s="252"/>
      <c r="D108" s="229" t="s">
        <v>55</v>
      </c>
      <c r="E108" s="74">
        <v>0</v>
      </c>
      <c r="F108" s="68">
        <f t="shared" si="25"/>
        <v>1091500</v>
      </c>
      <c r="G108" s="74">
        <f>67254+151046</f>
        <v>218300</v>
      </c>
      <c r="H108" s="74">
        <v>218300</v>
      </c>
      <c r="I108" s="74">
        <v>218300</v>
      </c>
      <c r="J108" s="74">
        <v>218300</v>
      </c>
      <c r="K108" s="74">
        <v>218300</v>
      </c>
      <c r="L108" s="261"/>
      <c r="M108" s="253"/>
    </row>
    <row r="109" spans="1:13" s="53" customFormat="1" ht="37.5" x14ac:dyDescent="0.25">
      <c r="A109" s="250"/>
      <c r="B109" s="251"/>
      <c r="C109" s="252"/>
      <c r="D109" s="233" t="s">
        <v>139</v>
      </c>
      <c r="E109" s="74"/>
      <c r="F109" s="68">
        <f t="shared" si="25"/>
        <v>0</v>
      </c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261"/>
      <c r="M109" s="253"/>
    </row>
    <row r="110" spans="1:13" s="53" customFormat="1" ht="39" customHeight="1" x14ac:dyDescent="0.25">
      <c r="A110" s="262" t="s">
        <v>96</v>
      </c>
      <c r="B110" s="263" t="s">
        <v>162</v>
      </c>
      <c r="C110" s="264" t="s">
        <v>138</v>
      </c>
      <c r="D110" s="229" t="s">
        <v>46</v>
      </c>
      <c r="E110" s="74"/>
      <c r="F110" s="68">
        <f t="shared" si="25"/>
        <v>0</v>
      </c>
      <c r="G110" s="74">
        <v>0</v>
      </c>
      <c r="H110" s="74">
        <v>0</v>
      </c>
      <c r="I110" s="74">
        <v>0</v>
      </c>
      <c r="J110" s="74">
        <v>0</v>
      </c>
      <c r="K110" s="74">
        <v>0</v>
      </c>
      <c r="L110" s="265" t="s">
        <v>4</v>
      </c>
      <c r="M110" s="266" t="s">
        <v>156</v>
      </c>
    </row>
    <row r="111" spans="1:13" s="53" customFormat="1" ht="37.5" x14ac:dyDescent="0.25">
      <c r="A111" s="262"/>
      <c r="B111" s="263"/>
      <c r="C111" s="264"/>
      <c r="D111" s="229" t="s">
        <v>1</v>
      </c>
      <c r="E111" s="79">
        <v>0</v>
      </c>
      <c r="F111" s="68">
        <f t="shared" si="25"/>
        <v>190910</v>
      </c>
      <c r="G111" s="79">
        <v>38182</v>
      </c>
      <c r="H111" s="79">
        <v>38182</v>
      </c>
      <c r="I111" s="141">
        <v>38182</v>
      </c>
      <c r="J111" s="141">
        <v>38182</v>
      </c>
      <c r="K111" s="79">
        <v>38182</v>
      </c>
      <c r="L111" s="265"/>
      <c r="M111" s="266"/>
    </row>
    <row r="112" spans="1:13" s="53" customFormat="1" ht="59.25" customHeight="1" x14ac:dyDescent="0.25">
      <c r="A112" s="262"/>
      <c r="B112" s="263"/>
      <c r="C112" s="264"/>
      <c r="D112" s="229" t="s">
        <v>55</v>
      </c>
      <c r="E112" s="79">
        <v>0</v>
      </c>
      <c r="F112" s="68">
        <f t="shared" si="25"/>
        <v>263170</v>
      </c>
      <c r="G112" s="79">
        <f>28428+24206</f>
        <v>52634</v>
      </c>
      <c r="H112" s="79">
        <v>52634</v>
      </c>
      <c r="I112" s="141">
        <v>52634</v>
      </c>
      <c r="J112" s="141">
        <v>52634</v>
      </c>
      <c r="K112" s="79">
        <v>52634</v>
      </c>
      <c r="L112" s="265"/>
      <c r="M112" s="266"/>
    </row>
    <row r="113" spans="1:18" s="53" customFormat="1" ht="37.5" x14ac:dyDescent="0.25">
      <c r="A113" s="262"/>
      <c r="B113" s="263"/>
      <c r="C113" s="264"/>
      <c r="D113" s="233" t="s">
        <v>139</v>
      </c>
      <c r="E113" s="79"/>
      <c r="F113" s="68">
        <f t="shared" si="25"/>
        <v>0</v>
      </c>
      <c r="G113" s="79">
        <v>0</v>
      </c>
      <c r="H113" s="79">
        <v>0</v>
      </c>
      <c r="I113" s="141">
        <v>0</v>
      </c>
      <c r="J113" s="141">
        <v>0</v>
      </c>
      <c r="K113" s="79">
        <v>0</v>
      </c>
      <c r="L113" s="265"/>
      <c r="M113" s="266"/>
    </row>
    <row r="114" spans="1:18" s="15" customFormat="1" ht="18.75" customHeight="1" x14ac:dyDescent="0.25">
      <c r="A114" s="245" t="s">
        <v>10</v>
      </c>
      <c r="B114" s="246" t="s">
        <v>157</v>
      </c>
      <c r="C114" s="246" t="s">
        <v>138</v>
      </c>
      <c r="D114" s="226" t="s">
        <v>3</v>
      </c>
      <c r="E114" s="149" t="e">
        <f>E116+E117+E115</f>
        <v>#REF!</v>
      </c>
      <c r="F114" s="68">
        <f t="shared" ref="F114:F118" si="26">SUM(G114:K114)</f>
        <v>0</v>
      </c>
      <c r="G114" s="149">
        <f>G115+G116+G117+G118</f>
        <v>0</v>
      </c>
      <c r="H114" s="149">
        <f t="shared" ref="H114:K114" si="27">H115+H116+H117+H118</f>
        <v>0</v>
      </c>
      <c r="I114" s="149">
        <f t="shared" si="27"/>
        <v>0</v>
      </c>
      <c r="J114" s="149">
        <f t="shared" si="27"/>
        <v>0</v>
      </c>
      <c r="K114" s="149">
        <f t="shared" si="27"/>
        <v>0</v>
      </c>
      <c r="L114" s="255"/>
      <c r="M114" s="256"/>
      <c r="Q114" s="64"/>
      <c r="R114" s="64"/>
    </row>
    <row r="115" spans="1:18" s="15" customFormat="1" ht="39.75" customHeight="1" x14ac:dyDescent="0.25">
      <c r="A115" s="245"/>
      <c r="B115" s="246"/>
      <c r="C115" s="246"/>
      <c r="D115" s="226" t="s">
        <v>46</v>
      </c>
      <c r="E115" s="150">
        <f>E142</f>
        <v>0</v>
      </c>
      <c r="F115" s="68">
        <f t="shared" si="26"/>
        <v>0</v>
      </c>
      <c r="G115" s="150">
        <f>G119</f>
        <v>0</v>
      </c>
      <c r="H115" s="150">
        <f t="shared" ref="H115:K115" si="28">H119</f>
        <v>0</v>
      </c>
      <c r="I115" s="150">
        <f t="shared" si="28"/>
        <v>0</v>
      </c>
      <c r="J115" s="150">
        <f t="shared" si="28"/>
        <v>0</v>
      </c>
      <c r="K115" s="150">
        <f t="shared" si="28"/>
        <v>0</v>
      </c>
      <c r="L115" s="255"/>
      <c r="M115" s="256"/>
      <c r="Q115" s="64"/>
      <c r="R115" s="64"/>
    </row>
    <row r="116" spans="1:18" s="15" customFormat="1" ht="39.75" customHeight="1" x14ac:dyDescent="0.25">
      <c r="A116" s="245"/>
      <c r="B116" s="246"/>
      <c r="C116" s="246"/>
      <c r="D116" s="226" t="s">
        <v>1</v>
      </c>
      <c r="E116" s="150" t="e">
        <f>#REF!+E119+E120+E126+#REF!+#REF!+E143+E148</f>
        <v>#REF!</v>
      </c>
      <c r="F116" s="68">
        <f t="shared" si="26"/>
        <v>0</v>
      </c>
      <c r="G116" s="150">
        <f>G120</f>
        <v>0</v>
      </c>
      <c r="H116" s="150">
        <f t="shared" ref="H116:K116" si="29">H120</f>
        <v>0</v>
      </c>
      <c r="I116" s="150">
        <f t="shared" si="29"/>
        <v>0</v>
      </c>
      <c r="J116" s="150">
        <f t="shared" si="29"/>
        <v>0</v>
      </c>
      <c r="K116" s="150">
        <f t="shared" si="29"/>
        <v>0</v>
      </c>
      <c r="L116" s="255"/>
      <c r="M116" s="256"/>
      <c r="Q116" s="64"/>
      <c r="R116" s="64"/>
    </row>
    <row r="117" spans="1:18" s="15" customFormat="1" ht="58.5" customHeight="1" x14ac:dyDescent="0.25">
      <c r="A117" s="245"/>
      <c r="B117" s="246"/>
      <c r="C117" s="246"/>
      <c r="D117" s="226" t="s">
        <v>55</v>
      </c>
      <c r="E117" s="150" t="e">
        <f>#REF!+E130+#REF!+#REF!+#REF!+E144+E150</f>
        <v>#REF!</v>
      </c>
      <c r="F117" s="68">
        <f t="shared" si="26"/>
        <v>0</v>
      </c>
      <c r="G117" s="150">
        <f>G121</f>
        <v>0</v>
      </c>
      <c r="H117" s="150">
        <f t="shared" ref="H117:K117" si="30">H121</f>
        <v>0</v>
      </c>
      <c r="I117" s="150">
        <f t="shared" si="30"/>
        <v>0</v>
      </c>
      <c r="J117" s="150">
        <f t="shared" si="30"/>
        <v>0</v>
      </c>
      <c r="K117" s="150">
        <f t="shared" si="30"/>
        <v>0</v>
      </c>
      <c r="L117" s="255"/>
      <c r="M117" s="256"/>
      <c r="Q117" s="64"/>
      <c r="R117" s="64"/>
    </row>
    <row r="118" spans="1:18" s="15" customFormat="1" ht="37.5" x14ac:dyDescent="0.25">
      <c r="A118" s="245"/>
      <c r="B118" s="246"/>
      <c r="C118" s="246"/>
      <c r="D118" s="226" t="s">
        <v>139</v>
      </c>
      <c r="E118" s="150"/>
      <c r="F118" s="68">
        <f t="shared" si="26"/>
        <v>0</v>
      </c>
      <c r="G118" s="150">
        <f>G122</f>
        <v>0</v>
      </c>
      <c r="H118" s="150">
        <f t="shared" ref="H118:K118" si="31">H122</f>
        <v>0</v>
      </c>
      <c r="I118" s="150">
        <f t="shared" si="31"/>
        <v>0</v>
      </c>
      <c r="J118" s="150">
        <f t="shared" si="31"/>
        <v>0</v>
      </c>
      <c r="K118" s="150">
        <f t="shared" si="31"/>
        <v>0</v>
      </c>
      <c r="L118" s="255"/>
      <c r="M118" s="256"/>
      <c r="Q118" s="64"/>
      <c r="R118" s="64"/>
    </row>
    <row r="119" spans="1:18" s="53" customFormat="1" ht="40.5" customHeight="1" x14ac:dyDescent="0.25">
      <c r="A119" s="250" t="s">
        <v>39</v>
      </c>
      <c r="B119" s="267" t="s">
        <v>161</v>
      </c>
      <c r="C119" s="252" t="s">
        <v>138</v>
      </c>
      <c r="D119" s="233" t="s">
        <v>46</v>
      </c>
      <c r="E119" s="74">
        <v>200475</v>
      </c>
      <c r="F119" s="68">
        <f t="shared" ref="F119:F146" si="32">SUM(G119:K119)</f>
        <v>0</v>
      </c>
      <c r="G119" s="74">
        <v>0</v>
      </c>
      <c r="H119" s="74">
        <v>0</v>
      </c>
      <c r="I119" s="74">
        <f>202841-202841</f>
        <v>0</v>
      </c>
      <c r="J119" s="74">
        <v>0</v>
      </c>
      <c r="K119" s="74">
        <v>0</v>
      </c>
      <c r="L119" s="261" t="s">
        <v>4</v>
      </c>
      <c r="M119" s="253" t="s">
        <v>158</v>
      </c>
    </row>
    <row r="120" spans="1:18" s="53" customFormat="1" ht="37.5" x14ac:dyDescent="0.25">
      <c r="A120" s="250"/>
      <c r="B120" s="267"/>
      <c r="C120" s="252"/>
      <c r="D120" s="233" t="s">
        <v>1</v>
      </c>
      <c r="E120" s="74">
        <v>93</v>
      </c>
      <c r="F120" s="68">
        <f t="shared" si="32"/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261"/>
      <c r="M120" s="253"/>
    </row>
    <row r="121" spans="1:18" s="53" customFormat="1" ht="56.25" x14ac:dyDescent="0.25">
      <c r="A121" s="250"/>
      <c r="B121" s="267"/>
      <c r="C121" s="252"/>
      <c r="D121" s="233" t="s">
        <v>54</v>
      </c>
      <c r="E121" s="74"/>
      <c r="F121" s="68">
        <f t="shared" si="32"/>
        <v>0</v>
      </c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261"/>
      <c r="M121" s="253"/>
    </row>
    <row r="122" spans="1:18" s="53" customFormat="1" ht="37.5" x14ac:dyDescent="0.25">
      <c r="A122" s="250"/>
      <c r="B122" s="267"/>
      <c r="C122" s="252"/>
      <c r="D122" s="233" t="s">
        <v>139</v>
      </c>
      <c r="E122" s="74"/>
      <c r="F122" s="68">
        <f t="shared" si="32"/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261"/>
      <c r="M122" s="253"/>
    </row>
    <row r="123" spans="1:18" s="15" customFormat="1" ht="18.75" customHeight="1" x14ac:dyDescent="0.25">
      <c r="A123" s="240" t="s">
        <v>43</v>
      </c>
      <c r="B123" s="241" t="s">
        <v>159</v>
      </c>
      <c r="C123" s="242" t="s">
        <v>138</v>
      </c>
      <c r="D123" s="160" t="s">
        <v>3</v>
      </c>
      <c r="E123" s="161">
        <f>E126</f>
        <v>9428.6200000000008</v>
      </c>
      <c r="F123" s="68">
        <f t="shared" si="32"/>
        <v>88245.583999999988</v>
      </c>
      <c r="G123" s="161">
        <f>G124+G125+G126+G127</f>
        <v>17581.603999999999</v>
      </c>
      <c r="H123" s="161">
        <f t="shared" ref="H123:K123" si="33">H124+H125+H126+H127</f>
        <v>13165.995000000001</v>
      </c>
      <c r="I123" s="161">
        <f t="shared" si="33"/>
        <v>19165.994999999999</v>
      </c>
      <c r="J123" s="161">
        <f t="shared" si="33"/>
        <v>19165.994999999999</v>
      </c>
      <c r="K123" s="161">
        <f t="shared" si="33"/>
        <v>19165.994999999999</v>
      </c>
      <c r="L123" s="239"/>
      <c r="M123" s="239"/>
      <c r="Q123" s="64"/>
      <c r="R123" s="64"/>
    </row>
    <row r="124" spans="1:18" s="15" customFormat="1" ht="36" customHeight="1" x14ac:dyDescent="0.25">
      <c r="A124" s="240"/>
      <c r="B124" s="241"/>
      <c r="C124" s="242"/>
      <c r="D124" s="160" t="s">
        <v>46</v>
      </c>
      <c r="E124" s="161"/>
      <c r="F124" s="68">
        <f t="shared" si="32"/>
        <v>0</v>
      </c>
      <c r="G124" s="163">
        <f>G128</f>
        <v>0</v>
      </c>
      <c r="H124" s="163">
        <f t="shared" ref="H124:K124" si="34">H128</f>
        <v>0</v>
      </c>
      <c r="I124" s="163">
        <f t="shared" si="34"/>
        <v>0</v>
      </c>
      <c r="J124" s="163">
        <f t="shared" si="34"/>
        <v>0</v>
      </c>
      <c r="K124" s="163">
        <f t="shared" si="34"/>
        <v>0</v>
      </c>
      <c r="L124" s="239"/>
      <c r="M124" s="239"/>
      <c r="Q124" s="64"/>
      <c r="R124" s="64"/>
    </row>
    <row r="125" spans="1:18" s="15" customFormat="1" ht="37.5" x14ac:dyDescent="0.25">
      <c r="A125" s="240"/>
      <c r="B125" s="241"/>
      <c r="C125" s="242"/>
      <c r="D125" s="160" t="s">
        <v>1</v>
      </c>
      <c r="E125" s="161"/>
      <c r="F125" s="68">
        <f t="shared" si="32"/>
        <v>0</v>
      </c>
      <c r="G125" s="163">
        <f>G129</f>
        <v>0</v>
      </c>
      <c r="H125" s="163">
        <f t="shared" ref="H125:K125" si="35">H129</f>
        <v>0</v>
      </c>
      <c r="I125" s="163">
        <f t="shared" si="35"/>
        <v>0</v>
      </c>
      <c r="J125" s="163">
        <f t="shared" si="35"/>
        <v>0</v>
      </c>
      <c r="K125" s="163">
        <f t="shared" si="35"/>
        <v>0</v>
      </c>
      <c r="L125" s="239"/>
      <c r="M125" s="239"/>
      <c r="Q125" s="64"/>
      <c r="R125" s="64"/>
    </row>
    <row r="126" spans="1:18" s="15" customFormat="1" ht="56.25" x14ac:dyDescent="0.25">
      <c r="A126" s="240"/>
      <c r="B126" s="241"/>
      <c r="C126" s="242"/>
      <c r="D126" s="160" t="s">
        <v>54</v>
      </c>
      <c r="E126" s="162">
        <f>E130</f>
        <v>9428.6200000000008</v>
      </c>
      <c r="F126" s="68">
        <f t="shared" si="32"/>
        <v>88245.583999999988</v>
      </c>
      <c r="G126" s="162">
        <f>G130</f>
        <v>17581.603999999999</v>
      </c>
      <c r="H126" s="162">
        <f t="shared" ref="H126:K126" si="36">H130</f>
        <v>13165.995000000001</v>
      </c>
      <c r="I126" s="162">
        <f t="shared" si="36"/>
        <v>19165.994999999999</v>
      </c>
      <c r="J126" s="162">
        <f t="shared" si="36"/>
        <v>19165.994999999999</v>
      </c>
      <c r="K126" s="162">
        <f t="shared" si="36"/>
        <v>19165.994999999999</v>
      </c>
      <c r="L126" s="239"/>
      <c r="M126" s="239"/>
      <c r="Q126" s="64"/>
      <c r="R126" s="64"/>
    </row>
    <row r="127" spans="1:18" s="15" customFormat="1" ht="37.5" x14ac:dyDescent="0.25">
      <c r="A127" s="240"/>
      <c r="B127" s="241"/>
      <c r="C127" s="242"/>
      <c r="D127" s="160" t="s">
        <v>139</v>
      </c>
      <c r="E127" s="162"/>
      <c r="F127" s="68">
        <f t="shared" si="32"/>
        <v>0</v>
      </c>
      <c r="G127" s="162">
        <f>G131</f>
        <v>0</v>
      </c>
      <c r="H127" s="162">
        <f t="shared" ref="H127:K127" si="37">H131</f>
        <v>0</v>
      </c>
      <c r="I127" s="162">
        <f t="shared" si="37"/>
        <v>0</v>
      </c>
      <c r="J127" s="162">
        <f t="shared" si="37"/>
        <v>0</v>
      </c>
      <c r="K127" s="162">
        <f t="shared" si="37"/>
        <v>0</v>
      </c>
      <c r="L127" s="239"/>
      <c r="M127" s="239"/>
      <c r="Q127" s="64"/>
      <c r="R127" s="64"/>
    </row>
    <row r="128" spans="1:18" s="15" customFormat="1" ht="36" customHeight="1" x14ac:dyDescent="0.25">
      <c r="A128" s="243" t="s">
        <v>58</v>
      </c>
      <c r="B128" s="247" t="s">
        <v>160</v>
      </c>
      <c r="C128" s="248" t="s">
        <v>138</v>
      </c>
      <c r="D128" s="233" t="s">
        <v>46</v>
      </c>
      <c r="E128" s="109"/>
      <c r="F128" s="68">
        <f t="shared" si="32"/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249" t="s">
        <v>4</v>
      </c>
      <c r="M128" s="249" t="s">
        <v>69</v>
      </c>
      <c r="Q128" s="64"/>
      <c r="R128" s="64"/>
    </row>
    <row r="129" spans="1:18" s="15" customFormat="1" ht="37.5" x14ac:dyDescent="0.25">
      <c r="A129" s="243"/>
      <c r="B129" s="247"/>
      <c r="C129" s="248"/>
      <c r="D129" s="233" t="s">
        <v>1</v>
      </c>
      <c r="E129" s="109"/>
      <c r="F129" s="68">
        <f t="shared" si="32"/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249"/>
      <c r="M129" s="249"/>
      <c r="Q129" s="64"/>
      <c r="R129" s="64"/>
    </row>
    <row r="130" spans="1:18" s="53" customFormat="1" ht="56.25" x14ac:dyDescent="0.25">
      <c r="A130" s="243"/>
      <c r="B130" s="247"/>
      <c r="C130" s="248"/>
      <c r="D130" s="233" t="s">
        <v>54</v>
      </c>
      <c r="E130" s="81">
        <v>9428.6200000000008</v>
      </c>
      <c r="F130" s="68">
        <f t="shared" si="32"/>
        <v>88245.583999999988</v>
      </c>
      <c r="G130" s="81">
        <f>10581.604+7000</f>
        <v>17581.603999999999</v>
      </c>
      <c r="H130" s="111">
        <v>13165.995000000001</v>
      </c>
      <c r="I130" s="111">
        <v>19165.994999999999</v>
      </c>
      <c r="J130" s="111">
        <v>19165.994999999999</v>
      </c>
      <c r="K130" s="111">
        <v>19165.994999999999</v>
      </c>
      <c r="L130" s="249"/>
      <c r="M130" s="249"/>
    </row>
    <row r="131" spans="1:18" s="53" customFormat="1" ht="37.5" x14ac:dyDescent="0.25">
      <c r="A131" s="243"/>
      <c r="B131" s="247"/>
      <c r="C131" s="248"/>
      <c r="D131" s="233" t="s">
        <v>139</v>
      </c>
      <c r="E131" s="81"/>
      <c r="F131" s="68">
        <f t="shared" si="32"/>
        <v>0</v>
      </c>
      <c r="G131" s="81">
        <v>0</v>
      </c>
      <c r="H131" s="81">
        <v>0</v>
      </c>
      <c r="I131" s="81">
        <v>0</v>
      </c>
      <c r="J131" s="81">
        <v>0</v>
      </c>
      <c r="K131" s="81">
        <v>0</v>
      </c>
      <c r="L131" s="249"/>
      <c r="M131" s="249"/>
    </row>
    <row r="132" spans="1:18" s="15" customFormat="1" ht="18.75" customHeight="1" x14ac:dyDescent="0.25">
      <c r="A132" s="240" t="s">
        <v>11</v>
      </c>
      <c r="B132" s="241" t="s">
        <v>179</v>
      </c>
      <c r="C132" s="242" t="s">
        <v>138</v>
      </c>
      <c r="D132" s="160" t="s">
        <v>3</v>
      </c>
      <c r="E132" s="161">
        <f>E135</f>
        <v>0</v>
      </c>
      <c r="F132" s="68">
        <f t="shared" si="32"/>
        <v>117316.42199999999</v>
      </c>
      <c r="G132" s="161">
        <f>G133+G134+G135+G136</f>
        <v>117316.42199999999</v>
      </c>
      <c r="H132" s="161">
        <f t="shared" ref="H132:K132" si="38">H133+H134+H135+H136</f>
        <v>0</v>
      </c>
      <c r="I132" s="161">
        <f t="shared" si="38"/>
        <v>0</v>
      </c>
      <c r="J132" s="161">
        <f t="shared" si="38"/>
        <v>0</v>
      </c>
      <c r="K132" s="161">
        <f t="shared" si="38"/>
        <v>0</v>
      </c>
      <c r="L132" s="239"/>
      <c r="M132" s="239"/>
      <c r="Q132" s="64"/>
      <c r="R132" s="64"/>
    </row>
    <row r="133" spans="1:18" s="15" customFormat="1" ht="36" customHeight="1" x14ac:dyDescent="0.25">
      <c r="A133" s="240"/>
      <c r="B133" s="241"/>
      <c r="C133" s="242"/>
      <c r="D133" s="160" t="s">
        <v>46</v>
      </c>
      <c r="E133" s="161"/>
      <c r="F133" s="68">
        <f t="shared" si="32"/>
        <v>0</v>
      </c>
      <c r="G133" s="163">
        <f>G137</f>
        <v>0</v>
      </c>
      <c r="H133" s="163">
        <f t="shared" ref="H133:K133" si="39">H137</f>
        <v>0</v>
      </c>
      <c r="I133" s="163">
        <f t="shared" si="39"/>
        <v>0</v>
      </c>
      <c r="J133" s="163">
        <f t="shared" si="39"/>
        <v>0</v>
      </c>
      <c r="K133" s="163">
        <f t="shared" si="39"/>
        <v>0</v>
      </c>
      <c r="L133" s="239"/>
      <c r="M133" s="239"/>
      <c r="Q133" s="64"/>
      <c r="R133" s="64"/>
    </row>
    <row r="134" spans="1:18" s="15" customFormat="1" ht="37.5" x14ac:dyDescent="0.25">
      <c r="A134" s="240"/>
      <c r="B134" s="241"/>
      <c r="C134" s="242"/>
      <c r="D134" s="160" t="s">
        <v>1</v>
      </c>
      <c r="E134" s="161"/>
      <c r="F134" s="68">
        <f t="shared" si="32"/>
        <v>71797.649999999994</v>
      </c>
      <c r="G134" s="163">
        <f>G138</f>
        <v>71797.649999999994</v>
      </c>
      <c r="H134" s="163">
        <f t="shared" ref="H134:K134" si="40">H138</f>
        <v>0</v>
      </c>
      <c r="I134" s="163">
        <f t="shared" si="40"/>
        <v>0</v>
      </c>
      <c r="J134" s="163">
        <f t="shared" si="40"/>
        <v>0</v>
      </c>
      <c r="K134" s="163">
        <f t="shared" si="40"/>
        <v>0</v>
      </c>
      <c r="L134" s="239"/>
      <c r="M134" s="239"/>
      <c r="Q134" s="64"/>
      <c r="R134" s="64"/>
    </row>
    <row r="135" spans="1:18" s="15" customFormat="1" ht="56.25" x14ac:dyDescent="0.25">
      <c r="A135" s="240"/>
      <c r="B135" s="241"/>
      <c r="C135" s="242"/>
      <c r="D135" s="160" t="s">
        <v>54</v>
      </c>
      <c r="E135" s="162">
        <f>E138</f>
        <v>0</v>
      </c>
      <c r="F135" s="68">
        <f t="shared" si="32"/>
        <v>45518.771999999997</v>
      </c>
      <c r="G135" s="162">
        <f>G139</f>
        <v>45518.771999999997</v>
      </c>
      <c r="H135" s="162">
        <f t="shared" ref="H135:K135" si="41">H139</f>
        <v>0</v>
      </c>
      <c r="I135" s="162">
        <f t="shared" si="41"/>
        <v>0</v>
      </c>
      <c r="J135" s="162">
        <f t="shared" si="41"/>
        <v>0</v>
      </c>
      <c r="K135" s="162">
        <f t="shared" si="41"/>
        <v>0</v>
      </c>
      <c r="L135" s="239"/>
      <c r="M135" s="239"/>
      <c r="Q135" s="64"/>
      <c r="R135" s="64"/>
    </row>
    <row r="136" spans="1:18" s="15" customFormat="1" ht="37.5" x14ac:dyDescent="0.25">
      <c r="A136" s="240"/>
      <c r="B136" s="241"/>
      <c r="C136" s="242"/>
      <c r="D136" s="160" t="s">
        <v>139</v>
      </c>
      <c r="E136" s="162"/>
      <c r="F136" s="68">
        <f t="shared" si="32"/>
        <v>0</v>
      </c>
      <c r="G136" s="162">
        <f>G140</f>
        <v>0</v>
      </c>
      <c r="H136" s="162">
        <f t="shared" ref="H136:K136" si="42">H140</f>
        <v>0</v>
      </c>
      <c r="I136" s="162">
        <f t="shared" si="42"/>
        <v>0</v>
      </c>
      <c r="J136" s="162">
        <f t="shared" si="42"/>
        <v>0</v>
      </c>
      <c r="K136" s="162">
        <f t="shared" si="42"/>
        <v>0</v>
      </c>
      <c r="L136" s="239"/>
      <c r="M136" s="239"/>
      <c r="Q136" s="64"/>
      <c r="R136" s="64"/>
    </row>
    <row r="137" spans="1:18" s="15" customFormat="1" ht="40.5" customHeight="1" x14ac:dyDescent="0.25">
      <c r="A137" s="257" t="s">
        <v>59</v>
      </c>
      <c r="B137" s="258" t="s">
        <v>180</v>
      </c>
      <c r="C137" s="259" t="s">
        <v>138</v>
      </c>
      <c r="D137" s="237" t="s">
        <v>46</v>
      </c>
      <c r="E137" s="109"/>
      <c r="F137" s="68">
        <f t="shared" si="32"/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260" t="s">
        <v>4</v>
      </c>
      <c r="M137" s="244" t="s">
        <v>255</v>
      </c>
      <c r="Q137" s="64"/>
      <c r="R137" s="64"/>
    </row>
    <row r="138" spans="1:18" s="53" customFormat="1" ht="37.5" x14ac:dyDescent="0.25">
      <c r="A138" s="257"/>
      <c r="B138" s="258"/>
      <c r="C138" s="259"/>
      <c r="D138" s="230" t="s">
        <v>1</v>
      </c>
      <c r="E138" s="77">
        <v>0</v>
      </c>
      <c r="F138" s="68">
        <f t="shared" si="32"/>
        <v>71797.649999999994</v>
      </c>
      <c r="G138" s="77">
        <v>71797.649999999994</v>
      </c>
      <c r="H138" s="77">
        <v>0</v>
      </c>
      <c r="I138" s="77">
        <v>0</v>
      </c>
      <c r="J138" s="77">
        <v>0</v>
      </c>
      <c r="K138" s="77">
        <v>0</v>
      </c>
      <c r="L138" s="260"/>
      <c r="M138" s="244"/>
    </row>
    <row r="139" spans="1:18" s="53" customFormat="1" ht="56.25" x14ac:dyDescent="0.25">
      <c r="A139" s="257"/>
      <c r="B139" s="258"/>
      <c r="C139" s="259"/>
      <c r="D139" s="230" t="s">
        <v>54</v>
      </c>
      <c r="E139" s="77">
        <v>0</v>
      </c>
      <c r="F139" s="68">
        <f t="shared" si="32"/>
        <v>45518.771999999997</v>
      </c>
      <c r="G139" s="77">
        <v>45518.771999999997</v>
      </c>
      <c r="H139" s="77">
        <v>0</v>
      </c>
      <c r="I139" s="77">
        <v>0</v>
      </c>
      <c r="J139" s="77">
        <v>0</v>
      </c>
      <c r="K139" s="77">
        <v>0</v>
      </c>
      <c r="L139" s="260"/>
      <c r="M139" s="244"/>
      <c r="N139" s="54"/>
    </row>
    <row r="140" spans="1:18" s="53" customFormat="1" ht="37.5" x14ac:dyDescent="0.25">
      <c r="A140" s="257"/>
      <c r="B140" s="258"/>
      <c r="C140" s="259"/>
      <c r="D140" s="230" t="s">
        <v>139</v>
      </c>
      <c r="E140" s="77"/>
      <c r="F140" s="68">
        <f t="shared" si="32"/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260"/>
      <c r="M140" s="244"/>
      <c r="N140" s="54"/>
    </row>
    <row r="141" spans="1:18" s="15" customFormat="1" ht="29.25" customHeight="1" x14ac:dyDescent="0.25">
      <c r="A141" s="245" t="s">
        <v>41</v>
      </c>
      <c r="B141" s="246" t="s">
        <v>128</v>
      </c>
      <c r="C141" s="246" t="s">
        <v>138</v>
      </c>
      <c r="D141" s="226" t="s">
        <v>3</v>
      </c>
      <c r="E141" s="149">
        <f>E143+E144</f>
        <v>0</v>
      </c>
      <c r="F141" s="68">
        <f>SUM(G141:K141)</f>
        <v>659800.47102000006</v>
      </c>
      <c r="G141" s="149">
        <f>G142+G143+G144+G145</f>
        <v>240535.61</v>
      </c>
      <c r="H141" s="149">
        <f t="shared" ref="H141:K141" si="43">H142+H143+H144+H145</f>
        <v>234198.15982999999</v>
      </c>
      <c r="I141" s="149">
        <f t="shared" si="43"/>
        <v>185066.70118999999</v>
      </c>
      <c r="J141" s="149">
        <f t="shared" si="43"/>
        <v>0</v>
      </c>
      <c r="K141" s="149">
        <f t="shared" si="43"/>
        <v>0</v>
      </c>
      <c r="L141" s="255"/>
      <c r="M141" s="256"/>
      <c r="Q141" s="64"/>
      <c r="R141" s="64"/>
    </row>
    <row r="142" spans="1:18" s="15" customFormat="1" ht="39.75" customHeight="1" x14ac:dyDescent="0.25">
      <c r="A142" s="245"/>
      <c r="B142" s="246"/>
      <c r="C142" s="246"/>
      <c r="D142" s="226" t="s">
        <v>46</v>
      </c>
      <c r="E142" s="149"/>
      <c r="F142" s="68">
        <f t="shared" si="32"/>
        <v>52304.3</v>
      </c>
      <c r="G142" s="150">
        <f>G146+G150+G154+G158+G162+G166+G170</f>
        <v>52304.3</v>
      </c>
      <c r="H142" s="150">
        <f t="shared" ref="H142:K142" si="44">H146+H150+H154+H158+H162+H166+H170</f>
        <v>0</v>
      </c>
      <c r="I142" s="150">
        <f t="shared" si="44"/>
        <v>0</v>
      </c>
      <c r="J142" s="150">
        <f t="shared" si="44"/>
        <v>0</v>
      </c>
      <c r="K142" s="150">
        <f t="shared" si="44"/>
        <v>0</v>
      </c>
      <c r="L142" s="255"/>
      <c r="M142" s="256"/>
      <c r="Q142" s="64"/>
      <c r="R142" s="64"/>
    </row>
    <row r="143" spans="1:18" s="15" customFormat="1" ht="39.75" customHeight="1" x14ac:dyDescent="0.25">
      <c r="A143" s="245"/>
      <c r="B143" s="246"/>
      <c r="C143" s="246"/>
      <c r="D143" s="226" t="s">
        <v>1</v>
      </c>
      <c r="E143" s="150">
        <f>E147</f>
        <v>0</v>
      </c>
      <c r="F143" s="68">
        <f t="shared" si="32"/>
        <v>494701.10551999998</v>
      </c>
      <c r="G143" s="150">
        <f>G147+G151+G155+G159+G163+G167+G171</f>
        <v>132677.74</v>
      </c>
      <c r="H143" s="150">
        <f t="shared" ref="H143:K143" si="45">H147+H151+H155+H159+H163+H167+H171</f>
        <v>202928.61982999998</v>
      </c>
      <c r="I143" s="150">
        <f t="shared" si="45"/>
        <v>159094.74569000001</v>
      </c>
      <c r="J143" s="150">
        <f t="shared" si="45"/>
        <v>0</v>
      </c>
      <c r="K143" s="150">
        <f t="shared" si="45"/>
        <v>0</v>
      </c>
      <c r="L143" s="255"/>
      <c r="M143" s="256"/>
      <c r="Q143" s="64"/>
      <c r="R143" s="64"/>
    </row>
    <row r="144" spans="1:18" s="15" customFormat="1" ht="58.5" customHeight="1" x14ac:dyDescent="0.25">
      <c r="A144" s="245"/>
      <c r="B144" s="246"/>
      <c r="C144" s="246"/>
      <c r="D144" s="226" t="s">
        <v>55</v>
      </c>
      <c r="E144" s="150">
        <f>E148</f>
        <v>0</v>
      </c>
      <c r="F144" s="68">
        <f t="shared" si="32"/>
        <v>112795.0655</v>
      </c>
      <c r="G144" s="150">
        <f>G148+G152+G156+G160+G164+G168+G172</f>
        <v>55553.57</v>
      </c>
      <c r="H144" s="150">
        <f t="shared" ref="H144:K144" si="46">H148+H152+H156+H160+H164+H168+H172</f>
        <v>31269.54</v>
      </c>
      <c r="I144" s="150">
        <f t="shared" si="46"/>
        <v>25971.955499999996</v>
      </c>
      <c r="J144" s="150">
        <f t="shared" si="46"/>
        <v>0</v>
      </c>
      <c r="K144" s="150">
        <f t="shared" si="46"/>
        <v>0</v>
      </c>
      <c r="L144" s="255"/>
      <c r="M144" s="256"/>
      <c r="Q144" s="64"/>
      <c r="R144" s="64"/>
    </row>
    <row r="145" spans="1:18" s="15" customFormat="1" ht="37.5" x14ac:dyDescent="0.25">
      <c r="A145" s="245"/>
      <c r="B145" s="246"/>
      <c r="C145" s="246"/>
      <c r="D145" s="226" t="s">
        <v>139</v>
      </c>
      <c r="E145" s="150"/>
      <c r="F145" s="68">
        <f t="shared" si="32"/>
        <v>0</v>
      </c>
      <c r="G145" s="150">
        <f>G149+G153+G157+G161+G165+G169+G173</f>
        <v>0</v>
      </c>
      <c r="H145" s="150">
        <f t="shared" ref="H145:K145" si="47">H149+H153+H157+H161+H165+H169+H173</f>
        <v>0</v>
      </c>
      <c r="I145" s="150">
        <f t="shared" si="47"/>
        <v>0</v>
      </c>
      <c r="J145" s="150">
        <f t="shared" si="47"/>
        <v>0</v>
      </c>
      <c r="K145" s="150">
        <f t="shared" si="47"/>
        <v>0</v>
      </c>
      <c r="L145" s="255"/>
      <c r="M145" s="256"/>
      <c r="Q145" s="64"/>
      <c r="R145" s="64"/>
    </row>
    <row r="146" spans="1:18" s="53" customFormat="1" ht="41.25" customHeight="1" x14ac:dyDescent="0.25">
      <c r="A146" s="250" t="s">
        <v>72</v>
      </c>
      <c r="B146" s="251" t="s">
        <v>181</v>
      </c>
      <c r="C146" s="252" t="s">
        <v>138</v>
      </c>
      <c r="D146" s="229" t="s">
        <v>46</v>
      </c>
      <c r="E146" s="139"/>
      <c r="F146" s="68">
        <f t="shared" si="32"/>
        <v>48976</v>
      </c>
      <c r="G146" s="74">
        <v>48976</v>
      </c>
      <c r="H146" s="74">
        <v>0</v>
      </c>
      <c r="I146" s="74">
        <v>0</v>
      </c>
      <c r="J146" s="74">
        <v>0</v>
      </c>
      <c r="K146" s="74">
        <v>0</v>
      </c>
      <c r="L146" s="253" t="s">
        <v>147</v>
      </c>
      <c r="M146" s="254" t="s">
        <v>182</v>
      </c>
    </row>
    <row r="147" spans="1:18" s="53" customFormat="1" ht="37.5" x14ac:dyDescent="0.25">
      <c r="A147" s="250"/>
      <c r="B147" s="251"/>
      <c r="C147" s="252"/>
      <c r="D147" s="229" t="s">
        <v>1</v>
      </c>
      <c r="E147" s="82">
        <v>0</v>
      </c>
      <c r="F147" s="68">
        <f t="shared" ref="F147:F157" si="48">SUM(G147:K147)</f>
        <v>377043.92</v>
      </c>
      <c r="G147" s="82">
        <v>99906.76</v>
      </c>
      <c r="H147" s="82">
        <v>156505.49</v>
      </c>
      <c r="I147" s="82">
        <v>120631.67</v>
      </c>
      <c r="J147" s="82">
        <v>0</v>
      </c>
      <c r="K147" s="82">
        <v>0</v>
      </c>
      <c r="L147" s="253"/>
      <c r="M147" s="254"/>
    </row>
    <row r="148" spans="1:18" s="53" customFormat="1" ht="59.25" customHeight="1" x14ac:dyDescent="0.25">
      <c r="A148" s="250"/>
      <c r="B148" s="251"/>
      <c r="C148" s="252"/>
      <c r="D148" s="229" t="s">
        <v>55</v>
      </c>
      <c r="E148" s="82">
        <v>0</v>
      </c>
      <c r="F148" s="68">
        <f t="shared" si="48"/>
        <v>62613.33</v>
      </c>
      <c r="G148" s="82">
        <v>16542.53</v>
      </c>
      <c r="H148" s="82">
        <v>25167.279999999999</v>
      </c>
      <c r="I148" s="82">
        <v>20903.52</v>
      </c>
      <c r="J148" s="82">
        <v>0</v>
      </c>
      <c r="K148" s="82">
        <v>0</v>
      </c>
      <c r="L148" s="253"/>
      <c r="M148" s="254"/>
    </row>
    <row r="149" spans="1:18" s="53" customFormat="1" ht="41.25" customHeight="1" x14ac:dyDescent="0.25">
      <c r="A149" s="250"/>
      <c r="B149" s="251"/>
      <c r="C149" s="252"/>
      <c r="D149" s="229" t="s">
        <v>139</v>
      </c>
      <c r="E149" s="82"/>
      <c r="F149" s="68">
        <f t="shared" si="48"/>
        <v>0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253"/>
      <c r="M149" s="254"/>
    </row>
    <row r="150" spans="1:18" s="53" customFormat="1" ht="36.75" customHeight="1" x14ac:dyDescent="0.25">
      <c r="A150" s="250" t="s">
        <v>76</v>
      </c>
      <c r="B150" s="251" t="s">
        <v>125</v>
      </c>
      <c r="C150" s="252" t="s">
        <v>138</v>
      </c>
      <c r="D150" s="229" t="s">
        <v>46</v>
      </c>
      <c r="E150" s="82"/>
      <c r="F150" s="68">
        <f t="shared" si="48"/>
        <v>3328.3</v>
      </c>
      <c r="G150" s="82">
        <v>3328.3</v>
      </c>
      <c r="H150" s="82">
        <v>0</v>
      </c>
      <c r="I150" s="82">
        <v>0</v>
      </c>
      <c r="J150" s="82">
        <v>0</v>
      </c>
      <c r="K150" s="82">
        <v>0</v>
      </c>
      <c r="L150" s="253" t="s">
        <v>4</v>
      </c>
      <c r="M150" s="254" t="s">
        <v>183</v>
      </c>
    </row>
    <row r="151" spans="1:18" s="53" customFormat="1" ht="37.5" x14ac:dyDescent="0.25">
      <c r="A151" s="250"/>
      <c r="B151" s="251"/>
      <c r="C151" s="252"/>
      <c r="D151" s="229" t="s">
        <v>1</v>
      </c>
      <c r="E151" s="82">
        <v>0</v>
      </c>
      <c r="F151" s="68">
        <f t="shared" si="48"/>
        <v>33573.845520000003</v>
      </c>
      <c r="G151" s="82">
        <v>10556.04</v>
      </c>
      <c r="H151" s="82">
        <v>12626.03983</v>
      </c>
      <c r="I151" s="82">
        <v>10391.76569</v>
      </c>
      <c r="J151" s="82">
        <v>0</v>
      </c>
      <c r="K151" s="82">
        <v>0</v>
      </c>
      <c r="L151" s="253"/>
      <c r="M151" s="254"/>
    </row>
    <row r="152" spans="1:18" s="53" customFormat="1" ht="56.25" x14ac:dyDescent="0.25">
      <c r="A152" s="250"/>
      <c r="B152" s="251"/>
      <c r="C152" s="252"/>
      <c r="D152" s="229" t="s">
        <v>55</v>
      </c>
      <c r="E152" s="82">
        <v>0</v>
      </c>
      <c r="F152" s="68">
        <f t="shared" si="48"/>
        <v>5839.1255000000001</v>
      </c>
      <c r="G152" s="82">
        <v>1542.71</v>
      </c>
      <c r="H152" s="82">
        <v>2347.02</v>
      </c>
      <c r="I152" s="82">
        <v>1949.3955000000001</v>
      </c>
      <c r="J152" s="82">
        <v>0</v>
      </c>
      <c r="K152" s="82">
        <v>0</v>
      </c>
      <c r="L152" s="253"/>
      <c r="M152" s="254"/>
    </row>
    <row r="153" spans="1:18" s="53" customFormat="1" ht="37.5" x14ac:dyDescent="0.25">
      <c r="A153" s="250"/>
      <c r="B153" s="251"/>
      <c r="C153" s="252"/>
      <c r="D153" s="229" t="s">
        <v>139</v>
      </c>
      <c r="E153" s="82"/>
      <c r="F153" s="68">
        <f t="shared" si="48"/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253"/>
      <c r="M153" s="254"/>
    </row>
    <row r="154" spans="1:18" s="53" customFormat="1" ht="37.5" customHeight="1" x14ac:dyDescent="0.25">
      <c r="A154" s="250" t="s">
        <v>109</v>
      </c>
      <c r="B154" s="251" t="s">
        <v>184</v>
      </c>
      <c r="C154" s="252" t="s">
        <v>138</v>
      </c>
      <c r="D154" s="229" t="s">
        <v>46</v>
      </c>
      <c r="E154" s="82"/>
      <c r="F154" s="68">
        <f t="shared" si="48"/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253" t="s">
        <v>4</v>
      </c>
      <c r="M154" s="254" t="s">
        <v>185</v>
      </c>
    </row>
    <row r="155" spans="1:18" s="53" customFormat="1" ht="37.5" customHeight="1" x14ac:dyDescent="0.25">
      <c r="A155" s="250"/>
      <c r="B155" s="251"/>
      <c r="C155" s="252"/>
      <c r="D155" s="229" t="s">
        <v>1</v>
      </c>
      <c r="E155" s="82">
        <v>0</v>
      </c>
      <c r="F155" s="68">
        <f t="shared" si="48"/>
        <v>49048.61</v>
      </c>
      <c r="G155" s="82">
        <v>12958.71</v>
      </c>
      <c r="H155" s="82">
        <v>19714.97</v>
      </c>
      <c r="I155" s="82">
        <v>16374.93</v>
      </c>
      <c r="J155" s="82">
        <v>0</v>
      </c>
      <c r="K155" s="82">
        <v>0</v>
      </c>
      <c r="L155" s="253"/>
      <c r="M155" s="254"/>
    </row>
    <row r="156" spans="1:18" s="53" customFormat="1" ht="56.25" x14ac:dyDescent="0.25">
      <c r="A156" s="250"/>
      <c r="B156" s="251"/>
      <c r="C156" s="252"/>
      <c r="D156" s="229" t="s">
        <v>55</v>
      </c>
      <c r="E156" s="82">
        <v>0</v>
      </c>
      <c r="F156" s="68">
        <f t="shared" si="48"/>
        <v>5449.8600000000006</v>
      </c>
      <c r="G156" s="82">
        <v>1439.86</v>
      </c>
      <c r="H156" s="82">
        <v>2190.56</v>
      </c>
      <c r="I156" s="82">
        <v>1819.44</v>
      </c>
      <c r="J156" s="82">
        <v>0</v>
      </c>
      <c r="K156" s="82">
        <v>0</v>
      </c>
      <c r="L156" s="253"/>
      <c r="M156" s="254"/>
    </row>
    <row r="157" spans="1:18" s="53" customFormat="1" ht="37.5" x14ac:dyDescent="0.25">
      <c r="A157" s="250"/>
      <c r="B157" s="251"/>
      <c r="C157" s="252"/>
      <c r="D157" s="229" t="s">
        <v>139</v>
      </c>
      <c r="E157" s="82"/>
      <c r="F157" s="68">
        <f t="shared" si="48"/>
        <v>0</v>
      </c>
      <c r="G157" s="82">
        <v>0</v>
      </c>
      <c r="H157" s="82">
        <v>0</v>
      </c>
      <c r="I157" s="82">
        <v>0</v>
      </c>
      <c r="J157" s="82">
        <v>0</v>
      </c>
      <c r="K157" s="82">
        <v>0</v>
      </c>
      <c r="L157" s="253"/>
      <c r="M157" s="254"/>
    </row>
    <row r="158" spans="1:18" s="53" customFormat="1" ht="37.5" customHeight="1" x14ac:dyDescent="0.25">
      <c r="A158" s="250" t="s">
        <v>186</v>
      </c>
      <c r="B158" s="251" t="s">
        <v>187</v>
      </c>
      <c r="C158" s="252" t="s">
        <v>138</v>
      </c>
      <c r="D158" s="229" t="s">
        <v>46</v>
      </c>
      <c r="E158" s="82"/>
      <c r="F158" s="68">
        <f t="shared" ref="F158:F161" si="49">SUM(G158:K158)</f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253" t="s">
        <v>4</v>
      </c>
      <c r="M158" s="254" t="s">
        <v>188</v>
      </c>
    </row>
    <row r="159" spans="1:18" s="53" customFormat="1" ht="37.5" customHeight="1" x14ac:dyDescent="0.25">
      <c r="A159" s="250"/>
      <c r="B159" s="251"/>
      <c r="C159" s="252"/>
      <c r="D159" s="229" t="s">
        <v>1</v>
      </c>
      <c r="E159" s="82">
        <v>0</v>
      </c>
      <c r="F159" s="68">
        <f t="shared" si="49"/>
        <v>35034.729999999996</v>
      </c>
      <c r="G159" s="82">
        <v>9256.23</v>
      </c>
      <c r="H159" s="82">
        <v>14082.12</v>
      </c>
      <c r="I159" s="82">
        <v>11696.38</v>
      </c>
      <c r="J159" s="82">
        <v>0</v>
      </c>
      <c r="K159" s="82">
        <v>0</v>
      </c>
      <c r="L159" s="253"/>
      <c r="M159" s="254"/>
    </row>
    <row r="160" spans="1:18" s="53" customFormat="1" ht="56.25" x14ac:dyDescent="0.25">
      <c r="A160" s="250"/>
      <c r="B160" s="251"/>
      <c r="C160" s="252"/>
      <c r="D160" s="229" t="s">
        <v>55</v>
      </c>
      <c r="E160" s="82">
        <v>0</v>
      </c>
      <c r="F160" s="68">
        <f t="shared" si="49"/>
        <v>3892.75</v>
      </c>
      <c r="G160" s="82">
        <v>1028.47</v>
      </c>
      <c r="H160" s="82">
        <v>1564.68</v>
      </c>
      <c r="I160" s="82">
        <v>1299.5999999999999</v>
      </c>
      <c r="J160" s="82">
        <v>0</v>
      </c>
      <c r="K160" s="82">
        <v>0</v>
      </c>
      <c r="L160" s="253"/>
      <c r="M160" s="254"/>
    </row>
    <row r="161" spans="1:18" s="53" customFormat="1" ht="37.5" x14ac:dyDescent="0.25">
      <c r="A161" s="250"/>
      <c r="B161" s="251"/>
      <c r="C161" s="252"/>
      <c r="D161" s="229" t="s">
        <v>139</v>
      </c>
      <c r="E161" s="82"/>
      <c r="F161" s="68">
        <f t="shared" si="49"/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253"/>
      <c r="M161" s="254"/>
    </row>
    <row r="162" spans="1:18" s="53" customFormat="1" ht="37.5" customHeight="1" x14ac:dyDescent="0.25">
      <c r="A162" s="250" t="s">
        <v>189</v>
      </c>
      <c r="B162" s="251" t="s">
        <v>190</v>
      </c>
      <c r="C162" s="252" t="s">
        <v>138</v>
      </c>
      <c r="D162" s="229" t="s">
        <v>46</v>
      </c>
      <c r="E162" s="82"/>
      <c r="F162" s="68">
        <f t="shared" ref="F162:F165" si="50">SUM(G162:K162)</f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253" t="s">
        <v>4</v>
      </c>
      <c r="M162" s="254" t="s">
        <v>191</v>
      </c>
    </row>
    <row r="163" spans="1:18" s="53" customFormat="1" ht="37.5" customHeight="1" x14ac:dyDescent="0.25">
      <c r="A163" s="250"/>
      <c r="B163" s="251"/>
      <c r="C163" s="252"/>
      <c r="D163" s="229" t="s">
        <v>1</v>
      </c>
      <c r="E163" s="82">
        <v>0</v>
      </c>
      <c r="F163" s="68">
        <f t="shared" si="50"/>
        <v>0</v>
      </c>
      <c r="G163" s="82">
        <v>0</v>
      </c>
      <c r="H163" s="82">
        <v>0</v>
      </c>
      <c r="I163" s="82">
        <v>0</v>
      </c>
      <c r="J163" s="82">
        <v>0</v>
      </c>
      <c r="K163" s="82">
        <v>0</v>
      </c>
      <c r="L163" s="253"/>
      <c r="M163" s="254"/>
    </row>
    <row r="164" spans="1:18" s="53" customFormat="1" ht="56.25" x14ac:dyDescent="0.25">
      <c r="A164" s="250"/>
      <c r="B164" s="251"/>
      <c r="C164" s="252"/>
      <c r="D164" s="229" t="s">
        <v>55</v>
      </c>
      <c r="E164" s="82">
        <v>0</v>
      </c>
      <c r="F164" s="68">
        <f t="shared" si="50"/>
        <v>35000</v>
      </c>
      <c r="G164" s="82">
        <v>35000</v>
      </c>
      <c r="H164" s="82">
        <v>0</v>
      </c>
      <c r="I164" s="82">
        <v>0</v>
      </c>
      <c r="J164" s="82">
        <v>0</v>
      </c>
      <c r="K164" s="82">
        <v>0</v>
      </c>
      <c r="L164" s="253"/>
      <c r="M164" s="254"/>
    </row>
    <row r="165" spans="1:18" s="53" customFormat="1" ht="37.5" x14ac:dyDescent="0.25">
      <c r="A165" s="250"/>
      <c r="B165" s="251"/>
      <c r="C165" s="252"/>
      <c r="D165" s="229" t="s">
        <v>139</v>
      </c>
      <c r="E165" s="82"/>
      <c r="F165" s="68">
        <f t="shared" si="50"/>
        <v>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253"/>
      <c r="M165" s="254"/>
    </row>
    <row r="166" spans="1:18" s="53" customFormat="1" ht="52.5" customHeight="1" x14ac:dyDescent="0.25">
      <c r="A166" s="250" t="s">
        <v>192</v>
      </c>
      <c r="B166" s="251" t="s">
        <v>193</v>
      </c>
      <c r="C166" s="252" t="s">
        <v>138</v>
      </c>
      <c r="D166" s="229" t="s">
        <v>46</v>
      </c>
      <c r="E166" s="82"/>
      <c r="F166" s="68">
        <f t="shared" ref="F166:F169" si="51">SUM(G166:K166)</f>
        <v>0</v>
      </c>
      <c r="G166" s="82">
        <v>0</v>
      </c>
      <c r="H166" s="82">
        <v>0</v>
      </c>
      <c r="I166" s="82">
        <v>0</v>
      </c>
      <c r="J166" s="82">
        <v>0</v>
      </c>
      <c r="K166" s="82">
        <v>0</v>
      </c>
      <c r="L166" s="253" t="s">
        <v>4</v>
      </c>
      <c r="M166" s="254" t="s">
        <v>194</v>
      </c>
    </row>
    <row r="167" spans="1:18" s="53" customFormat="1" ht="52.5" customHeight="1" x14ac:dyDescent="0.25">
      <c r="A167" s="250"/>
      <c r="B167" s="251"/>
      <c r="C167" s="252"/>
      <c r="D167" s="229" t="s">
        <v>1</v>
      </c>
      <c r="E167" s="82">
        <v>0</v>
      </c>
      <c r="F167" s="68">
        <f t="shared" si="51"/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253"/>
      <c r="M167" s="254"/>
    </row>
    <row r="168" spans="1:18" s="53" customFormat="1" ht="59.25" customHeight="1" x14ac:dyDescent="0.25">
      <c r="A168" s="250"/>
      <c r="B168" s="251"/>
      <c r="C168" s="252"/>
      <c r="D168" s="229" t="s">
        <v>55</v>
      </c>
      <c r="E168" s="82">
        <v>0</v>
      </c>
      <c r="F168" s="68">
        <f t="shared" si="51"/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253"/>
      <c r="M168" s="254"/>
    </row>
    <row r="169" spans="1:18" s="53" customFormat="1" ht="52.5" customHeight="1" x14ac:dyDescent="0.25">
      <c r="A169" s="250"/>
      <c r="B169" s="251"/>
      <c r="C169" s="252"/>
      <c r="D169" s="229" t="s">
        <v>139</v>
      </c>
      <c r="E169" s="82"/>
      <c r="F169" s="68">
        <f t="shared" si="51"/>
        <v>0</v>
      </c>
      <c r="G169" s="82">
        <v>0</v>
      </c>
      <c r="H169" s="82">
        <v>0</v>
      </c>
      <c r="I169" s="82">
        <v>0</v>
      </c>
      <c r="J169" s="82">
        <v>0</v>
      </c>
      <c r="K169" s="82">
        <v>0</v>
      </c>
      <c r="L169" s="253"/>
      <c r="M169" s="254"/>
    </row>
    <row r="170" spans="1:18" s="53" customFormat="1" ht="39" customHeight="1" x14ac:dyDescent="0.25">
      <c r="A170" s="250" t="s">
        <v>195</v>
      </c>
      <c r="B170" s="251" t="s">
        <v>196</v>
      </c>
      <c r="C170" s="252" t="s">
        <v>138</v>
      </c>
      <c r="D170" s="229" t="s">
        <v>46</v>
      </c>
      <c r="E170" s="82"/>
      <c r="F170" s="68">
        <f t="shared" ref="F170:F173" si="52">SUM(G170:K170)</f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253" t="s">
        <v>4</v>
      </c>
      <c r="M170" s="254" t="s">
        <v>197</v>
      </c>
    </row>
    <row r="171" spans="1:18" s="53" customFormat="1" ht="37.5" x14ac:dyDescent="0.25">
      <c r="A171" s="250"/>
      <c r="B171" s="251"/>
      <c r="C171" s="252"/>
      <c r="D171" s="229" t="s">
        <v>1</v>
      </c>
      <c r="E171" s="82">
        <v>0</v>
      </c>
      <c r="F171" s="68">
        <f t="shared" si="52"/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253"/>
      <c r="M171" s="254"/>
    </row>
    <row r="172" spans="1:18" s="53" customFormat="1" ht="56.25" x14ac:dyDescent="0.25">
      <c r="A172" s="250"/>
      <c r="B172" s="251"/>
      <c r="C172" s="252"/>
      <c r="D172" s="229" t="s">
        <v>55</v>
      </c>
      <c r="E172" s="82">
        <v>0</v>
      </c>
      <c r="F172" s="68">
        <f t="shared" si="52"/>
        <v>0</v>
      </c>
      <c r="G172" s="82">
        <v>0</v>
      </c>
      <c r="H172" s="82">
        <v>0</v>
      </c>
      <c r="I172" s="82">
        <v>0</v>
      </c>
      <c r="J172" s="82">
        <v>0</v>
      </c>
      <c r="K172" s="82">
        <v>0</v>
      </c>
      <c r="L172" s="253"/>
      <c r="M172" s="254"/>
    </row>
    <row r="173" spans="1:18" s="53" customFormat="1" ht="37.5" x14ac:dyDescent="0.25">
      <c r="A173" s="250"/>
      <c r="B173" s="251"/>
      <c r="C173" s="252"/>
      <c r="D173" s="229" t="s">
        <v>139</v>
      </c>
      <c r="E173" s="82"/>
      <c r="F173" s="68">
        <f t="shared" si="52"/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253"/>
      <c r="M173" s="254"/>
    </row>
    <row r="174" spans="1:18" s="15" customFormat="1" ht="18.75" customHeight="1" x14ac:dyDescent="0.25">
      <c r="A174" s="240" t="s">
        <v>12</v>
      </c>
      <c r="B174" s="241" t="s">
        <v>242</v>
      </c>
      <c r="C174" s="242" t="s">
        <v>138</v>
      </c>
      <c r="D174" s="160" t="s">
        <v>3</v>
      </c>
      <c r="E174" s="161">
        <f>E177</f>
        <v>0</v>
      </c>
      <c r="F174" s="68">
        <f t="shared" ref="F174:F187" si="53">SUM(G174:K174)</f>
        <v>6106.9800000000005</v>
      </c>
      <c r="G174" s="161">
        <f>G175+G176+G177+G178</f>
        <v>3053.4900000000002</v>
      </c>
      <c r="H174" s="161">
        <f t="shared" ref="H174:K174" si="54">H175+H176+H177+H178</f>
        <v>3053.4900000000002</v>
      </c>
      <c r="I174" s="161">
        <f t="shared" si="54"/>
        <v>0</v>
      </c>
      <c r="J174" s="161">
        <f t="shared" si="54"/>
        <v>0</v>
      </c>
      <c r="K174" s="161">
        <f t="shared" si="54"/>
        <v>0</v>
      </c>
      <c r="L174" s="239"/>
      <c r="M174" s="239"/>
      <c r="Q174" s="64"/>
      <c r="R174" s="64"/>
    </row>
    <row r="175" spans="1:18" s="15" customFormat="1" ht="36" customHeight="1" x14ac:dyDescent="0.25">
      <c r="A175" s="240"/>
      <c r="B175" s="241"/>
      <c r="C175" s="242"/>
      <c r="D175" s="160" t="s">
        <v>46</v>
      </c>
      <c r="E175" s="161"/>
      <c r="F175" s="68">
        <f t="shared" si="53"/>
        <v>0</v>
      </c>
      <c r="G175" s="163">
        <f>G179</f>
        <v>0</v>
      </c>
      <c r="H175" s="163">
        <f t="shared" ref="H175:K175" si="55">H179</f>
        <v>0</v>
      </c>
      <c r="I175" s="163">
        <f t="shared" si="55"/>
        <v>0</v>
      </c>
      <c r="J175" s="163">
        <f t="shared" si="55"/>
        <v>0</v>
      </c>
      <c r="K175" s="163">
        <f t="shared" si="55"/>
        <v>0</v>
      </c>
      <c r="L175" s="239"/>
      <c r="M175" s="239"/>
      <c r="Q175" s="64"/>
      <c r="R175" s="64"/>
    </row>
    <row r="176" spans="1:18" s="15" customFormat="1" ht="37.5" x14ac:dyDescent="0.25">
      <c r="A176" s="240"/>
      <c r="B176" s="241"/>
      <c r="C176" s="242"/>
      <c r="D176" s="160" t="s">
        <v>1</v>
      </c>
      <c r="E176" s="161"/>
      <c r="F176" s="68">
        <f t="shared" si="53"/>
        <v>5551.8</v>
      </c>
      <c r="G176" s="163">
        <f>G180</f>
        <v>2775.9</v>
      </c>
      <c r="H176" s="163">
        <f t="shared" ref="H176:K176" si="56">H180</f>
        <v>2775.9</v>
      </c>
      <c r="I176" s="163">
        <f t="shared" si="56"/>
        <v>0</v>
      </c>
      <c r="J176" s="163">
        <f t="shared" si="56"/>
        <v>0</v>
      </c>
      <c r="K176" s="163">
        <f t="shared" si="56"/>
        <v>0</v>
      </c>
      <c r="L176" s="239"/>
      <c r="M176" s="239"/>
      <c r="Q176" s="64"/>
      <c r="R176" s="64"/>
    </row>
    <row r="177" spans="1:18" s="15" customFormat="1" ht="56.25" x14ac:dyDescent="0.25">
      <c r="A177" s="240"/>
      <c r="B177" s="241"/>
      <c r="C177" s="242"/>
      <c r="D177" s="160" t="s">
        <v>54</v>
      </c>
      <c r="E177" s="162">
        <f>E180</f>
        <v>0</v>
      </c>
      <c r="F177" s="68">
        <f t="shared" si="53"/>
        <v>555.17999999999995</v>
      </c>
      <c r="G177" s="162">
        <f>G181</f>
        <v>277.58999999999997</v>
      </c>
      <c r="H177" s="162">
        <f t="shared" ref="H177:K177" si="57">H181</f>
        <v>277.58999999999997</v>
      </c>
      <c r="I177" s="162">
        <f t="shared" si="57"/>
        <v>0</v>
      </c>
      <c r="J177" s="162">
        <f t="shared" si="57"/>
        <v>0</v>
      </c>
      <c r="K177" s="162">
        <f t="shared" si="57"/>
        <v>0</v>
      </c>
      <c r="L177" s="239"/>
      <c r="M177" s="239"/>
      <c r="Q177" s="64"/>
      <c r="R177" s="64"/>
    </row>
    <row r="178" spans="1:18" s="15" customFormat="1" ht="37.5" x14ac:dyDescent="0.25">
      <c r="A178" s="240"/>
      <c r="B178" s="241"/>
      <c r="C178" s="242"/>
      <c r="D178" s="160" t="s">
        <v>139</v>
      </c>
      <c r="E178" s="162"/>
      <c r="F178" s="68">
        <f t="shared" si="53"/>
        <v>0</v>
      </c>
      <c r="G178" s="162">
        <f>G182</f>
        <v>0</v>
      </c>
      <c r="H178" s="162">
        <f t="shared" ref="H178:K178" si="58">H182</f>
        <v>0</v>
      </c>
      <c r="I178" s="162">
        <f t="shared" si="58"/>
        <v>0</v>
      </c>
      <c r="J178" s="162">
        <f t="shared" si="58"/>
        <v>0</v>
      </c>
      <c r="K178" s="162">
        <f t="shared" si="58"/>
        <v>0</v>
      </c>
      <c r="L178" s="239"/>
      <c r="M178" s="239"/>
      <c r="Q178" s="64"/>
      <c r="R178" s="64"/>
    </row>
    <row r="179" spans="1:18" s="15" customFormat="1" ht="78.75" customHeight="1" x14ac:dyDescent="0.25">
      <c r="A179" s="257" t="s">
        <v>77</v>
      </c>
      <c r="B179" s="258" t="s">
        <v>198</v>
      </c>
      <c r="C179" s="259" t="s">
        <v>138</v>
      </c>
      <c r="D179" s="237" t="s">
        <v>46</v>
      </c>
      <c r="E179" s="109"/>
      <c r="F179" s="68">
        <f t="shared" si="53"/>
        <v>0</v>
      </c>
      <c r="G179" s="110">
        <v>0</v>
      </c>
      <c r="H179" s="110">
        <v>0</v>
      </c>
      <c r="I179" s="110">
        <v>0</v>
      </c>
      <c r="J179" s="110">
        <v>0</v>
      </c>
      <c r="K179" s="110">
        <v>0</v>
      </c>
      <c r="L179" s="260" t="s">
        <v>4</v>
      </c>
      <c r="M179" s="244" t="s">
        <v>257</v>
      </c>
      <c r="Q179" s="64"/>
      <c r="R179" s="64"/>
    </row>
    <row r="180" spans="1:18" s="53" customFormat="1" ht="86.25" customHeight="1" x14ac:dyDescent="0.25">
      <c r="A180" s="257"/>
      <c r="B180" s="258"/>
      <c r="C180" s="259"/>
      <c r="D180" s="230" t="s">
        <v>1</v>
      </c>
      <c r="E180" s="77">
        <v>0</v>
      </c>
      <c r="F180" s="68">
        <f t="shared" si="53"/>
        <v>5551.8</v>
      </c>
      <c r="G180" s="77">
        <v>2775.9</v>
      </c>
      <c r="H180" s="77">
        <v>2775.9</v>
      </c>
      <c r="I180" s="77">
        <v>0</v>
      </c>
      <c r="J180" s="77">
        <v>0</v>
      </c>
      <c r="K180" s="77">
        <v>0</v>
      </c>
      <c r="L180" s="260"/>
      <c r="M180" s="244"/>
    </row>
    <row r="181" spans="1:18" s="53" customFormat="1" ht="86.25" customHeight="1" x14ac:dyDescent="0.25">
      <c r="A181" s="257"/>
      <c r="B181" s="258"/>
      <c r="C181" s="259"/>
      <c r="D181" s="230" t="s">
        <v>54</v>
      </c>
      <c r="E181" s="77">
        <v>0</v>
      </c>
      <c r="F181" s="68">
        <f t="shared" si="53"/>
        <v>555.17999999999995</v>
      </c>
      <c r="G181" s="77">
        <v>277.58999999999997</v>
      </c>
      <c r="H181" s="77">
        <v>277.58999999999997</v>
      </c>
      <c r="I181" s="77">
        <v>0</v>
      </c>
      <c r="J181" s="77">
        <v>0</v>
      </c>
      <c r="K181" s="77">
        <v>0</v>
      </c>
      <c r="L181" s="260"/>
      <c r="M181" s="244"/>
      <c r="N181" s="54"/>
    </row>
    <row r="182" spans="1:18" s="53" customFormat="1" ht="78.75" customHeight="1" x14ac:dyDescent="0.25">
      <c r="A182" s="257"/>
      <c r="B182" s="258"/>
      <c r="C182" s="259"/>
      <c r="D182" s="230" t="s">
        <v>139</v>
      </c>
      <c r="E182" s="77"/>
      <c r="F182" s="68">
        <f t="shared" si="53"/>
        <v>0</v>
      </c>
      <c r="G182" s="77">
        <v>0</v>
      </c>
      <c r="H182" s="77">
        <v>0</v>
      </c>
      <c r="I182" s="77">
        <v>0</v>
      </c>
      <c r="J182" s="77">
        <v>0</v>
      </c>
      <c r="K182" s="77">
        <v>0</v>
      </c>
      <c r="L182" s="260"/>
      <c r="M182" s="244"/>
      <c r="N182" s="54"/>
    </row>
    <row r="183" spans="1:18" s="15" customFormat="1" ht="18.75" customHeight="1" x14ac:dyDescent="0.25">
      <c r="A183" s="245" t="s">
        <v>42</v>
      </c>
      <c r="B183" s="246" t="s">
        <v>122</v>
      </c>
      <c r="C183" s="246" t="s">
        <v>138</v>
      </c>
      <c r="D183" s="226" t="s">
        <v>3</v>
      </c>
      <c r="E183" s="149" t="e">
        <f>E184+E185+E186</f>
        <v>#REF!</v>
      </c>
      <c r="F183" s="68">
        <f t="shared" si="53"/>
        <v>47854.559999999998</v>
      </c>
      <c r="G183" s="149">
        <f>G184+G185+G186+G187</f>
        <v>19250.03</v>
      </c>
      <c r="H183" s="149">
        <f t="shared" ref="H183:K183" si="59">H184+H185+H186+H187</f>
        <v>28604.53</v>
      </c>
      <c r="I183" s="149">
        <f t="shared" si="59"/>
        <v>0</v>
      </c>
      <c r="J183" s="149">
        <f t="shared" si="59"/>
        <v>0</v>
      </c>
      <c r="K183" s="149">
        <f t="shared" si="59"/>
        <v>0</v>
      </c>
      <c r="L183" s="255"/>
      <c r="M183" s="256"/>
      <c r="Q183" s="64"/>
      <c r="R183" s="64"/>
    </row>
    <row r="184" spans="1:18" s="15" customFormat="1" ht="37.5" customHeight="1" x14ac:dyDescent="0.25">
      <c r="A184" s="245"/>
      <c r="B184" s="246"/>
      <c r="C184" s="246"/>
      <c r="D184" s="226" t="s">
        <v>46</v>
      </c>
      <c r="E184" s="150" t="e">
        <f>#REF!+E196</f>
        <v>#REF!</v>
      </c>
      <c r="F184" s="68">
        <f t="shared" si="53"/>
        <v>24771.61</v>
      </c>
      <c r="G184" s="150">
        <f>G188+G192+G196+G200</f>
        <v>8231.7199999999993</v>
      </c>
      <c r="H184" s="150">
        <f t="shared" ref="H184:K184" si="60">H188+H192+H196+H200</f>
        <v>16539.89</v>
      </c>
      <c r="I184" s="150">
        <f t="shared" si="60"/>
        <v>0</v>
      </c>
      <c r="J184" s="150">
        <f t="shared" si="60"/>
        <v>0</v>
      </c>
      <c r="K184" s="150">
        <f t="shared" si="60"/>
        <v>0</v>
      </c>
      <c r="L184" s="255"/>
      <c r="M184" s="256"/>
      <c r="Q184" s="64"/>
      <c r="R184" s="64"/>
    </row>
    <row r="185" spans="1:18" s="15" customFormat="1" ht="39.75" customHeight="1" x14ac:dyDescent="0.25">
      <c r="A185" s="245"/>
      <c r="B185" s="246"/>
      <c r="C185" s="246"/>
      <c r="D185" s="226" t="s">
        <v>1</v>
      </c>
      <c r="E185" s="150" t="e">
        <f>#REF!+E197+E193+E201+#REF!</f>
        <v>#REF!</v>
      </c>
      <c r="F185" s="68">
        <f t="shared" si="53"/>
        <v>8257.2099999999991</v>
      </c>
      <c r="G185" s="150">
        <f>G189+G193+G197+G201</f>
        <v>2743.91</v>
      </c>
      <c r="H185" s="150">
        <f t="shared" ref="H185:K185" si="61">H189+H193+H197+H201</f>
        <v>5513.2999999999993</v>
      </c>
      <c r="I185" s="150">
        <f t="shared" si="61"/>
        <v>0</v>
      </c>
      <c r="J185" s="150">
        <f t="shared" si="61"/>
        <v>0</v>
      </c>
      <c r="K185" s="150">
        <f t="shared" si="61"/>
        <v>0</v>
      </c>
      <c r="L185" s="255"/>
      <c r="M185" s="256"/>
      <c r="Q185" s="64"/>
      <c r="R185" s="64"/>
    </row>
    <row r="186" spans="1:18" s="15" customFormat="1" ht="58.5" customHeight="1" x14ac:dyDescent="0.25">
      <c r="A186" s="245"/>
      <c r="B186" s="246"/>
      <c r="C186" s="246"/>
      <c r="D186" s="226" t="s">
        <v>55</v>
      </c>
      <c r="E186" s="150" t="e">
        <f>#REF!+E198+E194+E202+#REF!+#REF!</f>
        <v>#REF!</v>
      </c>
      <c r="F186" s="68">
        <f t="shared" si="53"/>
        <v>14825.74</v>
      </c>
      <c r="G186" s="150">
        <f>G190+G194+G198+G202</f>
        <v>8274.4</v>
      </c>
      <c r="H186" s="150">
        <f t="shared" ref="H186:K186" si="62">H190+H194+H198+H202</f>
        <v>6551.34</v>
      </c>
      <c r="I186" s="150">
        <f t="shared" si="62"/>
        <v>0</v>
      </c>
      <c r="J186" s="150">
        <f t="shared" si="62"/>
        <v>0</v>
      </c>
      <c r="K186" s="150">
        <f t="shared" si="62"/>
        <v>0</v>
      </c>
      <c r="L186" s="255"/>
      <c r="M186" s="256"/>
      <c r="Q186" s="64"/>
      <c r="R186" s="64"/>
    </row>
    <row r="187" spans="1:18" s="15" customFormat="1" ht="37.5" x14ac:dyDescent="0.25">
      <c r="A187" s="245"/>
      <c r="B187" s="246"/>
      <c r="C187" s="246"/>
      <c r="D187" s="226" t="s">
        <v>139</v>
      </c>
      <c r="E187" s="150"/>
      <c r="F187" s="68">
        <f t="shared" si="53"/>
        <v>0</v>
      </c>
      <c r="G187" s="150">
        <f>G191+G195+G199+G203</f>
        <v>0</v>
      </c>
      <c r="H187" s="150">
        <f t="shared" ref="H187:K187" si="63">H191+H195+H199+H203</f>
        <v>0</v>
      </c>
      <c r="I187" s="150">
        <f t="shared" si="63"/>
        <v>0</v>
      </c>
      <c r="J187" s="150">
        <f t="shared" si="63"/>
        <v>0</v>
      </c>
      <c r="K187" s="150">
        <f t="shared" si="63"/>
        <v>0</v>
      </c>
      <c r="L187" s="255"/>
      <c r="M187" s="256"/>
      <c r="Q187" s="64"/>
      <c r="R187" s="64"/>
    </row>
    <row r="188" spans="1:18" s="53" customFormat="1" ht="36.75" customHeight="1" x14ac:dyDescent="0.25">
      <c r="A188" s="250" t="s">
        <v>65</v>
      </c>
      <c r="B188" s="251" t="s">
        <v>199</v>
      </c>
      <c r="C188" s="252" t="s">
        <v>138</v>
      </c>
      <c r="D188" s="229" t="s">
        <v>46</v>
      </c>
      <c r="E188" s="74">
        <v>2407.6675399999999</v>
      </c>
      <c r="F188" s="68">
        <f t="shared" ref="F188:F195" si="64">SUM(G188:K188)</f>
        <v>11546.55</v>
      </c>
      <c r="G188" s="74">
        <v>8231.7199999999993</v>
      </c>
      <c r="H188" s="74">
        <v>3314.83</v>
      </c>
      <c r="I188" s="74">
        <v>0</v>
      </c>
      <c r="J188" s="74">
        <v>0</v>
      </c>
      <c r="K188" s="74">
        <v>0</v>
      </c>
      <c r="L188" s="261" t="s">
        <v>4</v>
      </c>
      <c r="M188" s="266" t="s">
        <v>118</v>
      </c>
    </row>
    <row r="189" spans="1:18" s="53" customFormat="1" ht="37.5" x14ac:dyDescent="0.25">
      <c r="A189" s="250"/>
      <c r="B189" s="251"/>
      <c r="C189" s="252"/>
      <c r="D189" s="229" t="s">
        <v>1</v>
      </c>
      <c r="E189" s="74">
        <v>802.55584999999996</v>
      </c>
      <c r="F189" s="68">
        <f t="shared" si="64"/>
        <v>3848.85</v>
      </c>
      <c r="G189" s="74">
        <v>2743.91</v>
      </c>
      <c r="H189" s="74">
        <v>1104.94</v>
      </c>
      <c r="I189" s="74">
        <v>0</v>
      </c>
      <c r="J189" s="74">
        <v>0</v>
      </c>
      <c r="K189" s="74">
        <v>0</v>
      </c>
      <c r="L189" s="261"/>
      <c r="M189" s="266"/>
    </row>
    <row r="190" spans="1:18" s="53" customFormat="1" ht="58.5" customHeight="1" x14ac:dyDescent="0.25">
      <c r="A190" s="250"/>
      <c r="B190" s="251"/>
      <c r="C190" s="252"/>
      <c r="D190" s="229" t="s">
        <v>56</v>
      </c>
      <c r="E190" s="74">
        <v>80.255589999999998</v>
      </c>
      <c r="F190" s="68">
        <f t="shared" si="64"/>
        <v>384.9</v>
      </c>
      <c r="G190" s="74">
        <v>274.39999999999998</v>
      </c>
      <c r="H190" s="74">
        <v>110.5</v>
      </c>
      <c r="I190" s="74">
        <v>0</v>
      </c>
      <c r="J190" s="74">
        <v>0</v>
      </c>
      <c r="K190" s="74">
        <v>0</v>
      </c>
      <c r="L190" s="261"/>
      <c r="M190" s="266"/>
    </row>
    <row r="191" spans="1:18" s="53" customFormat="1" ht="37.5" x14ac:dyDescent="0.25">
      <c r="A191" s="250"/>
      <c r="B191" s="251"/>
      <c r="C191" s="252"/>
      <c r="D191" s="229" t="s">
        <v>139</v>
      </c>
      <c r="E191" s="74"/>
      <c r="F191" s="68">
        <f t="shared" si="64"/>
        <v>0</v>
      </c>
      <c r="G191" s="74">
        <v>0</v>
      </c>
      <c r="H191" s="74">
        <v>0</v>
      </c>
      <c r="I191" s="74">
        <v>0</v>
      </c>
      <c r="J191" s="74">
        <v>0</v>
      </c>
      <c r="K191" s="74">
        <v>0</v>
      </c>
      <c r="L191" s="261"/>
      <c r="M191" s="266"/>
    </row>
    <row r="192" spans="1:18" s="53" customFormat="1" ht="38.25" customHeight="1" x14ac:dyDescent="0.25">
      <c r="A192" s="250" t="s">
        <v>200</v>
      </c>
      <c r="B192" s="251" t="s">
        <v>201</v>
      </c>
      <c r="C192" s="252" t="s">
        <v>138</v>
      </c>
      <c r="D192" s="229" t="s">
        <v>46</v>
      </c>
      <c r="E192" s="74"/>
      <c r="F192" s="68">
        <f t="shared" si="64"/>
        <v>0</v>
      </c>
      <c r="G192" s="74">
        <v>0</v>
      </c>
      <c r="H192" s="74">
        <v>0</v>
      </c>
      <c r="I192" s="74">
        <v>0</v>
      </c>
      <c r="J192" s="74">
        <v>0</v>
      </c>
      <c r="K192" s="74">
        <v>0</v>
      </c>
      <c r="L192" s="253" t="s">
        <v>4</v>
      </c>
      <c r="M192" s="254" t="s">
        <v>202</v>
      </c>
    </row>
    <row r="193" spans="1:13" s="53" customFormat="1" ht="37.5" customHeight="1" x14ac:dyDescent="0.25">
      <c r="A193" s="250"/>
      <c r="B193" s="251"/>
      <c r="C193" s="252"/>
      <c r="D193" s="229" t="s">
        <v>1</v>
      </c>
      <c r="E193" s="82">
        <v>497</v>
      </c>
      <c r="F193" s="68">
        <f t="shared" si="64"/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253"/>
      <c r="M193" s="254"/>
    </row>
    <row r="194" spans="1:13" s="53" customFormat="1" ht="56.25" x14ac:dyDescent="0.25">
      <c r="A194" s="250"/>
      <c r="B194" s="251"/>
      <c r="C194" s="252"/>
      <c r="D194" s="229" t="s">
        <v>56</v>
      </c>
      <c r="E194" s="82">
        <v>1488.3896299999999</v>
      </c>
      <c r="F194" s="68">
        <f t="shared" si="64"/>
        <v>14000</v>
      </c>
      <c r="G194" s="82">
        <v>8000</v>
      </c>
      <c r="H194" s="82">
        <v>6000</v>
      </c>
      <c r="I194" s="82">
        <v>0</v>
      </c>
      <c r="J194" s="82">
        <v>0</v>
      </c>
      <c r="K194" s="82">
        <v>0</v>
      </c>
      <c r="L194" s="253"/>
      <c r="M194" s="254"/>
    </row>
    <row r="195" spans="1:13" s="53" customFormat="1" ht="37.5" x14ac:dyDescent="0.25">
      <c r="A195" s="250"/>
      <c r="B195" s="251"/>
      <c r="C195" s="252"/>
      <c r="D195" s="229" t="s">
        <v>139</v>
      </c>
      <c r="E195" s="82"/>
      <c r="F195" s="68">
        <f t="shared" si="64"/>
        <v>0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253"/>
      <c r="M195" s="254"/>
    </row>
    <row r="196" spans="1:13" s="53" customFormat="1" ht="55.5" customHeight="1" x14ac:dyDescent="0.25">
      <c r="A196" s="250" t="s">
        <v>203</v>
      </c>
      <c r="B196" s="251" t="s">
        <v>252</v>
      </c>
      <c r="C196" s="252" t="s">
        <v>138</v>
      </c>
      <c r="D196" s="229" t="s">
        <v>46</v>
      </c>
      <c r="E196" s="74">
        <v>3107.4</v>
      </c>
      <c r="F196" s="68">
        <f t="shared" si="25"/>
        <v>13225.06</v>
      </c>
      <c r="G196" s="74">
        <v>0</v>
      </c>
      <c r="H196" s="74">
        <v>13225.06</v>
      </c>
      <c r="I196" s="74">
        <v>0</v>
      </c>
      <c r="J196" s="74">
        <v>0</v>
      </c>
      <c r="K196" s="74">
        <v>0</v>
      </c>
      <c r="L196" s="261" t="s">
        <v>4</v>
      </c>
      <c r="M196" s="266" t="s">
        <v>256</v>
      </c>
    </row>
    <row r="197" spans="1:13" s="53" customFormat="1" ht="55.5" customHeight="1" x14ac:dyDescent="0.25">
      <c r="A197" s="250"/>
      <c r="B197" s="251"/>
      <c r="C197" s="252"/>
      <c r="D197" s="229" t="s">
        <v>1</v>
      </c>
      <c r="E197" s="74">
        <v>1035.8</v>
      </c>
      <c r="F197" s="68">
        <f t="shared" si="25"/>
        <v>4408.3599999999997</v>
      </c>
      <c r="G197" s="74">
        <v>0</v>
      </c>
      <c r="H197" s="74">
        <v>4408.3599999999997</v>
      </c>
      <c r="I197" s="74">
        <v>0</v>
      </c>
      <c r="J197" s="74">
        <v>0</v>
      </c>
      <c r="K197" s="74">
        <v>0</v>
      </c>
      <c r="L197" s="261"/>
      <c r="M197" s="266"/>
    </row>
    <row r="198" spans="1:13" s="53" customFormat="1" ht="55.5" customHeight="1" x14ac:dyDescent="0.25">
      <c r="A198" s="250"/>
      <c r="B198" s="251"/>
      <c r="C198" s="252"/>
      <c r="D198" s="229" t="s">
        <v>56</v>
      </c>
      <c r="E198" s="74">
        <v>103.58</v>
      </c>
      <c r="F198" s="68">
        <f t="shared" si="25"/>
        <v>440.84</v>
      </c>
      <c r="G198" s="74">
        <v>0</v>
      </c>
      <c r="H198" s="74">
        <v>440.84</v>
      </c>
      <c r="I198" s="74">
        <v>0</v>
      </c>
      <c r="J198" s="74">
        <v>0</v>
      </c>
      <c r="K198" s="74">
        <v>0</v>
      </c>
      <c r="L198" s="261"/>
      <c r="M198" s="266"/>
    </row>
    <row r="199" spans="1:13" s="53" customFormat="1" ht="55.5" customHeight="1" x14ac:dyDescent="0.25">
      <c r="A199" s="250"/>
      <c r="B199" s="251"/>
      <c r="C199" s="252"/>
      <c r="D199" s="229" t="s">
        <v>139</v>
      </c>
      <c r="E199" s="74"/>
      <c r="F199" s="68">
        <f t="shared" si="25"/>
        <v>0</v>
      </c>
      <c r="G199" s="74">
        <v>0</v>
      </c>
      <c r="H199" s="74">
        <v>0</v>
      </c>
      <c r="I199" s="74">
        <v>0</v>
      </c>
      <c r="J199" s="74">
        <v>0</v>
      </c>
      <c r="K199" s="74">
        <v>0</v>
      </c>
      <c r="L199" s="261"/>
      <c r="M199" s="266"/>
    </row>
    <row r="200" spans="1:13" s="53" customFormat="1" ht="38.25" customHeight="1" x14ac:dyDescent="0.25">
      <c r="A200" s="296" t="s">
        <v>204</v>
      </c>
      <c r="B200" s="247" t="s">
        <v>207</v>
      </c>
      <c r="C200" s="278" t="s">
        <v>138</v>
      </c>
      <c r="D200" s="229" t="s">
        <v>46</v>
      </c>
      <c r="E200" s="74"/>
      <c r="F200" s="68">
        <f t="shared" si="25"/>
        <v>0</v>
      </c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261" t="s">
        <v>4</v>
      </c>
      <c r="M200" s="295" t="s">
        <v>75</v>
      </c>
    </row>
    <row r="201" spans="1:13" s="53" customFormat="1" ht="37.5" customHeight="1" x14ac:dyDescent="0.25">
      <c r="A201" s="296"/>
      <c r="B201" s="247"/>
      <c r="C201" s="278"/>
      <c r="D201" s="55" t="s">
        <v>1</v>
      </c>
      <c r="E201" s="83">
        <v>0</v>
      </c>
      <c r="F201" s="68">
        <f t="shared" si="25"/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261"/>
      <c r="M201" s="295"/>
    </row>
    <row r="202" spans="1:13" s="53" customFormat="1" ht="56.25" x14ac:dyDescent="0.25">
      <c r="A202" s="296"/>
      <c r="B202" s="247"/>
      <c r="C202" s="278"/>
      <c r="D202" s="229" t="s">
        <v>56</v>
      </c>
      <c r="E202" s="82">
        <v>0</v>
      </c>
      <c r="F202" s="68">
        <f t="shared" ref="F202:F218" si="65">SUM(G202:K202)</f>
        <v>0</v>
      </c>
      <c r="G202" s="83">
        <v>0</v>
      </c>
      <c r="H202" s="83">
        <v>0</v>
      </c>
      <c r="I202" s="83">
        <v>0</v>
      </c>
      <c r="J202" s="83">
        <v>0</v>
      </c>
      <c r="K202" s="83">
        <v>0</v>
      </c>
      <c r="L202" s="261"/>
      <c r="M202" s="295"/>
    </row>
    <row r="203" spans="1:13" s="53" customFormat="1" ht="37.5" x14ac:dyDescent="0.25">
      <c r="A203" s="296"/>
      <c r="B203" s="247"/>
      <c r="C203" s="278"/>
      <c r="D203" s="229" t="s">
        <v>139</v>
      </c>
      <c r="E203" s="82"/>
      <c r="F203" s="68">
        <f t="shared" si="65"/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261"/>
      <c r="M203" s="295"/>
    </row>
    <row r="204" spans="1:13" s="15" customFormat="1" ht="18.75" customHeight="1" x14ac:dyDescent="0.25">
      <c r="A204" s="245" t="s">
        <v>13</v>
      </c>
      <c r="B204" s="246" t="s">
        <v>121</v>
      </c>
      <c r="C204" s="246" t="s">
        <v>138</v>
      </c>
      <c r="D204" s="226" t="s">
        <v>3</v>
      </c>
      <c r="E204" s="149">
        <f>E206+E207</f>
        <v>0</v>
      </c>
      <c r="F204" s="68">
        <f t="shared" si="65"/>
        <v>0</v>
      </c>
      <c r="G204" s="149">
        <f>G205+G206+G207+G208</f>
        <v>0</v>
      </c>
      <c r="H204" s="149">
        <f t="shared" ref="H204:K204" si="66">H205+H206+H207+H208</f>
        <v>0</v>
      </c>
      <c r="I204" s="149">
        <f t="shared" si="66"/>
        <v>0</v>
      </c>
      <c r="J204" s="149">
        <f t="shared" si="66"/>
        <v>0</v>
      </c>
      <c r="K204" s="149">
        <f t="shared" si="66"/>
        <v>0</v>
      </c>
      <c r="L204" s="255"/>
      <c r="M204" s="256"/>
    </row>
    <row r="205" spans="1:13" s="15" customFormat="1" ht="42" customHeight="1" x14ac:dyDescent="0.25">
      <c r="A205" s="245"/>
      <c r="B205" s="246"/>
      <c r="C205" s="246"/>
      <c r="D205" s="226" t="s">
        <v>46</v>
      </c>
      <c r="E205" s="149"/>
      <c r="F205" s="68">
        <f t="shared" si="65"/>
        <v>0</v>
      </c>
      <c r="G205" s="150">
        <f>G209</f>
        <v>0</v>
      </c>
      <c r="H205" s="150">
        <f t="shared" ref="H205:K205" si="67">H209</f>
        <v>0</v>
      </c>
      <c r="I205" s="150">
        <f t="shared" si="67"/>
        <v>0</v>
      </c>
      <c r="J205" s="150">
        <f t="shared" si="67"/>
        <v>0</v>
      </c>
      <c r="K205" s="150">
        <f t="shared" si="67"/>
        <v>0</v>
      </c>
      <c r="L205" s="255"/>
      <c r="M205" s="256"/>
    </row>
    <row r="206" spans="1:13" s="15" customFormat="1" ht="39.75" customHeight="1" x14ac:dyDescent="0.25">
      <c r="A206" s="245"/>
      <c r="B206" s="246"/>
      <c r="C206" s="246"/>
      <c r="D206" s="226" t="s">
        <v>1</v>
      </c>
      <c r="E206" s="150">
        <f>E210</f>
        <v>0</v>
      </c>
      <c r="F206" s="68">
        <f t="shared" si="65"/>
        <v>0</v>
      </c>
      <c r="G206" s="150">
        <f>G210</f>
        <v>0</v>
      </c>
      <c r="H206" s="150">
        <f t="shared" ref="H206:K206" si="68">H210</f>
        <v>0</v>
      </c>
      <c r="I206" s="150">
        <f t="shared" si="68"/>
        <v>0</v>
      </c>
      <c r="J206" s="150">
        <f t="shared" si="68"/>
        <v>0</v>
      </c>
      <c r="K206" s="150">
        <f t="shared" si="68"/>
        <v>0</v>
      </c>
      <c r="L206" s="255"/>
      <c r="M206" s="256"/>
    </row>
    <row r="207" spans="1:13" s="15" customFormat="1" ht="58.5" customHeight="1" x14ac:dyDescent="0.25">
      <c r="A207" s="245"/>
      <c r="B207" s="246"/>
      <c r="C207" s="246"/>
      <c r="D207" s="226" t="s">
        <v>56</v>
      </c>
      <c r="E207" s="150">
        <f>E211</f>
        <v>0</v>
      </c>
      <c r="F207" s="68">
        <f t="shared" si="65"/>
        <v>0</v>
      </c>
      <c r="G207" s="150">
        <f>G211</f>
        <v>0</v>
      </c>
      <c r="H207" s="150">
        <f t="shared" ref="H207:K207" si="69">H211</f>
        <v>0</v>
      </c>
      <c r="I207" s="150">
        <f t="shared" si="69"/>
        <v>0</v>
      </c>
      <c r="J207" s="150">
        <f t="shared" si="69"/>
        <v>0</v>
      </c>
      <c r="K207" s="150">
        <f t="shared" si="69"/>
        <v>0</v>
      </c>
      <c r="L207" s="255"/>
      <c r="M207" s="256"/>
    </row>
    <row r="208" spans="1:13" s="15" customFormat="1" ht="37.5" x14ac:dyDescent="0.25">
      <c r="A208" s="245"/>
      <c r="B208" s="246"/>
      <c r="C208" s="246"/>
      <c r="D208" s="226" t="s">
        <v>139</v>
      </c>
      <c r="E208" s="150"/>
      <c r="F208" s="68">
        <f t="shared" si="65"/>
        <v>0</v>
      </c>
      <c r="G208" s="150">
        <f>G212</f>
        <v>0</v>
      </c>
      <c r="H208" s="150">
        <f t="shared" ref="H208:K208" si="70">H212</f>
        <v>0</v>
      </c>
      <c r="I208" s="150">
        <f t="shared" si="70"/>
        <v>0</v>
      </c>
      <c r="J208" s="150">
        <f t="shared" si="70"/>
        <v>0</v>
      </c>
      <c r="K208" s="150">
        <f t="shared" si="70"/>
        <v>0</v>
      </c>
      <c r="L208" s="255"/>
      <c r="M208" s="256"/>
    </row>
    <row r="209" spans="1:17" s="15" customFormat="1" ht="38.25" customHeight="1" x14ac:dyDescent="0.25">
      <c r="A209" s="250" t="s">
        <v>206</v>
      </c>
      <c r="B209" s="251" t="s">
        <v>205</v>
      </c>
      <c r="C209" s="252" t="s">
        <v>138</v>
      </c>
      <c r="D209" s="164" t="s">
        <v>46</v>
      </c>
      <c r="E209" s="166"/>
      <c r="F209" s="68">
        <f t="shared" si="65"/>
        <v>0</v>
      </c>
      <c r="G209" s="166">
        <v>0</v>
      </c>
      <c r="H209" s="166">
        <v>0</v>
      </c>
      <c r="I209" s="166">
        <v>0</v>
      </c>
      <c r="J209" s="166">
        <v>0</v>
      </c>
      <c r="K209" s="166">
        <v>0</v>
      </c>
      <c r="L209" s="253" t="s">
        <v>4</v>
      </c>
      <c r="M209" s="254" t="s">
        <v>208</v>
      </c>
    </row>
    <row r="210" spans="1:17" s="53" customFormat="1" ht="37.5" customHeight="1" x14ac:dyDescent="0.25">
      <c r="A210" s="250"/>
      <c r="B210" s="251"/>
      <c r="C210" s="252"/>
      <c r="D210" s="229" t="s">
        <v>1</v>
      </c>
      <c r="E210" s="82">
        <v>0</v>
      </c>
      <c r="F210" s="68">
        <f t="shared" si="65"/>
        <v>0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253"/>
      <c r="M210" s="254"/>
    </row>
    <row r="211" spans="1:17" s="53" customFormat="1" ht="60" customHeight="1" x14ac:dyDescent="0.25">
      <c r="A211" s="250"/>
      <c r="B211" s="251"/>
      <c r="C211" s="252"/>
      <c r="D211" s="229" t="s">
        <v>56</v>
      </c>
      <c r="E211" s="82">
        <v>0</v>
      </c>
      <c r="F211" s="68">
        <f t="shared" si="65"/>
        <v>0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253"/>
      <c r="M211" s="254"/>
    </row>
    <row r="212" spans="1:17" s="53" customFormat="1" ht="37.5" x14ac:dyDescent="0.25">
      <c r="A212" s="250"/>
      <c r="B212" s="251"/>
      <c r="C212" s="252"/>
      <c r="D212" s="229" t="s">
        <v>139</v>
      </c>
      <c r="E212" s="82"/>
      <c r="F212" s="68">
        <f t="shared" si="65"/>
        <v>0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253"/>
      <c r="M212" s="254"/>
    </row>
    <row r="213" spans="1:17" s="15" customFormat="1" ht="18.75" customHeight="1" x14ac:dyDescent="0.25">
      <c r="A213" s="290" t="s">
        <v>14</v>
      </c>
      <c r="B213" s="291" t="s">
        <v>120</v>
      </c>
      <c r="C213" s="292" t="s">
        <v>138</v>
      </c>
      <c r="D213" s="169" t="s">
        <v>3</v>
      </c>
      <c r="E213" s="170" t="e">
        <f>E215+E216+E214</f>
        <v>#REF!</v>
      </c>
      <c r="F213" s="68">
        <f t="shared" si="65"/>
        <v>497755</v>
      </c>
      <c r="G213" s="170">
        <f>G214+G215+G216+G217</f>
        <v>99551</v>
      </c>
      <c r="H213" s="170">
        <f t="shared" ref="H213:K213" si="71">H214+H215+H216+H217</f>
        <v>99551</v>
      </c>
      <c r="I213" s="170">
        <f t="shared" si="71"/>
        <v>99551</v>
      </c>
      <c r="J213" s="170">
        <f t="shared" si="71"/>
        <v>99551</v>
      </c>
      <c r="K213" s="170">
        <f t="shared" si="71"/>
        <v>99551</v>
      </c>
      <c r="L213" s="293"/>
      <c r="M213" s="294"/>
      <c r="Q213" s="64"/>
    </row>
    <row r="214" spans="1:17" s="15" customFormat="1" ht="39" customHeight="1" x14ac:dyDescent="0.25">
      <c r="A214" s="290"/>
      <c r="B214" s="291"/>
      <c r="C214" s="292"/>
      <c r="D214" s="235" t="s">
        <v>46</v>
      </c>
      <c r="E214" s="171" t="e">
        <f>E226</f>
        <v>#REF!</v>
      </c>
      <c r="F214" s="68">
        <f t="shared" si="65"/>
        <v>0</v>
      </c>
      <c r="G214" s="171">
        <f>G218+G222</f>
        <v>0</v>
      </c>
      <c r="H214" s="171">
        <f t="shared" ref="H214:K214" si="72">H218+H222</f>
        <v>0</v>
      </c>
      <c r="I214" s="171">
        <f t="shared" si="72"/>
        <v>0</v>
      </c>
      <c r="J214" s="171">
        <f t="shared" si="72"/>
        <v>0</v>
      </c>
      <c r="K214" s="171">
        <f t="shared" si="72"/>
        <v>0</v>
      </c>
      <c r="L214" s="293"/>
      <c r="M214" s="294"/>
      <c r="Q214" s="64"/>
    </row>
    <row r="215" spans="1:17" s="15" customFormat="1" ht="36.75" customHeight="1" x14ac:dyDescent="0.25">
      <c r="A215" s="290"/>
      <c r="B215" s="291"/>
      <c r="C215" s="292"/>
      <c r="D215" s="235" t="s">
        <v>1</v>
      </c>
      <c r="E215" s="171" t="e">
        <f>E219+E227</f>
        <v>#REF!</v>
      </c>
      <c r="F215" s="68">
        <f t="shared" si="65"/>
        <v>304625</v>
      </c>
      <c r="G215" s="171">
        <f>G219+G223</f>
        <v>60925</v>
      </c>
      <c r="H215" s="171">
        <f t="shared" ref="H215:K215" si="73">H219+H223</f>
        <v>60925</v>
      </c>
      <c r="I215" s="171">
        <f t="shared" si="73"/>
        <v>60925</v>
      </c>
      <c r="J215" s="171">
        <f t="shared" si="73"/>
        <v>60925</v>
      </c>
      <c r="K215" s="171">
        <f t="shared" si="73"/>
        <v>60925</v>
      </c>
      <c r="L215" s="293"/>
      <c r="M215" s="294"/>
      <c r="Q215" s="64"/>
    </row>
    <row r="216" spans="1:17" s="15" customFormat="1" ht="57" customHeight="1" x14ac:dyDescent="0.25">
      <c r="A216" s="290"/>
      <c r="B216" s="291"/>
      <c r="C216" s="292"/>
      <c r="D216" s="235" t="s">
        <v>54</v>
      </c>
      <c r="E216" s="151" t="e">
        <f>E220+E228</f>
        <v>#REF!</v>
      </c>
      <c r="F216" s="68">
        <f t="shared" si="65"/>
        <v>193130</v>
      </c>
      <c r="G216" s="151">
        <f>G220+G224</f>
        <v>38626</v>
      </c>
      <c r="H216" s="151">
        <f t="shared" ref="H216:K216" si="74">H220+H224</f>
        <v>38626</v>
      </c>
      <c r="I216" s="151">
        <f t="shared" si="74"/>
        <v>38626</v>
      </c>
      <c r="J216" s="151">
        <f t="shared" si="74"/>
        <v>38626</v>
      </c>
      <c r="K216" s="151">
        <f t="shared" si="74"/>
        <v>38626</v>
      </c>
      <c r="L216" s="293"/>
      <c r="M216" s="294"/>
      <c r="Q216" s="64"/>
    </row>
    <row r="217" spans="1:17" s="15" customFormat="1" ht="37.5" x14ac:dyDescent="0.25">
      <c r="A217" s="290"/>
      <c r="B217" s="291"/>
      <c r="C217" s="292"/>
      <c r="D217" s="235" t="s">
        <v>139</v>
      </c>
      <c r="E217" s="151"/>
      <c r="F217" s="68">
        <f t="shared" si="65"/>
        <v>0</v>
      </c>
      <c r="G217" s="151">
        <f>G221+G225</f>
        <v>0</v>
      </c>
      <c r="H217" s="151">
        <f t="shared" ref="H217:K217" si="75">H221+H225</f>
        <v>0</v>
      </c>
      <c r="I217" s="151">
        <f t="shared" si="75"/>
        <v>0</v>
      </c>
      <c r="J217" s="151">
        <f t="shared" si="75"/>
        <v>0</v>
      </c>
      <c r="K217" s="151">
        <f t="shared" si="75"/>
        <v>0</v>
      </c>
      <c r="L217" s="293"/>
      <c r="M217" s="294"/>
      <c r="Q217" s="64"/>
    </row>
    <row r="218" spans="1:17" s="15" customFormat="1" ht="68.25" customHeight="1" x14ac:dyDescent="0.25">
      <c r="A218" s="257" t="s">
        <v>209</v>
      </c>
      <c r="B218" s="258" t="s">
        <v>211</v>
      </c>
      <c r="C218" s="259" t="s">
        <v>138</v>
      </c>
      <c r="D218" s="167" t="s">
        <v>46</v>
      </c>
      <c r="E218" s="168"/>
      <c r="F218" s="68">
        <f t="shared" si="65"/>
        <v>0</v>
      </c>
      <c r="G218" s="168">
        <v>0</v>
      </c>
      <c r="H218" s="168">
        <v>0</v>
      </c>
      <c r="I218" s="168">
        <v>0</v>
      </c>
      <c r="J218" s="168">
        <v>0</v>
      </c>
      <c r="K218" s="168">
        <v>0</v>
      </c>
      <c r="L218" s="295" t="s">
        <v>4</v>
      </c>
      <c r="M218" s="295" t="s">
        <v>258</v>
      </c>
      <c r="Q218" s="64"/>
    </row>
    <row r="219" spans="1:17" s="53" customFormat="1" ht="68.25" customHeight="1" x14ac:dyDescent="0.25">
      <c r="A219" s="257"/>
      <c r="B219" s="258"/>
      <c r="C219" s="259"/>
      <c r="D219" s="230" t="s">
        <v>1</v>
      </c>
      <c r="E219" s="77">
        <v>34122</v>
      </c>
      <c r="F219" s="73">
        <f t="shared" ref="F219:F225" si="76">SUM(G219:K219)</f>
        <v>304625</v>
      </c>
      <c r="G219" s="77">
        <v>60925</v>
      </c>
      <c r="H219" s="77">
        <v>60925</v>
      </c>
      <c r="I219" s="142">
        <v>60925</v>
      </c>
      <c r="J219" s="77">
        <v>60925</v>
      </c>
      <c r="K219" s="77">
        <v>60925</v>
      </c>
      <c r="L219" s="295"/>
      <c r="M219" s="295"/>
    </row>
    <row r="220" spans="1:17" s="53" customFormat="1" ht="68.25" customHeight="1" x14ac:dyDescent="0.25">
      <c r="A220" s="257"/>
      <c r="B220" s="258"/>
      <c r="C220" s="259"/>
      <c r="D220" s="230" t="s">
        <v>54</v>
      </c>
      <c r="E220" s="77">
        <v>20473</v>
      </c>
      <c r="F220" s="73">
        <f t="shared" si="76"/>
        <v>193130</v>
      </c>
      <c r="G220" s="77">
        <v>38626</v>
      </c>
      <c r="H220" s="77">
        <v>38626</v>
      </c>
      <c r="I220" s="142">
        <v>38626</v>
      </c>
      <c r="J220" s="77">
        <v>38626</v>
      </c>
      <c r="K220" s="77">
        <v>38626</v>
      </c>
      <c r="L220" s="295"/>
      <c r="M220" s="295"/>
    </row>
    <row r="221" spans="1:17" s="53" customFormat="1" ht="68.25" customHeight="1" x14ac:dyDescent="0.25">
      <c r="A221" s="257"/>
      <c r="B221" s="258"/>
      <c r="C221" s="259"/>
      <c r="D221" s="230" t="s">
        <v>139</v>
      </c>
      <c r="E221" s="77"/>
      <c r="F221" s="73">
        <f t="shared" si="76"/>
        <v>0</v>
      </c>
      <c r="G221" s="77">
        <v>0</v>
      </c>
      <c r="H221" s="77">
        <v>0</v>
      </c>
      <c r="I221" s="142">
        <v>0</v>
      </c>
      <c r="J221" s="77">
        <v>0</v>
      </c>
      <c r="K221" s="77">
        <v>0</v>
      </c>
      <c r="L221" s="295"/>
      <c r="M221" s="295"/>
    </row>
    <row r="222" spans="1:17" s="53" customFormat="1" ht="60.75" customHeight="1" x14ac:dyDescent="0.25">
      <c r="A222" s="257" t="s">
        <v>210</v>
      </c>
      <c r="B222" s="258" t="s">
        <v>212</v>
      </c>
      <c r="C222" s="259" t="s">
        <v>138</v>
      </c>
      <c r="D222" s="230" t="s">
        <v>46</v>
      </c>
      <c r="E222" s="77">
        <v>0</v>
      </c>
      <c r="F222" s="73">
        <f t="shared" si="76"/>
        <v>0</v>
      </c>
      <c r="G222" s="77">
        <v>0</v>
      </c>
      <c r="H222" s="77">
        <v>0</v>
      </c>
      <c r="I222" s="77">
        <v>0</v>
      </c>
      <c r="J222" s="77">
        <v>0</v>
      </c>
      <c r="K222" s="77">
        <v>0</v>
      </c>
      <c r="L222" s="295" t="s">
        <v>4</v>
      </c>
      <c r="M222" s="295" t="s">
        <v>213</v>
      </c>
    </row>
    <row r="223" spans="1:17" s="53" customFormat="1" ht="60.75" customHeight="1" x14ac:dyDescent="0.25">
      <c r="A223" s="257"/>
      <c r="B223" s="258"/>
      <c r="C223" s="259"/>
      <c r="D223" s="230" t="s">
        <v>1</v>
      </c>
      <c r="E223" s="77">
        <v>0</v>
      </c>
      <c r="F223" s="73">
        <f t="shared" si="76"/>
        <v>0</v>
      </c>
      <c r="G223" s="77">
        <v>0</v>
      </c>
      <c r="H223" s="77">
        <v>0</v>
      </c>
      <c r="I223" s="77">
        <v>0</v>
      </c>
      <c r="J223" s="77">
        <v>0</v>
      </c>
      <c r="K223" s="77">
        <v>0</v>
      </c>
      <c r="L223" s="295"/>
      <c r="M223" s="295"/>
    </row>
    <row r="224" spans="1:17" s="53" customFormat="1" ht="60.75" customHeight="1" x14ac:dyDescent="0.25">
      <c r="A224" s="257"/>
      <c r="B224" s="258"/>
      <c r="C224" s="259"/>
      <c r="D224" s="230" t="s">
        <v>54</v>
      </c>
      <c r="E224" s="77">
        <v>0</v>
      </c>
      <c r="F224" s="73">
        <f t="shared" si="76"/>
        <v>0</v>
      </c>
      <c r="G224" s="77">
        <v>0</v>
      </c>
      <c r="H224" s="77">
        <v>0</v>
      </c>
      <c r="I224" s="77">
        <v>0</v>
      </c>
      <c r="J224" s="77">
        <v>0</v>
      </c>
      <c r="K224" s="77">
        <v>0</v>
      </c>
      <c r="L224" s="295"/>
      <c r="M224" s="295"/>
    </row>
    <row r="225" spans="1:18" s="53" customFormat="1" ht="60.75" customHeight="1" x14ac:dyDescent="0.25">
      <c r="A225" s="257"/>
      <c r="B225" s="258"/>
      <c r="C225" s="259"/>
      <c r="D225" s="230" t="s">
        <v>139</v>
      </c>
      <c r="E225" s="77"/>
      <c r="F225" s="73">
        <f t="shared" si="76"/>
        <v>0</v>
      </c>
      <c r="G225" s="77">
        <v>0</v>
      </c>
      <c r="H225" s="77">
        <v>0</v>
      </c>
      <c r="I225" s="77">
        <v>0</v>
      </c>
      <c r="J225" s="77">
        <v>0</v>
      </c>
      <c r="K225" s="77">
        <v>0</v>
      </c>
      <c r="L225" s="295"/>
      <c r="M225" s="295"/>
    </row>
    <row r="226" spans="1:18" s="15" customFormat="1" ht="39" customHeight="1" x14ac:dyDescent="0.25">
      <c r="A226" s="297" t="s">
        <v>244</v>
      </c>
      <c r="B226" s="298"/>
      <c r="C226" s="298"/>
      <c r="D226" s="298"/>
      <c r="E226" s="216" t="e">
        <f>E227+E228+E229+E232+E233</f>
        <v>#REF!</v>
      </c>
      <c r="F226" s="85">
        <f t="shared" ref="F226:F233" si="77">SUM(G226:K226)</f>
        <v>56411121.214019999</v>
      </c>
      <c r="G226" s="216">
        <f>G227+G228+G229+G231</f>
        <v>11600666.846999999</v>
      </c>
      <c r="H226" s="216">
        <f t="shared" ref="H226:K226" si="78">H227+H228+H229+H231</f>
        <v>11327958.128830001</v>
      </c>
      <c r="I226" s="216">
        <f t="shared" si="78"/>
        <v>11284209.88019</v>
      </c>
      <c r="J226" s="216">
        <f t="shared" si="78"/>
        <v>11099143.179</v>
      </c>
      <c r="K226" s="216">
        <f t="shared" si="78"/>
        <v>11099143.179</v>
      </c>
      <c r="L226" s="217"/>
      <c r="M226" s="218"/>
      <c r="Q226" s="64"/>
      <c r="R226" s="64"/>
    </row>
    <row r="227" spans="1:18" ht="18.75" x14ac:dyDescent="0.25">
      <c r="A227" s="270" t="s">
        <v>46</v>
      </c>
      <c r="B227" s="270"/>
      <c r="C227" s="270"/>
      <c r="D227" s="270"/>
      <c r="E227" s="67" t="e">
        <f>E184</f>
        <v>#REF!</v>
      </c>
      <c r="F227" s="85">
        <f t="shared" si="77"/>
        <v>1693847.8599999996</v>
      </c>
      <c r="G227" s="67">
        <f>G17+G90+G115+G124+G133+G142+G175+G184+G205+G214</f>
        <v>379165.59999999992</v>
      </c>
      <c r="H227" s="67">
        <f t="shared" ref="H227:J227" si="79">H17+H90+H115+H124+H133+H142+H175+H184+H205+H214</f>
        <v>333025.46999999997</v>
      </c>
      <c r="I227" s="67">
        <f t="shared" si="79"/>
        <v>327218.93</v>
      </c>
      <c r="J227" s="67">
        <f t="shared" si="79"/>
        <v>327218.93</v>
      </c>
      <c r="K227" s="67">
        <f>K17+K90+K115+K124+K133+K142+K175+K184+K205+K214</f>
        <v>327218.93</v>
      </c>
      <c r="L227" s="20"/>
      <c r="M227" s="179"/>
      <c r="Q227" s="65"/>
      <c r="R227" s="65"/>
    </row>
    <row r="228" spans="1:18" ht="18.75" x14ac:dyDescent="0.25">
      <c r="A228" s="270" t="s">
        <v>1</v>
      </c>
      <c r="B228" s="270"/>
      <c r="C228" s="270"/>
      <c r="D228" s="270"/>
      <c r="E228" s="67" t="e">
        <f>E18+#REF!+E91+E185+E206</f>
        <v>#REF!</v>
      </c>
      <c r="F228" s="85">
        <f t="shared" si="77"/>
        <v>36157075.11552</v>
      </c>
      <c r="G228" s="67">
        <f>G18+G91+G116+G125+G134+G143+G176+G185+G206+G215</f>
        <v>7315026.4200000009</v>
      </c>
      <c r="H228" s="67">
        <f t="shared" ref="H228:K228" si="80">H18+H91+H116+H125+H134+H143+H176+H185+H206+H215</f>
        <v>7316249.0398300001</v>
      </c>
      <c r="I228" s="67">
        <f t="shared" si="80"/>
        <v>7281329.71569</v>
      </c>
      <c r="J228" s="67">
        <f t="shared" si="80"/>
        <v>7122234.9699999997</v>
      </c>
      <c r="K228" s="67">
        <f t="shared" si="80"/>
        <v>7122234.9699999997</v>
      </c>
      <c r="L228" s="20"/>
      <c r="M228" s="179"/>
      <c r="Q228" s="65"/>
      <c r="R228" s="65"/>
    </row>
    <row r="229" spans="1:18" ht="18.75" x14ac:dyDescent="0.25">
      <c r="A229" s="270" t="s">
        <v>55</v>
      </c>
      <c r="B229" s="270"/>
      <c r="C229" s="270"/>
      <c r="D229" s="270"/>
      <c r="E229" s="67" t="e">
        <f>E19+E92+E126+E186+E207</f>
        <v>#REF!</v>
      </c>
      <c r="F229" s="85">
        <f t="shared" si="77"/>
        <v>16435886.593499999</v>
      </c>
      <c r="G229" s="67">
        <f>G19+G92+G117+G126+G135+G144+G177+G186+G207+G216</f>
        <v>3481612.4979999997</v>
      </c>
      <c r="H229" s="67">
        <f t="shared" ref="H229:K229" si="81">H19+H92+H117+H126+H135+H144+H177+H186+H207+H216</f>
        <v>3253821.29</v>
      </c>
      <c r="I229" s="67">
        <f t="shared" si="81"/>
        <v>3250798.9055000003</v>
      </c>
      <c r="J229" s="67">
        <f t="shared" si="81"/>
        <v>3224826.95</v>
      </c>
      <c r="K229" s="67">
        <f t="shared" si="81"/>
        <v>3224826.95</v>
      </c>
      <c r="L229" s="140"/>
      <c r="M229" s="179"/>
      <c r="Q229" s="65"/>
      <c r="R229" s="65"/>
    </row>
    <row r="230" spans="1:18" ht="18.75" x14ac:dyDescent="0.3">
      <c r="A230" s="273" t="s">
        <v>81</v>
      </c>
      <c r="B230" s="273"/>
      <c r="C230" s="273"/>
      <c r="D230" s="273"/>
      <c r="E230" s="172">
        <f>E47</f>
        <v>0</v>
      </c>
      <c r="F230" s="173">
        <f t="shared" si="77"/>
        <v>2234620</v>
      </c>
      <c r="G230" s="172">
        <f>G20</f>
        <v>446924</v>
      </c>
      <c r="H230" s="172">
        <f t="shared" ref="H230:K230" si="82">H20</f>
        <v>446924</v>
      </c>
      <c r="I230" s="172">
        <f t="shared" si="82"/>
        <v>446924</v>
      </c>
      <c r="J230" s="172">
        <f t="shared" si="82"/>
        <v>446924</v>
      </c>
      <c r="K230" s="172">
        <f t="shared" si="82"/>
        <v>446924</v>
      </c>
      <c r="L230" s="12"/>
      <c r="M230" s="180"/>
      <c r="Q230" s="65"/>
      <c r="R230" s="65"/>
    </row>
    <row r="231" spans="1:18" ht="18.75" x14ac:dyDescent="0.3">
      <c r="A231" s="274" t="s">
        <v>139</v>
      </c>
      <c r="B231" s="274"/>
      <c r="C231" s="274"/>
      <c r="D231" s="274"/>
      <c r="E231" s="63"/>
      <c r="F231" s="85">
        <f t="shared" si="77"/>
        <v>2124311.645</v>
      </c>
      <c r="G231" s="63">
        <f>G21+G93+G118+G127+G136+G145+G178+G187+G208+G217</f>
        <v>424862.32900000003</v>
      </c>
      <c r="H231" s="63">
        <f t="shared" ref="H231:K231" si="83">H21+H93+H118+H127+H136+H145+H178+H187+H208+H217</f>
        <v>424862.32900000003</v>
      </c>
      <c r="I231" s="63">
        <f t="shared" si="83"/>
        <v>424862.32900000003</v>
      </c>
      <c r="J231" s="63">
        <f t="shared" si="83"/>
        <v>424862.32900000003</v>
      </c>
      <c r="K231" s="63">
        <f t="shared" si="83"/>
        <v>424862.32900000003</v>
      </c>
      <c r="L231" s="12"/>
      <c r="M231" s="180"/>
      <c r="Q231" s="65"/>
      <c r="R231" s="65"/>
    </row>
    <row r="232" spans="1:18" ht="18.75" x14ac:dyDescent="0.3">
      <c r="A232" s="273" t="s">
        <v>143</v>
      </c>
      <c r="B232" s="273"/>
      <c r="C232" s="273"/>
      <c r="D232" s="273"/>
      <c r="E232" s="172">
        <f>E22</f>
        <v>262352.43170000002</v>
      </c>
      <c r="F232" s="173">
        <f t="shared" si="77"/>
        <v>2008354.6350000002</v>
      </c>
      <c r="G232" s="172">
        <f>G22</f>
        <v>401670.92700000003</v>
      </c>
      <c r="H232" s="172">
        <f t="shared" ref="H232:K232" si="84">H22</f>
        <v>401670.92700000003</v>
      </c>
      <c r="I232" s="172">
        <f t="shared" si="84"/>
        <v>401670.92700000003</v>
      </c>
      <c r="J232" s="172">
        <f t="shared" si="84"/>
        <v>401670.92700000003</v>
      </c>
      <c r="K232" s="172">
        <f t="shared" si="84"/>
        <v>401670.92700000003</v>
      </c>
      <c r="L232" s="12"/>
      <c r="M232" s="180"/>
      <c r="Q232" s="65"/>
      <c r="R232" s="65"/>
    </row>
    <row r="233" spans="1:18" ht="18.75" x14ac:dyDescent="0.3">
      <c r="A233" s="273" t="s">
        <v>144</v>
      </c>
      <c r="B233" s="273"/>
      <c r="C233" s="273"/>
      <c r="D233" s="273"/>
      <c r="E233" s="172">
        <f>E23</f>
        <v>8751.5480000000007</v>
      </c>
      <c r="F233" s="173">
        <f t="shared" si="77"/>
        <v>115957.01000000001</v>
      </c>
      <c r="G233" s="172">
        <f>G23</f>
        <v>23191.402000000002</v>
      </c>
      <c r="H233" s="172">
        <f t="shared" ref="H233:K233" si="85">H23</f>
        <v>23191.402000000002</v>
      </c>
      <c r="I233" s="172">
        <f t="shared" si="85"/>
        <v>23191.402000000002</v>
      </c>
      <c r="J233" s="172">
        <f t="shared" si="85"/>
        <v>23191.402000000002</v>
      </c>
      <c r="K233" s="172">
        <f t="shared" si="85"/>
        <v>23191.402000000002</v>
      </c>
      <c r="L233" s="12"/>
      <c r="M233" s="180"/>
      <c r="Q233" s="65"/>
      <c r="R233" s="65"/>
    </row>
    <row r="234" spans="1:18" ht="15.75" x14ac:dyDescent="0.25">
      <c r="A234" s="122"/>
      <c r="B234" s="122"/>
      <c r="C234" s="122"/>
      <c r="D234" s="122"/>
      <c r="E234" s="123"/>
      <c r="F234" s="155"/>
      <c r="G234" s="123"/>
      <c r="H234" s="124"/>
      <c r="I234" s="125"/>
      <c r="J234" s="126"/>
      <c r="K234" s="126"/>
      <c r="L234" s="127"/>
      <c r="M234" s="128"/>
      <c r="Q234" s="65"/>
      <c r="R234" s="65"/>
    </row>
    <row r="235" spans="1:18" ht="18.75" x14ac:dyDescent="0.3">
      <c r="B235" s="271" t="s">
        <v>24</v>
      </c>
      <c r="C235" s="272"/>
      <c r="D235" s="272"/>
      <c r="E235" s="130" t="e">
        <f>#REF!</f>
        <v>#REF!</v>
      </c>
      <c r="F235" s="156">
        <f>SUM(G235:K235)</f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1"/>
      <c r="Q235" s="65"/>
      <c r="R235" s="65"/>
    </row>
    <row r="236" spans="1:18" ht="18.75" x14ac:dyDescent="0.3">
      <c r="B236" s="271" t="s">
        <v>26</v>
      </c>
      <c r="C236" s="272"/>
      <c r="D236" s="272"/>
      <c r="E236" s="130" t="e">
        <f>#REF!</f>
        <v>#REF!</v>
      </c>
      <c r="F236" s="156">
        <f>SUM(G236:K236)</f>
        <v>1201044.17</v>
      </c>
      <c r="G236" s="130">
        <f>256017+19341.952+63.482+48000</f>
        <v>323422.43400000001</v>
      </c>
      <c r="H236" s="130">
        <f>200000+19341.952+63.482</f>
        <v>219405.43399999998</v>
      </c>
      <c r="I236" s="130">
        <f>200000+19341.952+63.482</f>
        <v>219405.43399999998</v>
      </c>
      <c r="J236" s="130">
        <f t="shared" ref="J236:K236" si="86">200000+19341.952+63.482</f>
        <v>219405.43399999998</v>
      </c>
      <c r="K236" s="130">
        <f t="shared" si="86"/>
        <v>219405.43399999998</v>
      </c>
      <c r="Q236" s="65"/>
      <c r="R236" s="65"/>
    </row>
    <row r="237" spans="1:18" ht="18.75" x14ac:dyDescent="0.3">
      <c r="B237" s="268" t="s">
        <v>25</v>
      </c>
      <c r="C237" s="269"/>
      <c r="D237" s="269"/>
      <c r="E237" s="132" t="e">
        <f>SUM(E235:E236)</f>
        <v>#REF!</v>
      </c>
      <c r="F237" s="156">
        <f t="shared" ref="F237:K237" si="87">SUM(F235:F236)</f>
        <v>1201044.17</v>
      </c>
      <c r="G237" s="132">
        <f t="shared" ref="G237:H237" si="88">SUM(G235:G236)</f>
        <v>323422.43400000001</v>
      </c>
      <c r="H237" s="132">
        <f t="shared" si="88"/>
        <v>219405.43399999998</v>
      </c>
      <c r="I237" s="132">
        <f t="shared" si="87"/>
        <v>219405.43399999998</v>
      </c>
      <c r="J237" s="132">
        <f t="shared" si="87"/>
        <v>219405.43399999998</v>
      </c>
      <c r="K237" s="132">
        <f t="shared" si="87"/>
        <v>219405.43399999998</v>
      </c>
      <c r="Q237" s="65"/>
      <c r="R237" s="65"/>
    </row>
    <row r="238" spans="1:18" ht="18.75" x14ac:dyDescent="0.3">
      <c r="B238" s="271" t="s">
        <v>83</v>
      </c>
      <c r="C238" s="272"/>
      <c r="D238" s="272"/>
      <c r="E238" s="130">
        <v>0</v>
      </c>
      <c r="F238" s="156">
        <f>SUM(G238:K238)</f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3"/>
      <c r="Q238" s="65"/>
      <c r="R238" s="65"/>
    </row>
    <row r="239" spans="1:18" ht="18.75" x14ac:dyDescent="0.3">
      <c r="B239" s="271" t="s">
        <v>84</v>
      </c>
      <c r="C239" s="272"/>
      <c r="D239" s="272"/>
      <c r="E239" s="130">
        <v>0</v>
      </c>
      <c r="F239" s="156">
        <f>SUM(G239:K239)</f>
        <v>32670</v>
      </c>
      <c r="G239" s="130">
        <v>6534</v>
      </c>
      <c r="H239" s="130">
        <v>6534</v>
      </c>
      <c r="I239" s="130">
        <v>6534</v>
      </c>
      <c r="J239" s="130">
        <v>6534</v>
      </c>
      <c r="K239" s="130">
        <v>6534</v>
      </c>
      <c r="L239" s="133"/>
      <c r="Q239" s="65"/>
      <c r="R239" s="65"/>
    </row>
    <row r="240" spans="1:18" ht="18.75" x14ac:dyDescent="0.3">
      <c r="B240" s="268" t="s">
        <v>85</v>
      </c>
      <c r="C240" s="269"/>
      <c r="D240" s="269"/>
      <c r="E240" s="132">
        <f>SUM(E238:E239)</f>
        <v>0</v>
      </c>
      <c r="F240" s="156">
        <f t="shared" ref="F240:F247" si="89">SUM(G240:K240)</f>
        <v>32670</v>
      </c>
      <c r="G240" s="132">
        <f>SUM(G238:G239)</f>
        <v>6534</v>
      </c>
      <c r="H240" s="132">
        <f>SUM(H238:H239)</f>
        <v>6534</v>
      </c>
      <c r="I240" s="132">
        <f>SUM(I238:I239)</f>
        <v>6534</v>
      </c>
      <c r="J240" s="132">
        <f>SUM(J238:J239)</f>
        <v>6534</v>
      </c>
      <c r="K240" s="132">
        <f>SUM(K238:K239)</f>
        <v>6534</v>
      </c>
      <c r="L240" s="133"/>
      <c r="Q240" s="65"/>
      <c r="R240" s="65"/>
    </row>
    <row r="241" spans="2:18" ht="18.75" x14ac:dyDescent="0.3">
      <c r="B241" s="271" t="s">
        <v>49</v>
      </c>
      <c r="C241" s="272"/>
      <c r="D241" s="272"/>
      <c r="E241" s="130" t="e">
        <f>E227</f>
        <v>#REF!</v>
      </c>
      <c r="F241" s="156">
        <f t="shared" si="89"/>
        <v>1693847.8599999996</v>
      </c>
      <c r="G241" s="130">
        <f>G227</f>
        <v>379165.59999999992</v>
      </c>
      <c r="H241" s="130">
        <f>H227</f>
        <v>333025.46999999997</v>
      </c>
      <c r="I241" s="130">
        <f>I227</f>
        <v>327218.93</v>
      </c>
      <c r="J241" s="130">
        <f>J227</f>
        <v>327218.93</v>
      </c>
      <c r="K241" s="130">
        <f>K227</f>
        <v>327218.93</v>
      </c>
      <c r="Q241" s="65"/>
      <c r="R241" s="65"/>
    </row>
    <row r="242" spans="2:18" ht="18.75" x14ac:dyDescent="0.3">
      <c r="B242" s="271" t="s">
        <v>28</v>
      </c>
      <c r="C242" s="272"/>
      <c r="D242" s="272"/>
      <c r="E242" s="130" t="e">
        <f>E228-E235-E239</f>
        <v>#REF!</v>
      </c>
      <c r="F242" s="156">
        <f t="shared" si="89"/>
        <v>36124405.11552</v>
      </c>
      <c r="G242" s="130">
        <f>G228-G235-G239</f>
        <v>7308492.4200000009</v>
      </c>
      <c r="H242" s="130">
        <f>H228-H235-H239</f>
        <v>7309715.0398300001</v>
      </c>
      <c r="I242" s="130">
        <f>I228-I235-I239</f>
        <v>7274795.71569</v>
      </c>
      <c r="J242" s="130">
        <f>J228-J235-J239</f>
        <v>7115700.9699999997</v>
      </c>
      <c r="K242" s="130">
        <f>K228-K235-K239</f>
        <v>7115700.9699999997</v>
      </c>
      <c r="Q242" s="65"/>
      <c r="R242" s="65"/>
    </row>
    <row r="243" spans="2:18" ht="18.75" x14ac:dyDescent="0.3">
      <c r="B243" s="271" t="s">
        <v>27</v>
      </c>
      <c r="C243" s="272"/>
      <c r="D243" s="272"/>
      <c r="E243" s="130" t="e">
        <f>E229-E236-E238</f>
        <v>#REF!</v>
      </c>
      <c r="F243" s="156">
        <f t="shared" si="89"/>
        <v>15234842.423500001</v>
      </c>
      <c r="G243" s="130">
        <f>G229-G236-G238</f>
        <v>3158190.0639999998</v>
      </c>
      <c r="H243" s="130">
        <f>H229-H236-H238</f>
        <v>3034415.8560000001</v>
      </c>
      <c r="I243" s="130">
        <f>I229-I236-I238</f>
        <v>3031393.4715000005</v>
      </c>
      <c r="J243" s="130">
        <f>J229-J236-J238</f>
        <v>3005421.5160000003</v>
      </c>
      <c r="K243" s="130">
        <f>K229-K236-K238</f>
        <v>3005421.5160000003</v>
      </c>
      <c r="Q243" s="65"/>
      <c r="R243" s="65"/>
    </row>
    <row r="244" spans="2:18" ht="18.75" x14ac:dyDescent="0.3">
      <c r="B244" s="271" t="s">
        <v>139</v>
      </c>
      <c r="C244" s="272"/>
      <c r="D244" s="275"/>
      <c r="E244" s="130"/>
      <c r="F244" s="156">
        <f t="shared" si="89"/>
        <v>2124311.645</v>
      </c>
      <c r="G244" s="130">
        <f>G245+G246</f>
        <v>424862.32900000003</v>
      </c>
      <c r="H244" s="130">
        <f t="shared" ref="H244:K244" si="90">H245+H246</f>
        <v>424862.32900000003</v>
      </c>
      <c r="I244" s="130">
        <f t="shared" si="90"/>
        <v>424862.32900000003</v>
      </c>
      <c r="J244" s="130">
        <f t="shared" si="90"/>
        <v>424862.32900000003</v>
      </c>
      <c r="K244" s="130">
        <f t="shared" si="90"/>
        <v>424862.32900000003</v>
      </c>
      <c r="Q244" s="65"/>
      <c r="R244" s="65"/>
    </row>
    <row r="245" spans="2:18" ht="18.75" x14ac:dyDescent="0.3">
      <c r="B245" s="271" t="s">
        <v>143</v>
      </c>
      <c r="C245" s="272"/>
      <c r="D245" s="272"/>
      <c r="E245" s="130">
        <f>E232</f>
        <v>262352.43170000002</v>
      </c>
      <c r="F245" s="156">
        <f t="shared" si="89"/>
        <v>2008354.6350000002</v>
      </c>
      <c r="G245" s="130">
        <f>G232</f>
        <v>401670.92700000003</v>
      </c>
      <c r="H245" s="130">
        <f t="shared" ref="H245" si="91">H232</f>
        <v>401670.92700000003</v>
      </c>
      <c r="I245" s="130">
        <f t="shared" ref="I245:K246" si="92">I232</f>
        <v>401670.92700000003</v>
      </c>
      <c r="J245" s="130">
        <f t="shared" si="92"/>
        <v>401670.92700000003</v>
      </c>
      <c r="K245" s="130">
        <f t="shared" si="92"/>
        <v>401670.92700000003</v>
      </c>
      <c r="Q245" s="65"/>
      <c r="R245" s="65"/>
    </row>
    <row r="246" spans="2:18" ht="18.75" x14ac:dyDescent="0.3">
      <c r="B246" s="271" t="s">
        <v>144</v>
      </c>
      <c r="C246" s="272"/>
      <c r="D246" s="272"/>
      <c r="E246" s="130">
        <f>E233</f>
        <v>8751.5480000000007</v>
      </c>
      <c r="F246" s="156">
        <f t="shared" si="89"/>
        <v>115957.01000000001</v>
      </c>
      <c r="G246" s="130">
        <f>G233</f>
        <v>23191.402000000002</v>
      </c>
      <c r="H246" s="130">
        <f t="shared" ref="H246" si="93">H233</f>
        <v>23191.402000000002</v>
      </c>
      <c r="I246" s="130">
        <f t="shared" si="92"/>
        <v>23191.402000000002</v>
      </c>
      <c r="J246" s="130">
        <f t="shared" si="92"/>
        <v>23191.402000000002</v>
      </c>
      <c r="K246" s="130">
        <f t="shared" si="92"/>
        <v>23191.402000000002</v>
      </c>
      <c r="Q246" s="65"/>
      <c r="R246" s="65"/>
    </row>
    <row r="247" spans="2:18" ht="18.75" x14ac:dyDescent="0.3">
      <c r="B247" s="268" t="s">
        <v>29</v>
      </c>
      <c r="C247" s="269"/>
      <c r="D247" s="269"/>
      <c r="E247" s="132" t="e">
        <f t="shared" ref="E247" si="94">SUM(E241:E246)</f>
        <v>#REF!</v>
      </c>
      <c r="F247" s="156">
        <f t="shared" si="89"/>
        <v>55177407.044019997</v>
      </c>
      <c r="G247" s="132">
        <f>G241+G242+G243+G244</f>
        <v>11270710.413000001</v>
      </c>
      <c r="H247" s="132">
        <f t="shared" ref="H247:K247" si="95">H241+H242+H243+H244</f>
        <v>11102018.69483</v>
      </c>
      <c r="I247" s="132">
        <f t="shared" si="95"/>
        <v>11058270.44619</v>
      </c>
      <c r="J247" s="132">
        <f t="shared" si="95"/>
        <v>10873203.744999999</v>
      </c>
      <c r="K247" s="132">
        <f t="shared" si="95"/>
        <v>10873203.744999999</v>
      </c>
      <c r="Q247" s="65"/>
      <c r="R247" s="65"/>
    </row>
    <row r="248" spans="2:18" x14ac:dyDescent="0.25">
      <c r="F248" s="157"/>
    </row>
    <row r="249" spans="2:18" x14ac:dyDescent="0.25">
      <c r="F249" s="158"/>
      <c r="G249" s="131"/>
      <c r="H249" s="131"/>
      <c r="I249" s="131"/>
      <c r="J249" s="131"/>
      <c r="K249" s="131"/>
    </row>
    <row r="250" spans="2:18" ht="15.75" x14ac:dyDescent="0.25">
      <c r="H250" s="135"/>
      <c r="I250" s="136"/>
      <c r="J250" s="137"/>
      <c r="K250" s="137"/>
    </row>
    <row r="251" spans="2:18" ht="15.75" x14ac:dyDescent="0.25">
      <c r="G251" s="131"/>
      <c r="H251" s="135"/>
    </row>
    <row r="252" spans="2:18" ht="15.75" x14ac:dyDescent="0.25">
      <c r="H252" s="135"/>
    </row>
    <row r="253" spans="2:18" x14ac:dyDescent="0.25">
      <c r="H253" s="136"/>
      <c r="I253" s="136"/>
      <c r="J253" s="136"/>
    </row>
    <row r="254" spans="2:18" x14ac:dyDescent="0.25">
      <c r="H254" s="136"/>
    </row>
    <row r="256" spans="2:18" x14ac:dyDescent="0.25">
      <c r="H256" s="138"/>
    </row>
    <row r="257" spans="8:8" x14ac:dyDescent="0.25">
      <c r="H257" s="138"/>
    </row>
    <row r="258" spans="8:8" x14ac:dyDescent="0.25">
      <c r="H258" s="138"/>
    </row>
  </sheetData>
  <mergeCells count="274">
    <mergeCell ref="A226:D226"/>
    <mergeCell ref="A218:A221"/>
    <mergeCell ref="B218:B221"/>
    <mergeCell ref="L218:L221"/>
    <mergeCell ref="M218:M221"/>
    <mergeCell ref="C218:C221"/>
    <mergeCell ref="A222:A225"/>
    <mergeCell ref="B222:B225"/>
    <mergeCell ref="C222:C225"/>
    <mergeCell ref="M222:M225"/>
    <mergeCell ref="L222:L225"/>
    <mergeCell ref="A213:A217"/>
    <mergeCell ref="B213:B217"/>
    <mergeCell ref="C213:C217"/>
    <mergeCell ref="L213:L217"/>
    <mergeCell ref="M213:M217"/>
    <mergeCell ref="L200:L203"/>
    <mergeCell ref="M200:M203"/>
    <mergeCell ref="A204:A208"/>
    <mergeCell ref="B204:B208"/>
    <mergeCell ref="C204:C208"/>
    <mergeCell ref="L204:L208"/>
    <mergeCell ref="M204:M208"/>
    <mergeCell ref="A209:A212"/>
    <mergeCell ref="B209:B212"/>
    <mergeCell ref="C209:C212"/>
    <mergeCell ref="L209:L212"/>
    <mergeCell ref="M209:M212"/>
    <mergeCell ref="A200:A203"/>
    <mergeCell ref="C183:C187"/>
    <mergeCell ref="L183:L187"/>
    <mergeCell ref="M183:M187"/>
    <mergeCell ref="A188:A191"/>
    <mergeCell ref="C188:C191"/>
    <mergeCell ref="B188:B191"/>
    <mergeCell ref="L188:L191"/>
    <mergeCell ref="M188:M191"/>
    <mergeCell ref="A183:A187"/>
    <mergeCell ref="A158:A161"/>
    <mergeCell ref="B158:B161"/>
    <mergeCell ref="M170:M173"/>
    <mergeCell ref="A174:A178"/>
    <mergeCell ref="B174:B178"/>
    <mergeCell ref="C174:C178"/>
    <mergeCell ref="L174:L178"/>
    <mergeCell ref="M174:M178"/>
    <mergeCell ref="L158:L161"/>
    <mergeCell ref="A170:A173"/>
    <mergeCell ref="B170:B173"/>
    <mergeCell ref="C170:C173"/>
    <mergeCell ref="L170:L173"/>
    <mergeCell ref="M67:M70"/>
    <mergeCell ref="A59:A62"/>
    <mergeCell ref="B59:B62"/>
    <mergeCell ref="C59:C62"/>
    <mergeCell ref="M71:M76"/>
    <mergeCell ref="A71:A76"/>
    <mergeCell ref="B71:B76"/>
    <mergeCell ref="C71:C76"/>
    <mergeCell ref="A85:A88"/>
    <mergeCell ref="B85:B88"/>
    <mergeCell ref="C85:C88"/>
    <mergeCell ref="L85:L88"/>
    <mergeCell ref="M85:M88"/>
    <mergeCell ref="A77:A80"/>
    <mergeCell ref="B77:B80"/>
    <mergeCell ref="C77:C80"/>
    <mergeCell ref="L77:L80"/>
    <mergeCell ref="M77:M80"/>
    <mergeCell ref="A81:A84"/>
    <mergeCell ref="B81:B84"/>
    <mergeCell ref="C81:C84"/>
    <mergeCell ref="L81:L84"/>
    <mergeCell ref="M81:M84"/>
    <mergeCell ref="M55:M58"/>
    <mergeCell ref="A44:A50"/>
    <mergeCell ref="B44:B50"/>
    <mergeCell ref="C44:C50"/>
    <mergeCell ref="M59:M62"/>
    <mergeCell ref="A63:A66"/>
    <mergeCell ref="B63:B66"/>
    <mergeCell ref="C63:C66"/>
    <mergeCell ref="L63:L66"/>
    <mergeCell ref="M63:M66"/>
    <mergeCell ref="M44:M50"/>
    <mergeCell ref="M51:M54"/>
    <mergeCell ref="A55:A58"/>
    <mergeCell ref="B55:B58"/>
    <mergeCell ref="E6:H6"/>
    <mergeCell ref="K6:M6"/>
    <mergeCell ref="B9:M9"/>
    <mergeCell ref="A24:A27"/>
    <mergeCell ref="C24:C27"/>
    <mergeCell ref="B24:B27"/>
    <mergeCell ref="L24:L27"/>
    <mergeCell ref="M24:M27"/>
    <mergeCell ref="L11:L13"/>
    <mergeCell ref="B11:B13"/>
    <mergeCell ref="A11:A13"/>
    <mergeCell ref="F11:F13"/>
    <mergeCell ref="C11:C13"/>
    <mergeCell ref="D11:D13"/>
    <mergeCell ref="M11:M13"/>
    <mergeCell ref="G11:K12"/>
    <mergeCell ref="E11:E13"/>
    <mergeCell ref="A15:M15"/>
    <mergeCell ref="L16:L23"/>
    <mergeCell ref="M16:M23"/>
    <mergeCell ref="A16:A23"/>
    <mergeCell ref="B16:B23"/>
    <mergeCell ref="C16:C23"/>
    <mergeCell ref="L192:L195"/>
    <mergeCell ref="M192:M195"/>
    <mergeCell ref="L196:L199"/>
    <mergeCell ref="M196:M199"/>
    <mergeCell ref="B200:B203"/>
    <mergeCell ref="C200:C203"/>
    <mergeCell ref="L150:L153"/>
    <mergeCell ref="M150:M153"/>
    <mergeCell ref="C154:C157"/>
    <mergeCell ref="B154:B157"/>
    <mergeCell ref="L154:L157"/>
    <mergeCell ref="M154:M157"/>
    <mergeCell ref="M158:M161"/>
    <mergeCell ref="B162:B165"/>
    <mergeCell ref="C162:C165"/>
    <mergeCell ref="L162:L165"/>
    <mergeCell ref="M162:M165"/>
    <mergeCell ref="B166:B169"/>
    <mergeCell ref="C166:C169"/>
    <mergeCell ref="L166:L169"/>
    <mergeCell ref="M166:M169"/>
    <mergeCell ref="L179:L182"/>
    <mergeCell ref="M179:M182"/>
    <mergeCell ref="B183:B187"/>
    <mergeCell ref="A227:D227"/>
    <mergeCell ref="A154:A157"/>
    <mergeCell ref="A162:A165"/>
    <mergeCell ref="A166:A169"/>
    <mergeCell ref="M28:M31"/>
    <mergeCell ref="B28:B31"/>
    <mergeCell ref="A32:A35"/>
    <mergeCell ref="B32:B35"/>
    <mergeCell ref="C32:C35"/>
    <mergeCell ref="A98:A101"/>
    <mergeCell ref="B98:B101"/>
    <mergeCell ref="M32:M35"/>
    <mergeCell ref="A36:A39"/>
    <mergeCell ref="B36:B39"/>
    <mergeCell ref="M36:M39"/>
    <mergeCell ref="L32:L35"/>
    <mergeCell ref="A40:A43"/>
    <mergeCell ref="B40:B43"/>
    <mergeCell ref="C40:C43"/>
    <mergeCell ref="L40:L43"/>
    <mergeCell ref="M40:M43"/>
    <mergeCell ref="L44:L50"/>
    <mergeCell ref="A89:A93"/>
    <mergeCell ref="B89:B93"/>
    <mergeCell ref="A123:A127"/>
    <mergeCell ref="B123:B127"/>
    <mergeCell ref="C123:C127"/>
    <mergeCell ref="L123:L127"/>
    <mergeCell ref="B241:D241"/>
    <mergeCell ref="B244:D244"/>
    <mergeCell ref="A150:A153"/>
    <mergeCell ref="B150:B153"/>
    <mergeCell ref="A106:A109"/>
    <mergeCell ref="B106:B109"/>
    <mergeCell ref="C150:C153"/>
    <mergeCell ref="A192:A195"/>
    <mergeCell ref="C192:C195"/>
    <mergeCell ref="B192:B195"/>
    <mergeCell ref="A196:A199"/>
    <mergeCell ref="B196:B199"/>
    <mergeCell ref="C196:C199"/>
    <mergeCell ref="C158:C161"/>
    <mergeCell ref="A179:A182"/>
    <mergeCell ref="B179:B182"/>
    <mergeCell ref="C179:C182"/>
    <mergeCell ref="A114:A118"/>
    <mergeCell ref="B114:B118"/>
    <mergeCell ref="C114:C118"/>
    <mergeCell ref="B247:D247"/>
    <mergeCell ref="A229:D229"/>
    <mergeCell ref="A228:D228"/>
    <mergeCell ref="B245:D245"/>
    <mergeCell ref="B246:D246"/>
    <mergeCell ref="B236:D236"/>
    <mergeCell ref="B235:D235"/>
    <mergeCell ref="B237:D237"/>
    <mergeCell ref="A233:D233"/>
    <mergeCell ref="A232:D232"/>
    <mergeCell ref="B243:D243"/>
    <mergeCell ref="B242:D242"/>
    <mergeCell ref="B238:D238"/>
    <mergeCell ref="B239:D239"/>
    <mergeCell ref="B240:D240"/>
    <mergeCell ref="A230:D230"/>
    <mergeCell ref="A231:D231"/>
    <mergeCell ref="A28:A31"/>
    <mergeCell ref="C98:C101"/>
    <mergeCell ref="C28:C31"/>
    <mergeCell ref="L28:L31"/>
    <mergeCell ref="C36:C39"/>
    <mergeCell ref="L36:L39"/>
    <mergeCell ref="A51:A54"/>
    <mergeCell ref="B51:B54"/>
    <mergeCell ref="C51:C54"/>
    <mergeCell ref="L51:L54"/>
    <mergeCell ref="L59:L62"/>
    <mergeCell ref="L71:L76"/>
    <mergeCell ref="C55:C58"/>
    <mergeCell ref="L55:L58"/>
    <mergeCell ref="A67:A70"/>
    <mergeCell ref="B67:B70"/>
    <mergeCell ref="C67:C70"/>
    <mergeCell ref="L67:L70"/>
    <mergeCell ref="C89:C93"/>
    <mergeCell ref="A94:A97"/>
    <mergeCell ref="B94:B97"/>
    <mergeCell ref="C94:C97"/>
    <mergeCell ref="M123:M127"/>
    <mergeCell ref="L114:L118"/>
    <mergeCell ref="M114:M118"/>
    <mergeCell ref="L119:L122"/>
    <mergeCell ref="M119:M122"/>
    <mergeCell ref="B119:B122"/>
    <mergeCell ref="L94:L97"/>
    <mergeCell ref="M94:M97"/>
    <mergeCell ref="L89:L93"/>
    <mergeCell ref="M89:M93"/>
    <mergeCell ref="C106:C109"/>
    <mergeCell ref="L102:L105"/>
    <mergeCell ref="M102:M105"/>
    <mergeCell ref="L106:L109"/>
    <mergeCell ref="A119:A122"/>
    <mergeCell ref="L98:L101"/>
    <mergeCell ref="M98:M101"/>
    <mergeCell ref="A102:A105"/>
    <mergeCell ref="B102:B105"/>
    <mergeCell ref="C102:C105"/>
    <mergeCell ref="C119:C122"/>
    <mergeCell ref="M106:M109"/>
    <mergeCell ref="A110:A113"/>
    <mergeCell ref="B110:B113"/>
    <mergeCell ref="C110:C113"/>
    <mergeCell ref="L110:L113"/>
    <mergeCell ref="M110:M113"/>
    <mergeCell ref="A146:A149"/>
    <mergeCell ref="B146:B149"/>
    <mergeCell ref="C146:C149"/>
    <mergeCell ref="L146:L149"/>
    <mergeCell ref="M146:M149"/>
    <mergeCell ref="L141:L145"/>
    <mergeCell ref="M141:M145"/>
    <mergeCell ref="A137:A140"/>
    <mergeCell ref="B137:B140"/>
    <mergeCell ref="C137:C140"/>
    <mergeCell ref="L137:L140"/>
    <mergeCell ref="L132:L136"/>
    <mergeCell ref="M132:M136"/>
    <mergeCell ref="A132:A136"/>
    <mergeCell ref="B132:B136"/>
    <mergeCell ref="C132:C136"/>
    <mergeCell ref="A128:A131"/>
    <mergeCell ref="M137:M140"/>
    <mergeCell ref="A141:A145"/>
    <mergeCell ref="B141:B145"/>
    <mergeCell ref="C141:C145"/>
    <mergeCell ref="B128:B131"/>
    <mergeCell ref="C128:C131"/>
    <mergeCell ref="L128:L131"/>
    <mergeCell ref="M128:M131"/>
  </mergeCells>
  <pageMargins left="0.19685039370078741" right="0.19685039370078741" top="0.59055118110236227" bottom="0.19685039370078741" header="0.39370078740157483" footer="0"/>
  <pageSetup paperSize="9" scale="43" fitToHeight="0" orientation="landscape" r:id="rId1"/>
  <headerFooter alignWithMargins="0"/>
  <rowBreaks count="7" manualBreakCount="7">
    <brk id="54" max="12" man="1"/>
    <brk id="105" max="12" man="1"/>
    <brk id="131" max="12" man="1"/>
    <brk id="157" max="12" man="1"/>
    <brk id="178" max="12" man="1"/>
    <brk id="199" max="12" man="1"/>
    <brk id="22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49"/>
  <sheetViews>
    <sheetView view="pageBreakPreview" zoomScale="70" zoomScaleNormal="80" zoomScaleSheetLayoutView="70" workbookViewId="0">
      <pane ySplit="5" topLeftCell="A6" activePane="bottomLeft" state="frozen"/>
      <selection pane="bottomLeft" activeCell="B39" sqref="B39:B42"/>
    </sheetView>
  </sheetViews>
  <sheetFormatPr defaultColWidth="9.140625" defaultRowHeight="15" x14ac:dyDescent="0.25"/>
  <cols>
    <col min="1" max="1" width="8.28515625" style="2" customWidth="1"/>
    <col min="2" max="2" width="68.42578125" style="2" customWidth="1"/>
    <col min="3" max="3" width="18.5703125" style="22" customWidth="1"/>
    <col min="4" max="4" width="31.140625" style="2" customWidth="1"/>
    <col min="5" max="5" width="20.7109375" style="2" hidden="1" customWidth="1"/>
    <col min="6" max="6" width="21.7109375" style="15" customWidth="1"/>
    <col min="7" max="7" width="18" style="2" customWidth="1"/>
    <col min="8" max="9" width="18" style="53" customWidth="1"/>
    <col min="10" max="11" width="18" style="2" customWidth="1"/>
    <col min="12" max="12" width="23.42578125" style="2" customWidth="1"/>
    <col min="13" max="13" width="45.85546875" style="2" customWidth="1"/>
    <col min="14" max="16" width="23.140625" style="225" customWidth="1"/>
    <col min="17" max="17" width="20" style="2" customWidth="1"/>
    <col min="18" max="18" width="23.42578125" style="15" customWidth="1"/>
    <col min="19" max="19" width="9.140625" style="15" customWidth="1"/>
    <col min="20" max="20" width="12.42578125" style="15" customWidth="1"/>
    <col min="21" max="28" width="9.140625" style="15"/>
    <col min="29" max="16384" width="9.140625" style="2"/>
  </cols>
  <sheetData>
    <row r="1" spans="1:16" ht="15.75" customHeight="1" x14ac:dyDescent="0.25">
      <c r="A1" s="1"/>
      <c r="B1" s="3"/>
      <c r="C1" s="4"/>
      <c r="D1" s="5"/>
      <c r="E1" s="5"/>
      <c r="F1" s="176"/>
      <c r="G1" s="6"/>
      <c r="H1" s="51"/>
      <c r="I1" s="51"/>
      <c r="J1" s="6"/>
      <c r="K1" s="6"/>
      <c r="L1" s="112"/>
      <c r="M1" s="112"/>
      <c r="N1" s="221"/>
      <c r="O1" s="221"/>
      <c r="P1" s="221"/>
    </row>
    <row r="2" spans="1:16" ht="15.75" customHeight="1" x14ac:dyDescent="0.25">
      <c r="A2" s="311" t="s">
        <v>0</v>
      </c>
      <c r="B2" s="309" t="s">
        <v>6</v>
      </c>
      <c r="C2" s="309" t="s">
        <v>60</v>
      </c>
      <c r="D2" s="309" t="s">
        <v>7</v>
      </c>
      <c r="E2" s="309" t="s">
        <v>50</v>
      </c>
      <c r="F2" s="314" t="s">
        <v>8</v>
      </c>
      <c r="G2" s="309" t="s">
        <v>19</v>
      </c>
      <c r="H2" s="309"/>
      <c r="I2" s="309"/>
      <c r="J2" s="309"/>
      <c r="K2" s="309"/>
      <c r="L2" s="310" t="s">
        <v>9</v>
      </c>
      <c r="M2" s="310" t="s">
        <v>2</v>
      </c>
      <c r="N2" s="41"/>
      <c r="O2" s="41"/>
      <c r="P2" s="41"/>
    </row>
    <row r="3" spans="1:16" ht="15.75" customHeight="1" x14ac:dyDescent="0.25">
      <c r="A3" s="312"/>
      <c r="B3" s="309"/>
      <c r="C3" s="309"/>
      <c r="D3" s="313"/>
      <c r="E3" s="309"/>
      <c r="F3" s="314"/>
      <c r="G3" s="309"/>
      <c r="H3" s="309"/>
      <c r="I3" s="309"/>
      <c r="J3" s="309"/>
      <c r="K3" s="309"/>
      <c r="L3" s="310"/>
      <c r="M3" s="310"/>
      <c r="N3" s="41"/>
      <c r="O3" s="41"/>
      <c r="P3" s="41"/>
    </row>
    <row r="4" spans="1:16" ht="46.5" customHeight="1" x14ac:dyDescent="0.25">
      <c r="A4" s="312"/>
      <c r="B4" s="309"/>
      <c r="C4" s="313"/>
      <c r="D4" s="313"/>
      <c r="E4" s="309"/>
      <c r="F4" s="314"/>
      <c r="G4" s="175" t="s">
        <v>51</v>
      </c>
      <c r="H4" s="175" t="s">
        <v>52</v>
      </c>
      <c r="I4" s="222" t="s">
        <v>134</v>
      </c>
      <c r="J4" s="222" t="s">
        <v>135</v>
      </c>
      <c r="K4" s="222" t="s">
        <v>136</v>
      </c>
      <c r="L4" s="310"/>
      <c r="M4" s="310"/>
      <c r="N4" s="41"/>
      <c r="O4" s="41"/>
      <c r="P4" s="41"/>
    </row>
    <row r="5" spans="1:16" ht="21" customHeight="1" x14ac:dyDescent="0.25">
      <c r="A5" s="8">
        <v>1</v>
      </c>
      <c r="B5" s="8">
        <v>2</v>
      </c>
      <c r="C5" s="8" t="s">
        <v>10</v>
      </c>
      <c r="D5" s="8" t="s">
        <v>43</v>
      </c>
      <c r="E5" s="8" t="s">
        <v>11</v>
      </c>
      <c r="F5" s="9" t="s">
        <v>11</v>
      </c>
      <c r="G5" s="8" t="s">
        <v>41</v>
      </c>
      <c r="H5" s="227" t="s">
        <v>12</v>
      </c>
      <c r="I5" s="227" t="s">
        <v>42</v>
      </c>
      <c r="J5" s="8" t="s">
        <v>13</v>
      </c>
      <c r="K5" s="8" t="s">
        <v>14</v>
      </c>
      <c r="L5" s="8" t="s">
        <v>16</v>
      </c>
      <c r="M5" s="8" t="s">
        <v>17</v>
      </c>
      <c r="N5" s="39"/>
      <c r="O5" s="39"/>
      <c r="P5" s="39"/>
    </row>
    <row r="6" spans="1:16" ht="33" customHeight="1" x14ac:dyDescent="0.25">
      <c r="A6" s="310" t="s">
        <v>92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41"/>
      <c r="O6" s="41"/>
      <c r="P6" s="41"/>
    </row>
    <row r="7" spans="1:16" s="15" customFormat="1" ht="18.75" customHeight="1" x14ac:dyDescent="0.25">
      <c r="A7" s="245" t="s">
        <v>15</v>
      </c>
      <c r="B7" s="246" t="s">
        <v>214</v>
      </c>
      <c r="C7" s="246" t="s">
        <v>138</v>
      </c>
      <c r="D7" s="226" t="s">
        <v>3</v>
      </c>
      <c r="E7" s="149">
        <f>E10</f>
        <v>1000</v>
      </c>
      <c r="F7" s="68">
        <f t="shared" ref="F7:F64" si="0">SUM(G7:K7)</f>
        <v>5000</v>
      </c>
      <c r="G7" s="149">
        <f>G10</f>
        <v>1000</v>
      </c>
      <c r="H7" s="149">
        <f>H10</f>
        <v>1000</v>
      </c>
      <c r="I7" s="149">
        <f>I10</f>
        <v>1000</v>
      </c>
      <c r="J7" s="149">
        <f>J10</f>
        <v>1000</v>
      </c>
      <c r="K7" s="149">
        <f>K10</f>
        <v>1000</v>
      </c>
      <c r="L7" s="255"/>
      <c r="M7" s="256"/>
      <c r="N7" s="174"/>
      <c r="O7" s="174"/>
      <c r="P7" s="174"/>
    </row>
    <row r="8" spans="1:16" s="15" customFormat="1" ht="38.25" customHeight="1" x14ac:dyDescent="0.25">
      <c r="A8" s="245"/>
      <c r="B8" s="246"/>
      <c r="C8" s="246"/>
      <c r="D8" s="226" t="s">
        <v>46</v>
      </c>
      <c r="E8" s="149"/>
      <c r="F8" s="68">
        <f t="shared" si="0"/>
        <v>0</v>
      </c>
      <c r="G8" s="150">
        <f>G12</f>
        <v>0</v>
      </c>
      <c r="H8" s="150">
        <f t="shared" ref="H8:K8" si="1">H12</f>
        <v>0</v>
      </c>
      <c r="I8" s="150">
        <f t="shared" si="1"/>
        <v>0</v>
      </c>
      <c r="J8" s="150">
        <f t="shared" si="1"/>
        <v>0</v>
      </c>
      <c r="K8" s="150">
        <f t="shared" si="1"/>
        <v>0</v>
      </c>
      <c r="L8" s="255"/>
      <c r="M8" s="256"/>
      <c r="N8" s="174"/>
      <c r="O8" s="174"/>
      <c r="P8" s="174"/>
    </row>
    <row r="9" spans="1:16" s="15" customFormat="1" ht="37.5" x14ac:dyDescent="0.25">
      <c r="A9" s="245"/>
      <c r="B9" s="246"/>
      <c r="C9" s="246"/>
      <c r="D9" s="226" t="s">
        <v>1</v>
      </c>
      <c r="E9" s="149"/>
      <c r="F9" s="68">
        <f t="shared" si="0"/>
        <v>0</v>
      </c>
      <c r="G9" s="150">
        <f>G13</f>
        <v>0</v>
      </c>
      <c r="H9" s="150">
        <f t="shared" ref="H9:K9" si="2">H13</f>
        <v>0</v>
      </c>
      <c r="I9" s="150">
        <f t="shared" si="2"/>
        <v>0</v>
      </c>
      <c r="J9" s="150">
        <f t="shared" si="2"/>
        <v>0</v>
      </c>
      <c r="K9" s="150">
        <f t="shared" si="2"/>
        <v>0</v>
      </c>
      <c r="L9" s="255"/>
      <c r="M9" s="256"/>
      <c r="N9" s="174"/>
      <c r="O9" s="174"/>
      <c r="P9" s="174"/>
    </row>
    <row r="10" spans="1:16" s="15" customFormat="1" ht="58.5" customHeight="1" x14ac:dyDescent="0.25">
      <c r="A10" s="245"/>
      <c r="B10" s="246"/>
      <c r="C10" s="246"/>
      <c r="D10" s="226" t="s">
        <v>55</v>
      </c>
      <c r="E10" s="150">
        <f>E14</f>
        <v>1000</v>
      </c>
      <c r="F10" s="68">
        <f t="shared" si="0"/>
        <v>5000</v>
      </c>
      <c r="G10" s="150">
        <f>G14</f>
        <v>1000</v>
      </c>
      <c r="H10" s="150">
        <f t="shared" ref="H10:K10" si="3">H14</f>
        <v>1000</v>
      </c>
      <c r="I10" s="150">
        <f t="shared" si="3"/>
        <v>1000</v>
      </c>
      <c r="J10" s="150">
        <f t="shared" si="3"/>
        <v>1000</v>
      </c>
      <c r="K10" s="150">
        <f t="shared" si="3"/>
        <v>1000</v>
      </c>
      <c r="L10" s="255"/>
      <c r="M10" s="256"/>
      <c r="N10" s="174"/>
      <c r="O10" s="174"/>
      <c r="P10" s="174"/>
    </row>
    <row r="11" spans="1:16" s="15" customFormat="1" ht="37.5" x14ac:dyDescent="0.25">
      <c r="A11" s="245"/>
      <c r="B11" s="246"/>
      <c r="C11" s="246"/>
      <c r="D11" s="226" t="s">
        <v>139</v>
      </c>
      <c r="E11" s="150"/>
      <c r="F11" s="68">
        <f t="shared" si="0"/>
        <v>0</v>
      </c>
      <c r="G11" s="150">
        <f>G15</f>
        <v>0</v>
      </c>
      <c r="H11" s="150">
        <f t="shared" ref="H11:K11" si="4">H15</f>
        <v>0</v>
      </c>
      <c r="I11" s="150">
        <f t="shared" si="4"/>
        <v>0</v>
      </c>
      <c r="J11" s="150">
        <f t="shared" si="4"/>
        <v>0</v>
      </c>
      <c r="K11" s="150">
        <f t="shared" si="4"/>
        <v>0</v>
      </c>
      <c r="L11" s="255"/>
      <c r="M11" s="256"/>
      <c r="N11" s="174"/>
      <c r="O11" s="174"/>
      <c r="P11" s="174"/>
    </row>
    <row r="12" spans="1:16" s="15" customFormat="1" ht="44.25" customHeight="1" x14ac:dyDescent="0.25">
      <c r="A12" s="250" t="s">
        <v>31</v>
      </c>
      <c r="B12" s="251" t="s">
        <v>215</v>
      </c>
      <c r="C12" s="252" t="s">
        <v>138</v>
      </c>
      <c r="D12" s="164" t="s">
        <v>46</v>
      </c>
      <c r="E12" s="166"/>
      <c r="F12" s="68">
        <f t="shared" si="0"/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253" t="s">
        <v>4</v>
      </c>
      <c r="M12" s="254" t="s">
        <v>88</v>
      </c>
      <c r="N12" s="174"/>
      <c r="O12" s="174"/>
      <c r="P12" s="174"/>
    </row>
    <row r="13" spans="1:16" s="15" customFormat="1" ht="37.5" x14ac:dyDescent="0.25">
      <c r="A13" s="250"/>
      <c r="B13" s="251"/>
      <c r="C13" s="252"/>
      <c r="D13" s="164" t="s">
        <v>1</v>
      </c>
      <c r="E13" s="166"/>
      <c r="F13" s="68">
        <f t="shared" si="0"/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253"/>
      <c r="M13" s="254"/>
      <c r="N13" s="174"/>
      <c r="O13" s="174"/>
      <c r="P13" s="174"/>
    </row>
    <row r="14" spans="1:16" s="53" customFormat="1" ht="56.25" x14ac:dyDescent="0.25">
      <c r="A14" s="250"/>
      <c r="B14" s="251"/>
      <c r="C14" s="252"/>
      <c r="D14" s="229" t="s">
        <v>55</v>
      </c>
      <c r="E14" s="82">
        <v>1000</v>
      </c>
      <c r="F14" s="68">
        <f t="shared" si="0"/>
        <v>5000</v>
      </c>
      <c r="G14" s="82">
        <v>1000</v>
      </c>
      <c r="H14" s="82">
        <v>1000</v>
      </c>
      <c r="I14" s="82">
        <v>1000</v>
      </c>
      <c r="J14" s="82">
        <v>1000</v>
      </c>
      <c r="K14" s="82">
        <v>1000</v>
      </c>
      <c r="L14" s="253"/>
      <c r="M14" s="254"/>
      <c r="N14" s="91"/>
      <c r="O14" s="178"/>
      <c r="P14" s="90"/>
    </row>
    <row r="15" spans="1:16" s="53" customFormat="1" ht="37.5" x14ac:dyDescent="0.25">
      <c r="A15" s="250"/>
      <c r="B15" s="251"/>
      <c r="C15" s="252"/>
      <c r="D15" s="229" t="s">
        <v>139</v>
      </c>
      <c r="E15" s="82"/>
      <c r="F15" s="68">
        <f t="shared" si="0"/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253"/>
      <c r="M15" s="254"/>
      <c r="N15" s="91"/>
      <c r="O15" s="178"/>
      <c r="P15" s="90"/>
    </row>
    <row r="16" spans="1:16" s="15" customFormat="1" ht="18.75" x14ac:dyDescent="0.3">
      <c r="A16" s="290" t="s">
        <v>110</v>
      </c>
      <c r="B16" s="291" t="s">
        <v>243</v>
      </c>
      <c r="C16" s="292" t="s">
        <v>138</v>
      </c>
      <c r="D16" s="169" t="s">
        <v>3</v>
      </c>
      <c r="E16" s="170" t="e">
        <f>E19+E21</f>
        <v>#REF!</v>
      </c>
      <c r="F16" s="68">
        <f t="shared" si="0"/>
        <v>641820.59900000005</v>
      </c>
      <c r="G16" s="170">
        <f>G17+G18+G19+G20</f>
        <v>128651.84299999999</v>
      </c>
      <c r="H16" s="170">
        <f>H17+H18+H19+H20</f>
        <v>128292.189</v>
      </c>
      <c r="I16" s="170">
        <f t="shared" ref="I16:K16" si="5">I17+I18+I19+I20</f>
        <v>128292.189</v>
      </c>
      <c r="J16" s="170">
        <f t="shared" si="5"/>
        <v>128292.189</v>
      </c>
      <c r="K16" s="170">
        <f t="shared" si="5"/>
        <v>128292.189</v>
      </c>
      <c r="L16" s="317"/>
      <c r="M16" s="317"/>
      <c r="N16" s="181"/>
      <c r="O16" s="181"/>
      <c r="P16" s="181"/>
    </row>
    <row r="17" spans="1:20" s="15" customFormat="1" ht="37.5" x14ac:dyDescent="0.3">
      <c r="A17" s="290"/>
      <c r="B17" s="291"/>
      <c r="C17" s="292"/>
      <c r="D17" s="226" t="s">
        <v>46</v>
      </c>
      <c r="E17" s="170"/>
      <c r="F17" s="68">
        <f t="shared" si="0"/>
        <v>0</v>
      </c>
      <c r="G17" s="171">
        <f>G22+G27+G31+G35+G39</f>
        <v>0</v>
      </c>
      <c r="H17" s="171">
        <f t="shared" ref="H17:K17" si="6">H22+H27+H31+H35+H39</f>
        <v>0</v>
      </c>
      <c r="I17" s="171">
        <f t="shared" si="6"/>
        <v>0</v>
      </c>
      <c r="J17" s="171">
        <f t="shared" si="6"/>
        <v>0</v>
      </c>
      <c r="K17" s="171">
        <f t="shared" si="6"/>
        <v>0</v>
      </c>
      <c r="L17" s="317"/>
      <c r="M17" s="317"/>
      <c r="N17" s="181"/>
      <c r="O17" s="181"/>
      <c r="P17" s="181"/>
    </row>
    <row r="18" spans="1:20" s="15" customFormat="1" ht="37.5" x14ac:dyDescent="0.3">
      <c r="A18" s="290"/>
      <c r="B18" s="291"/>
      <c r="C18" s="292"/>
      <c r="D18" s="226" t="s">
        <v>1</v>
      </c>
      <c r="E18" s="170"/>
      <c r="F18" s="68">
        <f t="shared" si="0"/>
        <v>0</v>
      </c>
      <c r="G18" s="171">
        <f>G23+G28+G32+G36+G40</f>
        <v>0</v>
      </c>
      <c r="H18" s="171">
        <f t="shared" ref="H18:K18" si="7">H23+H28+H32+H36+H40</f>
        <v>0</v>
      </c>
      <c r="I18" s="171">
        <f t="shared" si="7"/>
        <v>0</v>
      </c>
      <c r="J18" s="171">
        <f t="shared" si="7"/>
        <v>0</v>
      </c>
      <c r="K18" s="171">
        <f t="shared" si="7"/>
        <v>0</v>
      </c>
      <c r="L18" s="317"/>
      <c r="M18" s="317"/>
      <c r="N18" s="181"/>
      <c r="O18" s="181"/>
      <c r="P18" s="181"/>
    </row>
    <row r="19" spans="1:20" s="15" customFormat="1" ht="56.25" x14ac:dyDescent="0.3">
      <c r="A19" s="290"/>
      <c r="B19" s="291"/>
      <c r="C19" s="292"/>
      <c r="D19" s="226" t="s">
        <v>55</v>
      </c>
      <c r="E19" s="171" t="e">
        <f>E24+E29+E33+#REF!+#REF!</f>
        <v>#REF!</v>
      </c>
      <c r="F19" s="68">
        <f t="shared" si="0"/>
        <v>482516.58899999998</v>
      </c>
      <c r="G19" s="171">
        <f>G24+G29+G33+G37+G41</f>
        <v>96791.040999999997</v>
      </c>
      <c r="H19" s="171">
        <f t="shared" ref="H19:K19" si="8">H24+H29+H33+H37+H41</f>
        <v>96431.387000000002</v>
      </c>
      <c r="I19" s="171">
        <f t="shared" si="8"/>
        <v>96431.387000000002</v>
      </c>
      <c r="J19" s="171">
        <f t="shared" si="8"/>
        <v>96431.387000000002</v>
      </c>
      <c r="K19" s="171">
        <f t="shared" si="8"/>
        <v>96431.387000000002</v>
      </c>
      <c r="L19" s="317"/>
      <c r="M19" s="317"/>
      <c r="N19" s="181"/>
      <c r="O19" s="181"/>
      <c r="P19" s="181"/>
      <c r="Q19" s="14"/>
    </row>
    <row r="20" spans="1:20" s="15" customFormat="1" ht="37.5" x14ac:dyDescent="0.3">
      <c r="A20" s="290"/>
      <c r="B20" s="291"/>
      <c r="C20" s="292"/>
      <c r="D20" s="226" t="s">
        <v>139</v>
      </c>
      <c r="E20" s="171"/>
      <c r="F20" s="68">
        <f t="shared" si="0"/>
        <v>159304.01</v>
      </c>
      <c r="G20" s="171">
        <f>G25+G30+G34+G38+G42</f>
        <v>31860.802</v>
      </c>
      <c r="H20" s="171">
        <f t="shared" ref="H20:K20" si="9">H25+H30+H34+H38+H42</f>
        <v>31860.802</v>
      </c>
      <c r="I20" s="171">
        <f t="shared" si="9"/>
        <v>31860.802</v>
      </c>
      <c r="J20" s="171">
        <f t="shared" si="9"/>
        <v>31860.802</v>
      </c>
      <c r="K20" s="171">
        <f t="shared" si="9"/>
        <v>31860.802</v>
      </c>
      <c r="L20" s="317"/>
      <c r="M20" s="317"/>
      <c r="N20" s="181"/>
      <c r="O20" s="181"/>
      <c r="P20" s="181"/>
      <c r="Q20" s="14"/>
    </row>
    <row r="21" spans="1:20" s="15" customFormat="1" ht="93.75" x14ac:dyDescent="0.3">
      <c r="A21" s="290"/>
      <c r="B21" s="291"/>
      <c r="C21" s="292"/>
      <c r="D21" s="234" t="s">
        <v>143</v>
      </c>
      <c r="E21" s="151">
        <f>E26</f>
        <v>13879.4</v>
      </c>
      <c r="F21" s="68">
        <f t="shared" si="0"/>
        <v>159304.01</v>
      </c>
      <c r="G21" s="151">
        <f>G26</f>
        <v>31860.802</v>
      </c>
      <c r="H21" s="151">
        <f t="shared" ref="H21:K21" si="10">H26</f>
        <v>31860.802</v>
      </c>
      <c r="I21" s="151">
        <f t="shared" si="10"/>
        <v>31860.802</v>
      </c>
      <c r="J21" s="151">
        <f t="shared" si="10"/>
        <v>31860.802</v>
      </c>
      <c r="K21" s="151">
        <f t="shared" si="10"/>
        <v>31860.802</v>
      </c>
      <c r="L21" s="317"/>
      <c r="M21" s="317"/>
      <c r="N21" s="181"/>
      <c r="O21" s="181"/>
      <c r="P21" s="181"/>
      <c r="R21" s="14"/>
      <c r="S21" s="182"/>
      <c r="T21" s="182"/>
    </row>
    <row r="22" spans="1:20" s="15" customFormat="1" ht="39" customHeight="1" x14ac:dyDescent="0.3">
      <c r="A22" s="287" t="s">
        <v>35</v>
      </c>
      <c r="B22" s="288" t="s">
        <v>216</v>
      </c>
      <c r="C22" s="289" t="s">
        <v>138</v>
      </c>
      <c r="D22" s="175" t="s">
        <v>46</v>
      </c>
      <c r="E22" s="168"/>
      <c r="F22" s="68">
        <f t="shared" si="0"/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266" t="s">
        <v>82</v>
      </c>
      <c r="M22" s="266" t="s">
        <v>89</v>
      </c>
      <c r="N22" s="181"/>
      <c r="O22" s="181"/>
      <c r="P22" s="181"/>
      <c r="R22" s="14"/>
      <c r="S22" s="182"/>
      <c r="T22" s="182"/>
    </row>
    <row r="23" spans="1:20" s="15" customFormat="1" ht="37.5" x14ac:dyDescent="0.3">
      <c r="A23" s="287"/>
      <c r="B23" s="288"/>
      <c r="C23" s="289"/>
      <c r="D23" s="175" t="s">
        <v>1</v>
      </c>
      <c r="E23" s="168"/>
      <c r="F23" s="68">
        <f t="shared" si="0"/>
        <v>0</v>
      </c>
      <c r="G23" s="183">
        <v>0</v>
      </c>
      <c r="H23" s="183">
        <v>0</v>
      </c>
      <c r="I23" s="183">
        <v>0</v>
      </c>
      <c r="J23" s="183">
        <v>0</v>
      </c>
      <c r="K23" s="183">
        <v>0</v>
      </c>
      <c r="L23" s="266"/>
      <c r="M23" s="266"/>
      <c r="N23" s="181"/>
      <c r="O23" s="181"/>
      <c r="P23" s="181"/>
      <c r="R23" s="14"/>
      <c r="S23" s="182"/>
      <c r="T23" s="182"/>
    </row>
    <row r="24" spans="1:20" s="53" customFormat="1" ht="56.25" customHeight="1" x14ac:dyDescent="0.25">
      <c r="A24" s="287"/>
      <c r="B24" s="288"/>
      <c r="C24" s="289"/>
      <c r="D24" s="222" t="s">
        <v>55</v>
      </c>
      <c r="E24" s="78">
        <v>74745.548039999994</v>
      </c>
      <c r="F24" s="68">
        <f t="shared" si="0"/>
        <v>454484.58900000009</v>
      </c>
      <c r="G24" s="79">
        <f>91020.075+164.566</f>
        <v>91184.641000000003</v>
      </c>
      <c r="H24" s="79">
        <f>90660.421+164.566</f>
        <v>90824.987000000008</v>
      </c>
      <c r="I24" s="79">
        <f>90660.421+164.566</f>
        <v>90824.987000000008</v>
      </c>
      <c r="J24" s="79">
        <f t="shared" ref="J24:K24" si="11">90660.421+164.566</f>
        <v>90824.987000000008</v>
      </c>
      <c r="K24" s="79">
        <f t="shared" si="11"/>
        <v>90824.987000000008</v>
      </c>
      <c r="L24" s="266"/>
      <c r="M24" s="266"/>
      <c r="N24" s="91"/>
      <c r="O24" s="91"/>
      <c r="P24" s="91"/>
    </row>
    <row r="25" spans="1:20" s="53" customFormat="1" ht="37.5" x14ac:dyDescent="0.25">
      <c r="A25" s="287"/>
      <c r="B25" s="288"/>
      <c r="C25" s="289"/>
      <c r="D25" s="222" t="s">
        <v>139</v>
      </c>
      <c r="E25" s="78"/>
      <c r="F25" s="68">
        <f t="shared" si="0"/>
        <v>159304.01</v>
      </c>
      <c r="G25" s="79">
        <f>G26</f>
        <v>31860.802</v>
      </c>
      <c r="H25" s="79">
        <f t="shared" ref="H25:K25" si="12">H26</f>
        <v>31860.802</v>
      </c>
      <c r="I25" s="79">
        <f t="shared" si="12"/>
        <v>31860.802</v>
      </c>
      <c r="J25" s="79">
        <f t="shared" si="12"/>
        <v>31860.802</v>
      </c>
      <c r="K25" s="79">
        <f t="shared" si="12"/>
        <v>31860.802</v>
      </c>
      <c r="L25" s="266"/>
      <c r="M25" s="266"/>
      <c r="N25" s="91"/>
      <c r="O25" s="91"/>
      <c r="P25" s="91"/>
    </row>
    <row r="26" spans="1:20" s="53" customFormat="1" ht="93.75" x14ac:dyDescent="0.25">
      <c r="A26" s="287"/>
      <c r="B26" s="288"/>
      <c r="C26" s="289"/>
      <c r="D26" s="222" t="s">
        <v>143</v>
      </c>
      <c r="E26" s="78">
        <v>13879.4</v>
      </c>
      <c r="F26" s="68">
        <f t="shared" si="0"/>
        <v>159304.01</v>
      </c>
      <c r="G26" s="148">
        <v>31860.802</v>
      </c>
      <c r="H26" s="148">
        <v>31860.802</v>
      </c>
      <c r="I26" s="148">
        <v>31860.802</v>
      </c>
      <c r="J26" s="148">
        <v>31860.802</v>
      </c>
      <c r="K26" s="148">
        <v>31860.802</v>
      </c>
      <c r="L26" s="266"/>
      <c r="M26" s="266"/>
      <c r="N26" s="91"/>
      <c r="O26" s="91"/>
      <c r="P26" s="91"/>
    </row>
    <row r="27" spans="1:20" s="53" customFormat="1" ht="34.5" customHeight="1" x14ac:dyDescent="0.25">
      <c r="A27" s="262" t="s">
        <v>36</v>
      </c>
      <c r="B27" s="263" t="s">
        <v>218</v>
      </c>
      <c r="C27" s="264" t="s">
        <v>138</v>
      </c>
      <c r="D27" s="222" t="s">
        <v>46</v>
      </c>
      <c r="E27" s="78"/>
      <c r="F27" s="68">
        <f t="shared" si="0"/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265" t="s">
        <v>4</v>
      </c>
      <c r="M27" s="266" t="s">
        <v>225</v>
      </c>
      <c r="N27" s="91"/>
      <c r="O27" s="91"/>
      <c r="P27" s="91"/>
    </row>
    <row r="28" spans="1:20" s="53" customFormat="1" ht="37.5" x14ac:dyDescent="0.25">
      <c r="A28" s="262"/>
      <c r="B28" s="263"/>
      <c r="C28" s="264"/>
      <c r="D28" s="222" t="s">
        <v>1</v>
      </c>
      <c r="E28" s="78"/>
      <c r="F28" s="68">
        <f t="shared" si="0"/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265"/>
      <c r="M28" s="266"/>
      <c r="N28" s="91"/>
      <c r="O28" s="91"/>
      <c r="P28" s="91"/>
    </row>
    <row r="29" spans="1:20" s="53" customFormat="1" ht="56.25" x14ac:dyDescent="0.25">
      <c r="A29" s="262"/>
      <c r="B29" s="263"/>
      <c r="C29" s="264"/>
      <c r="D29" s="233" t="s">
        <v>55</v>
      </c>
      <c r="E29" s="79">
        <v>0</v>
      </c>
      <c r="F29" s="68">
        <f t="shared" si="0"/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265"/>
      <c r="M29" s="266"/>
      <c r="N29" s="223"/>
      <c r="O29" s="223"/>
      <c r="P29" s="223"/>
    </row>
    <row r="30" spans="1:20" s="53" customFormat="1" ht="37.5" x14ac:dyDescent="0.25">
      <c r="A30" s="262"/>
      <c r="B30" s="263"/>
      <c r="C30" s="264"/>
      <c r="D30" s="233" t="s">
        <v>139</v>
      </c>
      <c r="E30" s="79"/>
      <c r="F30" s="68">
        <f t="shared" si="0"/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265"/>
      <c r="M30" s="266"/>
      <c r="N30" s="223"/>
      <c r="O30" s="223"/>
      <c r="P30" s="223"/>
    </row>
    <row r="31" spans="1:20" s="53" customFormat="1" ht="45.75" customHeight="1" x14ac:dyDescent="0.25">
      <c r="A31" s="262" t="s">
        <v>37</v>
      </c>
      <c r="B31" s="263" t="s">
        <v>217</v>
      </c>
      <c r="C31" s="264" t="s">
        <v>138</v>
      </c>
      <c r="D31" s="233" t="s">
        <v>46</v>
      </c>
      <c r="E31" s="79"/>
      <c r="F31" s="68">
        <f t="shared" si="0"/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265" t="s">
        <v>4</v>
      </c>
      <c r="M31" s="266" t="s">
        <v>103</v>
      </c>
      <c r="N31" s="223"/>
      <c r="O31" s="223"/>
      <c r="P31" s="223"/>
    </row>
    <row r="32" spans="1:20" s="53" customFormat="1" ht="37.5" x14ac:dyDescent="0.25">
      <c r="A32" s="262"/>
      <c r="B32" s="263"/>
      <c r="C32" s="264"/>
      <c r="D32" s="233" t="s">
        <v>1</v>
      </c>
      <c r="E32" s="79"/>
      <c r="F32" s="68">
        <f t="shared" si="0"/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265"/>
      <c r="M32" s="266"/>
      <c r="N32" s="223"/>
      <c r="O32" s="223"/>
      <c r="P32" s="223"/>
    </row>
    <row r="33" spans="1:16" s="53" customFormat="1" ht="56.25" x14ac:dyDescent="0.25">
      <c r="A33" s="262"/>
      <c r="B33" s="263"/>
      <c r="C33" s="264"/>
      <c r="D33" s="233" t="s">
        <v>55</v>
      </c>
      <c r="E33" s="79">
        <v>0</v>
      </c>
      <c r="F33" s="68">
        <f t="shared" si="0"/>
        <v>28032</v>
      </c>
      <c r="G33" s="79">
        <v>5606.4</v>
      </c>
      <c r="H33" s="79">
        <v>5606.4</v>
      </c>
      <c r="I33" s="79">
        <v>5606.4</v>
      </c>
      <c r="J33" s="79">
        <v>5606.4</v>
      </c>
      <c r="K33" s="79">
        <v>5606.4</v>
      </c>
      <c r="L33" s="265"/>
      <c r="M33" s="266"/>
      <c r="N33" s="223"/>
      <c r="O33" s="223"/>
      <c r="P33" s="223"/>
    </row>
    <row r="34" spans="1:16" s="53" customFormat="1" ht="37.5" x14ac:dyDescent="0.25">
      <c r="A34" s="262"/>
      <c r="B34" s="263"/>
      <c r="C34" s="264"/>
      <c r="D34" s="233" t="s">
        <v>139</v>
      </c>
      <c r="E34" s="79"/>
      <c r="F34" s="68">
        <f t="shared" si="0"/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265"/>
      <c r="M34" s="266"/>
      <c r="N34" s="223"/>
      <c r="O34" s="223"/>
      <c r="P34" s="223"/>
    </row>
    <row r="35" spans="1:16" s="53" customFormat="1" ht="45.75" customHeight="1" x14ac:dyDescent="0.25">
      <c r="A35" s="262" t="s">
        <v>38</v>
      </c>
      <c r="B35" s="263" t="s">
        <v>219</v>
      </c>
      <c r="C35" s="264" t="s">
        <v>138</v>
      </c>
      <c r="D35" s="233" t="s">
        <v>46</v>
      </c>
      <c r="E35" s="79"/>
      <c r="F35" s="68">
        <f t="shared" ref="F35:F38" si="13">SUM(G35:K35)</f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265" t="s">
        <v>4</v>
      </c>
      <c r="M35" s="266" t="s">
        <v>220</v>
      </c>
      <c r="N35" s="223"/>
      <c r="O35" s="223"/>
      <c r="P35" s="223"/>
    </row>
    <row r="36" spans="1:16" s="53" customFormat="1" ht="37.5" x14ac:dyDescent="0.25">
      <c r="A36" s="262"/>
      <c r="B36" s="263"/>
      <c r="C36" s="264"/>
      <c r="D36" s="233" t="s">
        <v>1</v>
      </c>
      <c r="E36" s="79"/>
      <c r="F36" s="68">
        <f t="shared" si="13"/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265"/>
      <c r="M36" s="266"/>
      <c r="N36" s="223"/>
      <c r="O36" s="223"/>
      <c r="P36" s="223"/>
    </row>
    <row r="37" spans="1:16" s="53" customFormat="1" ht="56.25" x14ac:dyDescent="0.25">
      <c r="A37" s="262"/>
      <c r="B37" s="263"/>
      <c r="C37" s="264"/>
      <c r="D37" s="233" t="s">
        <v>55</v>
      </c>
      <c r="E37" s="79">
        <v>0</v>
      </c>
      <c r="F37" s="68">
        <f t="shared" si="13"/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265"/>
      <c r="M37" s="266"/>
      <c r="N37" s="223"/>
      <c r="O37" s="223"/>
      <c r="P37" s="223"/>
    </row>
    <row r="38" spans="1:16" s="53" customFormat="1" ht="37.5" x14ac:dyDescent="0.25">
      <c r="A38" s="262"/>
      <c r="B38" s="263"/>
      <c r="C38" s="264"/>
      <c r="D38" s="233" t="s">
        <v>139</v>
      </c>
      <c r="E38" s="79"/>
      <c r="F38" s="68">
        <f t="shared" si="13"/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265"/>
      <c r="M38" s="266"/>
      <c r="N38" s="223"/>
      <c r="O38" s="223"/>
      <c r="P38" s="223"/>
    </row>
    <row r="39" spans="1:16" s="53" customFormat="1" ht="45.75" customHeight="1" x14ac:dyDescent="0.25">
      <c r="A39" s="262" t="s">
        <v>96</v>
      </c>
      <c r="B39" s="263" t="s">
        <v>250</v>
      </c>
      <c r="C39" s="264" t="s">
        <v>138</v>
      </c>
      <c r="D39" s="233" t="s">
        <v>46</v>
      </c>
      <c r="E39" s="79"/>
      <c r="F39" s="68">
        <f t="shared" ref="F39:F47" si="14">SUM(G39:K39)</f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265" t="s">
        <v>4</v>
      </c>
      <c r="M39" s="266" t="s">
        <v>74</v>
      </c>
      <c r="N39" s="223"/>
      <c r="O39" s="223"/>
      <c r="P39" s="223"/>
    </row>
    <row r="40" spans="1:16" s="53" customFormat="1" ht="37.5" x14ac:dyDescent="0.25">
      <c r="A40" s="262"/>
      <c r="B40" s="263"/>
      <c r="C40" s="264"/>
      <c r="D40" s="233" t="s">
        <v>1</v>
      </c>
      <c r="E40" s="79"/>
      <c r="F40" s="68">
        <f t="shared" si="14"/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265"/>
      <c r="M40" s="266"/>
      <c r="N40" s="223"/>
      <c r="O40" s="223"/>
      <c r="P40" s="223"/>
    </row>
    <row r="41" spans="1:16" s="53" customFormat="1" ht="56.25" x14ac:dyDescent="0.25">
      <c r="A41" s="262"/>
      <c r="B41" s="263"/>
      <c r="C41" s="264"/>
      <c r="D41" s="233" t="s">
        <v>55</v>
      </c>
      <c r="E41" s="79">
        <v>0</v>
      </c>
      <c r="F41" s="68">
        <f t="shared" si="14"/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265"/>
      <c r="M41" s="266"/>
      <c r="N41" s="223"/>
      <c r="O41" s="223"/>
      <c r="P41" s="223"/>
    </row>
    <row r="42" spans="1:16" s="53" customFormat="1" ht="37.5" x14ac:dyDescent="0.25">
      <c r="A42" s="262"/>
      <c r="B42" s="263"/>
      <c r="C42" s="264"/>
      <c r="D42" s="233" t="s">
        <v>139</v>
      </c>
      <c r="E42" s="79"/>
      <c r="F42" s="68">
        <f t="shared" si="14"/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265"/>
      <c r="M42" s="266"/>
      <c r="N42" s="223"/>
      <c r="O42" s="223"/>
      <c r="P42" s="223"/>
    </row>
    <row r="43" spans="1:16" s="15" customFormat="1" ht="18.75" customHeight="1" x14ac:dyDescent="0.25">
      <c r="A43" s="290" t="s">
        <v>10</v>
      </c>
      <c r="B43" s="291" t="s">
        <v>221</v>
      </c>
      <c r="C43" s="292" t="s">
        <v>138</v>
      </c>
      <c r="D43" s="169" t="s">
        <v>3</v>
      </c>
      <c r="E43" s="170" t="e">
        <f>E45+E46</f>
        <v>#REF!</v>
      </c>
      <c r="F43" s="68">
        <f t="shared" si="14"/>
        <v>63590.394999999997</v>
      </c>
      <c r="G43" s="170">
        <f>G44+G45+G46+G47</f>
        <v>12718.079</v>
      </c>
      <c r="H43" s="170">
        <f t="shared" ref="H43:K43" si="15">H44+H45+H46+H47</f>
        <v>12718.079</v>
      </c>
      <c r="I43" s="170">
        <f t="shared" si="15"/>
        <v>12718.079</v>
      </c>
      <c r="J43" s="170">
        <f t="shared" si="15"/>
        <v>12718.079</v>
      </c>
      <c r="K43" s="170">
        <f t="shared" si="15"/>
        <v>12718.079</v>
      </c>
      <c r="L43" s="293"/>
      <c r="M43" s="294"/>
      <c r="N43" s="184"/>
      <c r="O43" s="184"/>
      <c r="P43" s="184"/>
    </row>
    <row r="44" spans="1:16" s="15" customFormat="1" ht="37.5" x14ac:dyDescent="0.25">
      <c r="A44" s="290"/>
      <c r="B44" s="291"/>
      <c r="C44" s="292"/>
      <c r="D44" s="235" t="s">
        <v>46</v>
      </c>
      <c r="E44" s="170"/>
      <c r="F44" s="68">
        <f t="shared" si="14"/>
        <v>0</v>
      </c>
      <c r="G44" s="171">
        <f>G48+G52</f>
        <v>0</v>
      </c>
      <c r="H44" s="171">
        <f t="shared" ref="H44:K44" si="16">H48+H52</f>
        <v>0</v>
      </c>
      <c r="I44" s="171">
        <f t="shared" si="16"/>
        <v>0</v>
      </c>
      <c r="J44" s="171">
        <f t="shared" si="16"/>
        <v>0</v>
      </c>
      <c r="K44" s="171">
        <f t="shared" si="16"/>
        <v>0</v>
      </c>
      <c r="L44" s="293"/>
      <c r="M44" s="294"/>
      <c r="N44" s="184"/>
      <c r="O44" s="184"/>
      <c r="P44" s="184"/>
    </row>
    <row r="45" spans="1:16" s="15" customFormat="1" ht="36.75" customHeight="1" x14ac:dyDescent="0.25">
      <c r="A45" s="290"/>
      <c r="B45" s="291"/>
      <c r="C45" s="292"/>
      <c r="D45" s="235" t="s">
        <v>1</v>
      </c>
      <c r="E45" s="171" t="e">
        <f>#REF!+#REF!</f>
        <v>#REF!</v>
      </c>
      <c r="F45" s="68">
        <f t="shared" si="14"/>
        <v>0</v>
      </c>
      <c r="G45" s="171">
        <f>G49+G53</f>
        <v>0</v>
      </c>
      <c r="H45" s="171">
        <f t="shared" ref="H45:K45" si="17">H49+H53</f>
        <v>0</v>
      </c>
      <c r="I45" s="171">
        <f t="shared" si="17"/>
        <v>0</v>
      </c>
      <c r="J45" s="171">
        <f t="shared" si="17"/>
        <v>0</v>
      </c>
      <c r="K45" s="171">
        <f t="shared" si="17"/>
        <v>0</v>
      </c>
      <c r="L45" s="293"/>
      <c r="M45" s="294"/>
      <c r="N45" s="184"/>
      <c r="O45" s="184"/>
      <c r="P45" s="184"/>
    </row>
    <row r="46" spans="1:16" s="15" customFormat="1" ht="61.5" customHeight="1" x14ac:dyDescent="0.25">
      <c r="A46" s="290"/>
      <c r="B46" s="291"/>
      <c r="C46" s="292"/>
      <c r="D46" s="235" t="s">
        <v>55</v>
      </c>
      <c r="E46" s="151" t="e">
        <f>#REF!+#REF!</f>
        <v>#REF!</v>
      </c>
      <c r="F46" s="68">
        <f t="shared" si="14"/>
        <v>63590.394999999997</v>
      </c>
      <c r="G46" s="151">
        <f>G50+G54</f>
        <v>12718.079</v>
      </c>
      <c r="H46" s="151">
        <f t="shared" ref="H46:K46" si="18">H50+H54</f>
        <v>12718.079</v>
      </c>
      <c r="I46" s="151">
        <f t="shared" si="18"/>
        <v>12718.079</v>
      </c>
      <c r="J46" s="151">
        <f t="shared" si="18"/>
        <v>12718.079</v>
      </c>
      <c r="K46" s="151">
        <f t="shared" si="18"/>
        <v>12718.079</v>
      </c>
      <c r="L46" s="293"/>
      <c r="M46" s="294"/>
      <c r="N46" s="184"/>
      <c r="O46" s="184"/>
      <c r="P46" s="184"/>
    </row>
    <row r="47" spans="1:16" s="15" customFormat="1" ht="37.5" x14ac:dyDescent="0.25">
      <c r="A47" s="290"/>
      <c r="B47" s="291"/>
      <c r="C47" s="292"/>
      <c r="D47" s="235" t="s">
        <v>139</v>
      </c>
      <c r="E47" s="151"/>
      <c r="F47" s="68">
        <f t="shared" si="14"/>
        <v>0</v>
      </c>
      <c r="G47" s="151">
        <f>G51+G55</f>
        <v>0</v>
      </c>
      <c r="H47" s="151">
        <f t="shared" ref="H47:K47" si="19">H51+H55</f>
        <v>0</v>
      </c>
      <c r="I47" s="151">
        <f t="shared" si="19"/>
        <v>0</v>
      </c>
      <c r="J47" s="151">
        <f t="shared" si="19"/>
        <v>0</v>
      </c>
      <c r="K47" s="151">
        <f t="shared" si="19"/>
        <v>0</v>
      </c>
      <c r="L47" s="293"/>
      <c r="M47" s="294"/>
      <c r="N47" s="184"/>
      <c r="O47" s="184"/>
      <c r="P47" s="184"/>
    </row>
    <row r="48" spans="1:16" s="53" customFormat="1" ht="40.5" customHeight="1" x14ac:dyDescent="0.25">
      <c r="A48" s="262" t="s">
        <v>39</v>
      </c>
      <c r="B48" s="263" t="s">
        <v>222</v>
      </c>
      <c r="C48" s="264" t="s">
        <v>138</v>
      </c>
      <c r="D48" s="233" t="s">
        <v>46</v>
      </c>
      <c r="E48" s="79"/>
      <c r="F48" s="68">
        <f t="shared" ref="F48:F51" si="20">SUM(G48:K48)</f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265" t="s">
        <v>87</v>
      </c>
      <c r="M48" s="266" t="s">
        <v>224</v>
      </c>
      <c r="N48" s="223"/>
      <c r="O48" s="223"/>
      <c r="P48" s="223"/>
    </row>
    <row r="49" spans="1:16" s="53" customFormat="1" ht="37.5" x14ac:dyDescent="0.25">
      <c r="A49" s="262"/>
      <c r="B49" s="263"/>
      <c r="C49" s="264"/>
      <c r="D49" s="233" t="s">
        <v>1</v>
      </c>
      <c r="E49" s="79"/>
      <c r="F49" s="68">
        <f t="shared" si="20"/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265"/>
      <c r="M49" s="266"/>
      <c r="N49" s="223"/>
      <c r="O49" s="223"/>
      <c r="P49" s="223"/>
    </row>
    <row r="50" spans="1:16" s="53" customFormat="1" ht="56.25" x14ac:dyDescent="0.25">
      <c r="A50" s="262"/>
      <c r="B50" s="263"/>
      <c r="C50" s="264"/>
      <c r="D50" s="233" t="s">
        <v>55</v>
      </c>
      <c r="E50" s="79">
        <v>0</v>
      </c>
      <c r="F50" s="68">
        <f t="shared" si="20"/>
        <v>63590.394999999997</v>
      </c>
      <c r="G50" s="79">
        <v>12718.079</v>
      </c>
      <c r="H50" s="79">
        <v>12718.079</v>
      </c>
      <c r="I50" s="79">
        <v>12718.079</v>
      </c>
      <c r="J50" s="79">
        <v>12718.079</v>
      </c>
      <c r="K50" s="79">
        <v>12718.079</v>
      </c>
      <c r="L50" s="265"/>
      <c r="M50" s="266"/>
      <c r="N50" s="223"/>
      <c r="O50" s="223"/>
      <c r="P50" s="223"/>
    </row>
    <row r="51" spans="1:16" s="53" customFormat="1" ht="37.5" x14ac:dyDescent="0.25">
      <c r="A51" s="262"/>
      <c r="B51" s="263"/>
      <c r="C51" s="264"/>
      <c r="D51" s="233" t="s">
        <v>139</v>
      </c>
      <c r="E51" s="79"/>
      <c r="F51" s="68">
        <f t="shared" si="20"/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265"/>
      <c r="M51" s="266"/>
      <c r="N51" s="223"/>
      <c r="O51" s="223"/>
      <c r="P51" s="223"/>
    </row>
    <row r="52" spans="1:16" s="53" customFormat="1" ht="40.5" customHeight="1" x14ac:dyDescent="0.25">
      <c r="A52" s="262" t="s">
        <v>40</v>
      </c>
      <c r="B52" s="263" t="s">
        <v>223</v>
      </c>
      <c r="C52" s="264" t="s">
        <v>138</v>
      </c>
      <c r="D52" s="233" t="s">
        <v>46</v>
      </c>
      <c r="E52" s="79"/>
      <c r="F52" s="68">
        <f t="shared" ref="F52:F55" si="21">SUM(G52:K52)</f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265" t="s">
        <v>87</v>
      </c>
      <c r="M52" s="266" t="s">
        <v>73</v>
      </c>
      <c r="N52" s="223"/>
      <c r="O52" s="223"/>
      <c r="P52" s="223"/>
    </row>
    <row r="53" spans="1:16" s="53" customFormat="1" ht="37.5" x14ac:dyDescent="0.25">
      <c r="A53" s="262"/>
      <c r="B53" s="263"/>
      <c r="C53" s="264"/>
      <c r="D53" s="233" t="s">
        <v>1</v>
      </c>
      <c r="E53" s="79"/>
      <c r="F53" s="68">
        <f t="shared" si="21"/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265"/>
      <c r="M53" s="266"/>
      <c r="N53" s="223"/>
      <c r="O53" s="223"/>
      <c r="P53" s="223"/>
    </row>
    <row r="54" spans="1:16" s="53" customFormat="1" ht="56.25" x14ac:dyDescent="0.25">
      <c r="A54" s="262"/>
      <c r="B54" s="263"/>
      <c r="C54" s="264"/>
      <c r="D54" s="233" t="s">
        <v>55</v>
      </c>
      <c r="E54" s="79">
        <v>0</v>
      </c>
      <c r="F54" s="68">
        <f t="shared" si="21"/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265"/>
      <c r="M54" s="266"/>
      <c r="N54" s="223"/>
      <c r="O54" s="223"/>
      <c r="P54" s="223"/>
    </row>
    <row r="55" spans="1:16" s="53" customFormat="1" ht="37.5" x14ac:dyDescent="0.25">
      <c r="A55" s="262"/>
      <c r="B55" s="263"/>
      <c r="C55" s="264"/>
      <c r="D55" s="233" t="s">
        <v>139</v>
      </c>
      <c r="E55" s="79"/>
      <c r="F55" s="68">
        <f t="shared" si="21"/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265"/>
      <c r="M55" s="266"/>
      <c r="N55" s="223"/>
      <c r="O55" s="223"/>
      <c r="P55" s="223"/>
    </row>
    <row r="56" spans="1:16" s="53" customFormat="1" ht="37.5" hidden="1" customHeight="1" x14ac:dyDescent="0.25">
      <c r="A56" s="299" t="s">
        <v>41</v>
      </c>
      <c r="B56" s="300" t="s">
        <v>79</v>
      </c>
      <c r="C56" s="300" t="s">
        <v>53</v>
      </c>
      <c r="D56" s="236" t="s">
        <v>3</v>
      </c>
      <c r="E56" s="62">
        <f>E58+E59+E57</f>
        <v>0</v>
      </c>
      <c r="F56" s="68">
        <f t="shared" si="0"/>
        <v>0</v>
      </c>
      <c r="G56" s="62">
        <f>G58+G59+G57</f>
        <v>0</v>
      </c>
      <c r="H56" s="62">
        <f>H58+H59+H57</f>
        <v>0</v>
      </c>
      <c r="I56" s="62">
        <f>I58+I59+I57</f>
        <v>0</v>
      </c>
      <c r="J56" s="62">
        <f>J58+J59+J57</f>
        <v>0</v>
      </c>
      <c r="K56" s="62">
        <f>K58+K59+K57</f>
        <v>0</v>
      </c>
      <c r="L56" s="301"/>
      <c r="M56" s="302"/>
      <c r="N56" s="89"/>
      <c r="O56" s="89"/>
      <c r="P56" s="89"/>
    </row>
    <row r="57" spans="1:16" s="53" customFormat="1" ht="37.5" hidden="1" customHeight="1" x14ac:dyDescent="0.25">
      <c r="A57" s="299"/>
      <c r="B57" s="300"/>
      <c r="C57" s="300"/>
      <c r="D57" s="236" t="s">
        <v>46</v>
      </c>
      <c r="E57" s="84">
        <f>E60</f>
        <v>0</v>
      </c>
      <c r="F57" s="68">
        <f t="shared" si="0"/>
        <v>0</v>
      </c>
      <c r="G57" s="84">
        <f>G60</f>
        <v>0</v>
      </c>
      <c r="H57" s="84">
        <f>H60</f>
        <v>0</v>
      </c>
      <c r="I57" s="84">
        <f>I60</f>
        <v>0</v>
      </c>
      <c r="J57" s="84">
        <f>J60</f>
        <v>0</v>
      </c>
      <c r="K57" s="84">
        <f>K60</f>
        <v>0</v>
      </c>
      <c r="L57" s="301"/>
      <c r="M57" s="302"/>
      <c r="N57" s="89"/>
      <c r="O57" s="89"/>
      <c r="P57" s="89"/>
    </row>
    <row r="58" spans="1:16" s="53" customFormat="1" ht="39.75" hidden="1" customHeight="1" x14ac:dyDescent="0.25">
      <c r="A58" s="299"/>
      <c r="B58" s="300"/>
      <c r="C58" s="300"/>
      <c r="D58" s="236" t="s">
        <v>1</v>
      </c>
      <c r="E58" s="84">
        <f>E61+E63+E65</f>
        <v>0</v>
      </c>
      <c r="F58" s="68">
        <f t="shared" si="0"/>
        <v>0</v>
      </c>
      <c r="G58" s="84">
        <f t="shared" ref="G58:K59" si="22">G61+G63+G65</f>
        <v>0</v>
      </c>
      <c r="H58" s="84">
        <f t="shared" si="22"/>
        <v>0</v>
      </c>
      <c r="I58" s="84">
        <f t="shared" si="22"/>
        <v>0</v>
      </c>
      <c r="J58" s="84">
        <f t="shared" si="22"/>
        <v>0</v>
      </c>
      <c r="K58" s="84">
        <f t="shared" si="22"/>
        <v>0</v>
      </c>
      <c r="L58" s="301"/>
      <c r="M58" s="302"/>
      <c r="N58" s="89"/>
      <c r="O58" s="89"/>
      <c r="P58" s="89"/>
    </row>
    <row r="59" spans="1:16" s="53" customFormat="1" ht="58.5" hidden="1" customHeight="1" x14ac:dyDescent="0.25">
      <c r="A59" s="299"/>
      <c r="B59" s="300"/>
      <c r="C59" s="300"/>
      <c r="D59" s="236" t="s">
        <v>55</v>
      </c>
      <c r="E59" s="84">
        <f>E62+E64+E66</f>
        <v>0</v>
      </c>
      <c r="F59" s="68">
        <f t="shared" si="0"/>
        <v>0</v>
      </c>
      <c r="G59" s="84">
        <f t="shared" si="22"/>
        <v>0</v>
      </c>
      <c r="H59" s="84">
        <f t="shared" si="22"/>
        <v>0</v>
      </c>
      <c r="I59" s="84">
        <f t="shared" si="22"/>
        <v>0</v>
      </c>
      <c r="J59" s="84">
        <f t="shared" si="22"/>
        <v>0</v>
      </c>
      <c r="K59" s="84">
        <f t="shared" si="22"/>
        <v>0</v>
      </c>
      <c r="L59" s="301"/>
      <c r="M59" s="302"/>
      <c r="N59" s="89"/>
      <c r="O59" s="89"/>
      <c r="P59" s="89"/>
    </row>
    <row r="60" spans="1:16" s="53" customFormat="1" ht="74.25" hidden="1" customHeight="1" x14ac:dyDescent="0.25">
      <c r="A60" s="250" t="s">
        <v>72</v>
      </c>
      <c r="B60" s="251" t="s">
        <v>112</v>
      </c>
      <c r="C60" s="252" t="s">
        <v>53</v>
      </c>
      <c r="D60" s="229" t="s">
        <v>46</v>
      </c>
      <c r="E60" s="74">
        <v>0</v>
      </c>
      <c r="F60" s="68">
        <f t="shared" si="0"/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316" t="s">
        <v>62</v>
      </c>
      <c r="M60" s="315" t="s">
        <v>105</v>
      </c>
      <c r="N60" s="89"/>
      <c r="O60" s="89"/>
      <c r="P60" s="89"/>
    </row>
    <row r="61" spans="1:16" s="53" customFormat="1" ht="74.25" hidden="1" customHeight="1" x14ac:dyDescent="0.25">
      <c r="A61" s="250"/>
      <c r="B61" s="251"/>
      <c r="C61" s="252"/>
      <c r="D61" s="229" t="s">
        <v>1</v>
      </c>
      <c r="E61" s="74">
        <v>0</v>
      </c>
      <c r="F61" s="68">
        <f t="shared" si="0"/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316"/>
      <c r="M61" s="315"/>
      <c r="N61" s="91"/>
      <c r="O61" s="90"/>
      <c r="P61" s="90"/>
    </row>
    <row r="62" spans="1:16" s="53" customFormat="1" ht="74.25" hidden="1" customHeight="1" x14ac:dyDescent="0.25">
      <c r="A62" s="250"/>
      <c r="B62" s="251"/>
      <c r="C62" s="252"/>
      <c r="D62" s="229" t="s">
        <v>54</v>
      </c>
      <c r="E62" s="74">
        <v>0</v>
      </c>
      <c r="F62" s="68">
        <f t="shared" si="0"/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316"/>
      <c r="M62" s="315"/>
      <c r="N62" s="91"/>
      <c r="O62" s="90"/>
      <c r="P62" s="90"/>
    </row>
    <row r="63" spans="1:16" s="53" customFormat="1" ht="75" hidden="1" customHeight="1" x14ac:dyDescent="0.25">
      <c r="A63" s="250" t="s">
        <v>76</v>
      </c>
      <c r="B63" s="251" t="s">
        <v>113</v>
      </c>
      <c r="C63" s="252" t="s">
        <v>53</v>
      </c>
      <c r="D63" s="229" t="s">
        <v>1</v>
      </c>
      <c r="E63" s="74">
        <v>0</v>
      </c>
      <c r="F63" s="68">
        <f t="shared" si="0"/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261" t="s">
        <v>62</v>
      </c>
      <c r="M63" s="266" t="s">
        <v>61</v>
      </c>
      <c r="N63" s="91"/>
      <c r="O63" s="90"/>
      <c r="P63" s="90"/>
    </row>
    <row r="64" spans="1:16" s="53" customFormat="1" ht="82.5" hidden="1" customHeight="1" x14ac:dyDescent="0.25">
      <c r="A64" s="250"/>
      <c r="B64" s="251"/>
      <c r="C64" s="252"/>
      <c r="D64" s="229" t="s">
        <v>54</v>
      </c>
      <c r="E64" s="74">
        <v>0</v>
      </c>
      <c r="F64" s="68">
        <f t="shared" si="0"/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261"/>
      <c r="M64" s="266"/>
      <c r="N64" s="91"/>
      <c r="O64" s="90"/>
      <c r="P64" s="90"/>
    </row>
    <row r="65" spans="1:18" s="53" customFormat="1" ht="99" hidden="1" customHeight="1" x14ac:dyDescent="0.25">
      <c r="A65" s="257" t="s">
        <v>109</v>
      </c>
      <c r="B65" s="258" t="s">
        <v>114</v>
      </c>
      <c r="C65" s="259" t="s">
        <v>53</v>
      </c>
      <c r="D65" s="230" t="s">
        <v>1</v>
      </c>
      <c r="E65" s="77">
        <v>0</v>
      </c>
      <c r="F65" s="68">
        <f t="shared" ref="F65:F72" si="23">SUM(G65:K65)</f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295" t="s">
        <v>62</v>
      </c>
      <c r="M65" s="295" t="s">
        <v>63</v>
      </c>
      <c r="N65" s="91"/>
      <c r="O65" s="91"/>
      <c r="P65" s="91"/>
      <c r="Q65" s="52"/>
      <c r="R65" s="52"/>
    </row>
    <row r="66" spans="1:18" s="53" customFormat="1" ht="99" hidden="1" customHeight="1" x14ac:dyDescent="0.25">
      <c r="A66" s="257"/>
      <c r="B66" s="258"/>
      <c r="C66" s="259"/>
      <c r="D66" s="230" t="s">
        <v>54</v>
      </c>
      <c r="E66" s="77">
        <v>0</v>
      </c>
      <c r="F66" s="68">
        <f t="shared" si="23"/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295"/>
      <c r="M66" s="295"/>
      <c r="N66" s="91"/>
      <c r="O66" s="91"/>
      <c r="P66" s="91"/>
      <c r="Q66" s="52"/>
      <c r="R66" s="52"/>
    </row>
    <row r="67" spans="1:18" s="53" customFormat="1" ht="30.75" hidden="1" customHeight="1" x14ac:dyDescent="0.25">
      <c r="A67" s="299" t="s">
        <v>12</v>
      </c>
      <c r="B67" s="300" t="s">
        <v>80</v>
      </c>
      <c r="C67" s="300" t="s">
        <v>53</v>
      </c>
      <c r="D67" s="236" t="s">
        <v>3</v>
      </c>
      <c r="E67" s="62">
        <f>E68+E69</f>
        <v>0</v>
      </c>
      <c r="F67" s="68">
        <f t="shared" si="23"/>
        <v>0</v>
      </c>
      <c r="G67" s="62">
        <f>G68+G69</f>
        <v>0</v>
      </c>
      <c r="H67" s="62">
        <f>H68+H69</f>
        <v>0</v>
      </c>
      <c r="I67" s="62">
        <f>I68+I69</f>
        <v>0</v>
      </c>
      <c r="J67" s="62">
        <f>J68+J69</f>
        <v>0</v>
      </c>
      <c r="K67" s="62">
        <f>K68+K69</f>
        <v>0</v>
      </c>
      <c r="L67" s="301"/>
      <c r="M67" s="302"/>
      <c r="N67" s="89"/>
      <c r="O67" s="89"/>
      <c r="P67" s="89"/>
    </row>
    <row r="68" spans="1:18" s="53" customFormat="1" ht="39.75" hidden="1" customHeight="1" x14ac:dyDescent="0.25">
      <c r="A68" s="299"/>
      <c r="B68" s="300"/>
      <c r="C68" s="300"/>
      <c r="D68" s="236" t="s">
        <v>1</v>
      </c>
      <c r="E68" s="84">
        <f>E70</f>
        <v>0</v>
      </c>
      <c r="F68" s="68">
        <f t="shared" si="23"/>
        <v>0</v>
      </c>
      <c r="G68" s="84">
        <f>G70</f>
        <v>0</v>
      </c>
      <c r="H68" s="84">
        <f>H70</f>
        <v>0</v>
      </c>
      <c r="I68" s="84">
        <f>I70</f>
        <v>0</v>
      </c>
      <c r="J68" s="84">
        <f>J70</f>
        <v>0</v>
      </c>
      <c r="K68" s="84">
        <f>K70</f>
        <v>0</v>
      </c>
      <c r="L68" s="301"/>
      <c r="M68" s="302"/>
      <c r="N68" s="89"/>
      <c r="O68" s="89"/>
      <c r="P68" s="89"/>
    </row>
    <row r="69" spans="1:18" s="53" customFormat="1" ht="58.5" hidden="1" customHeight="1" x14ac:dyDescent="0.25">
      <c r="A69" s="299"/>
      <c r="B69" s="300"/>
      <c r="C69" s="300"/>
      <c r="D69" s="236" t="s">
        <v>55</v>
      </c>
      <c r="E69" s="84">
        <f>E71+E72</f>
        <v>0</v>
      </c>
      <c r="F69" s="68">
        <f t="shared" si="23"/>
        <v>0</v>
      </c>
      <c r="G69" s="84">
        <f>G71+G72</f>
        <v>0</v>
      </c>
      <c r="H69" s="84">
        <f>H71+H72</f>
        <v>0</v>
      </c>
      <c r="I69" s="84">
        <f>I71+I72</f>
        <v>0</v>
      </c>
      <c r="J69" s="84">
        <f>J71+J72</f>
        <v>0</v>
      </c>
      <c r="K69" s="84">
        <f>K71+K72</f>
        <v>0</v>
      </c>
      <c r="L69" s="301"/>
      <c r="M69" s="302"/>
      <c r="N69" s="89"/>
      <c r="O69" s="89"/>
      <c r="P69" s="89"/>
    </row>
    <row r="70" spans="1:18" s="53" customFormat="1" ht="69.75" hidden="1" customHeight="1" x14ac:dyDescent="0.25">
      <c r="A70" s="250" t="s">
        <v>77</v>
      </c>
      <c r="B70" s="251" t="s">
        <v>115</v>
      </c>
      <c r="C70" s="252" t="s">
        <v>53</v>
      </c>
      <c r="D70" s="229" t="s">
        <v>1</v>
      </c>
      <c r="E70" s="74">
        <v>0</v>
      </c>
      <c r="F70" s="68">
        <f t="shared" si="23"/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261" t="s">
        <v>62</v>
      </c>
      <c r="M70" s="266" t="s">
        <v>64</v>
      </c>
      <c r="N70" s="91"/>
      <c r="O70" s="90"/>
      <c r="P70" s="90"/>
    </row>
    <row r="71" spans="1:18" s="53" customFormat="1" ht="69.75" hidden="1" customHeight="1" x14ac:dyDescent="0.25">
      <c r="A71" s="250"/>
      <c r="B71" s="251"/>
      <c r="C71" s="252"/>
      <c r="D71" s="229" t="s">
        <v>54</v>
      </c>
      <c r="E71" s="74">
        <v>0</v>
      </c>
      <c r="F71" s="68">
        <f t="shared" si="23"/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261"/>
      <c r="M71" s="266"/>
      <c r="N71" s="91"/>
      <c r="O71" s="90"/>
      <c r="P71" s="90"/>
    </row>
    <row r="72" spans="1:18" s="53" customFormat="1" ht="132.75" hidden="1" customHeight="1" x14ac:dyDescent="0.25">
      <c r="A72" s="227" t="s">
        <v>78</v>
      </c>
      <c r="B72" s="228" t="s">
        <v>116</v>
      </c>
      <c r="C72" s="229" t="s">
        <v>53</v>
      </c>
      <c r="D72" s="229" t="s">
        <v>56</v>
      </c>
      <c r="E72" s="74">
        <v>0</v>
      </c>
      <c r="F72" s="68">
        <f t="shared" si="23"/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231" t="s">
        <v>62</v>
      </c>
      <c r="M72" s="232" t="s">
        <v>66</v>
      </c>
      <c r="N72" s="91"/>
      <c r="O72" s="90"/>
      <c r="P72" s="90"/>
    </row>
    <row r="73" spans="1:18" s="15" customFormat="1" ht="18.75" customHeight="1" x14ac:dyDescent="0.25">
      <c r="A73" s="245" t="s">
        <v>43</v>
      </c>
      <c r="B73" s="246" t="s">
        <v>226</v>
      </c>
      <c r="C73" s="246" t="s">
        <v>138</v>
      </c>
      <c r="D73" s="226" t="s">
        <v>3</v>
      </c>
      <c r="E73" s="149" t="e">
        <f>E75+E76+E74</f>
        <v>#REF!</v>
      </c>
      <c r="F73" s="68">
        <f t="shared" ref="F73:F77" si="24">SUM(G73:K73)</f>
        <v>0</v>
      </c>
      <c r="G73" s="149">
        <f>G74+G75+G76+G77</f>
        <v>0</v>
      </c>
      <c r="H73" s="149">
        <f t="shared" ref="H73:K73" si="25">H74+H75+H76+H77</f>
        <v>0</v>
      </c>
      <c r="I73" s="149">
        <f t="shared" si="25"/>
        <v>0</v>
      </c>
      <c r="J73" s="149">
        <f t="shared" si="25"/>
        <v>0</v>
      </c>
      <c r="K73" s="149">
        <f t="shared" si="25"/>
        <v>0</v>
      </c>
      <c r="L73" s="255"/>
      <c r="M73" s="256"/>
      <c r="N73" s="224"/>
      <c r="O73" s="224"/>
      <c r="P73" s="224"/>
      <c r="Q73" s="64"/>
      <c r="R73" s="64"/>
    </row>
    <row r="74" spans="1:18" s="15" customFormat="1" ht="37.5" x14ac:dyDescent="0.25">
      <c r="A74" s="245"/>
      <c r="B74" s="246"/>
      <c r="C74" s="246"/>
      <c r="D74" s="226" t="s">
        <v>46</v>
      </c>
      <c r="E74" s="150" t="e">
        <f>#REF!</f>
        <v>#REF!</v>
      </c>
      <c r="F74" s="68">
        <f t="shared" si="24"/>
        <v>0</v>
      </c>
      <c r="G74" s="150">
        <f>G78</f>
        <v>0</v>
      </c>
      <c r="H74" s="150">
        <f t="shared" ref="H74:K77" si="26">H78</f>
        <v>0</v>
      </c>
      <c r="I74" s="150">
        <f t="shared" si="26"/>
        <v>0</v>
      </c>
      <c r="J74" s="150">
        <f t="shared" si="26"/>
        <v>0</v>
      </c>
      <c r="K74" s="150">
        <f t="shared" si="26"/>
        <v>0</v>
      </c>
      <c r="L74" s="255"/>
      <c r="M74" s="256"/>
      <c r="N74" s="224"/>
      <c r="O74" s="224"/>
      <c r="P74" s="224"/>
      <c r="Q74" s="64"/>
      <c r="R74" s="64"/>
    </row>
    <row r="75" spans="1:18" s="15" customFormat="1" ht="39.75" customHeight="1" x14ac:dyDescent="0.25">
      <c r="A75" s="245"/>
      <c r="B75" s="246"/>
      <c r="C75" s="246"/>
      <c r="D75" s="226" t="s">
        <v>1</v>
      </c>
      <c r="E75" s="150" t="e">
        <f>#REF!+E78+E79+#REF!+#REF!+#REF!+#REF!+E127</f>
        <v>#REF!</v>
      </c>
      <c r="F75" s="68">
        <f t="shared" si="24"/>
        <v>0</v>
      </c>
      <c r="G75" s="150">
        <f>G79</f>
        <v>0</v>
      </c>
      <c r="H75" s="150">
        <f t="shared" si="26"/>
        <v>0</v>
      </c>
      <c r="I75" s="150">
        <f t="shared" si="26"/>
        <v>0</v>
      </c>
      <c r="J75" s="150">
        <f t="shared" si="26"/>
        <v>0</v>
      </c>
      <c r="K75" s="150">
        <f t="shared" si="26"/>
        <v>0</v>
      </c>
      <c r="L75" s="255"/>
      <c r="M75" s="256"/>
      <c r="N75" s="224"/>
      <c r="O75" s="224"/>
      <c r="P75" s="224"/>
      <c r="Q75" s="64"/>
      <c r="R75" s="64"/>
    </row>
    <row r="76" spans="1:18" s="15" customFormat="1" ht="58.5" customHeight="1" x14ac:dyDescent="0.25">
      <c r="A76" s="245"/>
      <c r="B76" s="246"/>
      <c r="C76" s="246"/>
      <c r="D76" s="226" t="s">
        <v>55</v>
      </c>
      <c r="E76" s="150" t="e">
        <f>#REF!+#REF!+#REF!+#REF!+#REF!+#REF!+E129</f>
        <v>#REF!</v>
      </c>
      <c r="F76" s="68">
        <f t="shared" si="24"/>
        <v>0</v>
      </c>
      <c r="G76" s="150">
        <f>G80</f>
        <v>0</v>
      </c>
      <c r="H76" s="150">
        <f t="shared" si="26"/>
        <v>0</v>
      </c>
      <c r="I76" s="150">
        <f t="shared" si="26"/>
        <v>0</v>
      </c>
      <c r="J76" s="150">
        <f t="shared" si="26"/>
        <v>0</v>
      </c>
      <c r="K76" s="150">
        <f t="shared" si="26"/>
        <v>0</v>
      </c>
      <c r="L76" s="255"/>
      <c r="M76" s="256"/>
      <c r="N76" s="224"/>
      <c r="O76" s="224"/>
      <c r="P76" s="224"/>
      <c r="Q76" s="64"/>
      <c r="R76" s="64"/>
    </row>
    <row r="77" spans="1:18" s="15" customFormat="1" ht="37.5" x14ac:dyDescent="0.25">
      <c r="A77" s="245"/>
      <c r="B77" s="246"/>
      <c r="C77" s="246"/>
      <c r="D77" s="226" t="s">
        <v>139</v>
      </c>
      <c r="E77" s="150"/>
      <c r="F77" s="68">
        <f t="shared" si="24"/>
        <v>0</v>
      </c>
      <c r="G77" s="150">
        <f>G81</f>
        <v>0</v>
      </c>
      <c r="H77" s="150">
        <f t="shared" si="26"/>
        <v>0</v>
      </c>
      <c r="I77" s="150">
        <f t="shared" si="26"/>
        <v>0</v>
      </c>
      <c r="J77" s="150">
        <f t="shared" si="26"/>
        <v>0</v>
      </c>
      <c r="K77" s="150">
        <f t="shared" si="26"/>
        <v>0</v>
      </c>
      <c r="L77" s="255"/>
      <c r="M77" s="256"/>
      <c r="N77" s="224"/>
      <c r="O77" s="224"/>
      <c r="P77" s="224"/>
      <c r="Q77" s="64"/>
      <c r="R77" s="64"/>
    </row>
    <row r="78" spans="1:18" s="53" customFormat="1" ht="40.5" customHeight="1" x14ac:dyDescent="0.25">
      <c r="A78" s="250" t="s">
        <v>58</v>
      </c>
      <c r="B78" s="267" t="s">
        <v>251</v>
      </c>
      <c r="C78" s="252" t="s">
        <v>138</v>
      </c>
      <c r="D78" s="233" t="s">
        <v>46</v>
      </c>
      <c r="E78" s="74">
        <v>200475</v>
      </c>
      <c r="F78" s="68">
        <f t="shared" ref="F78:F81" si="27">SUM(G78:K78)</f>
        <v>0</v>
      </c>
      <c r="G78" s="74">
        <v>0</v>
      </c>
      <c r="H78" s="74">
        <v>0</v>
      </c>
      <c r="I78" s="74">
        <f>202841-202841</f>
        <v>0</v>
      </c>
      <c r="J78" s="74">
        <v>0</v>
      </c>
      <c r="K78" s="74">
        <v>0</v>
      </c>
      <c r="L78" s="261" t="s">
        <v>4</v>
      </c>
      <c r="M78" s="253" t="s">
        <v>227</v>
      </c>
      <c r="N78" s="223"/>
      <c r="O78" s="223"/>
      <c r="P78" s="223"/>
    </row>
    <row r="79" spans="1:18" s="53" customFormat="1" ht="37.5" x14ac:dyDescent="0.25">
      <c r="A79" s="250"/>
      <c r="B79" s="267"/>
      <c r="C79" s="252"/>
      <c r="D79" s="233" t="s">
        <v>1</v>
      </c>
      <c r="E79" s="74">
        <v>93</v>
      </c>
      <c r="F79" s="68">
        <f t="shared" si="27"/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261"/>
      <c r="M79" s="253"/>
      <c r="N79" s="223"/>
      <c r="O79" s="223"/>
      <c r="P79" s="223"/>
    </row>
    <row r="80" spans="1:18" s="53" customFormat="1" ht="56.25" x14ac:dyDescent="0.25">
      <c r="A80" s="250"/>
      <c r="B80" s="267"/>
      <c r="C80" s="252"/>
      <c r="D80" s="233" t="s">
        <v>54</v>
      </c>
      <c r="E80" s="74"/>
      <c r="F80" s="68">
        <f t="shared" si="27"/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261"/>
      <c r="M80" s="253"/>
      <c r="N80" s="223"/>
      <c r="O80" s="223"/>
      <c r="P80" s="223"/>
    </row>
    <row r="81" spans="1:18" s="53" customFormat="1" ht="37.5" x14ac:dyDescent="0.25">
      <c r="A81" s="250"/>
      <c r="B81" s="267"/>
      <c r="C81" s="252"/>
      <c r="D81" s="233" t="s">
        <v>139</v>
      </c>
      <c r="E81" s="74"/>
      <c r="F81" s="68">
        <f t="shared" si="27"/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261"/>
      <c r="M81" s="253"/>
      <c r="N81" s="223"/>
      <c r="O81" s="223"/>
      <c r="P81" s="223"/>
    </row>
    <row r="82" spans="1:18" s="15" customFormat="1" ht="18.75" customHeight="1" x14ac:dyDescent="0.25">
      <c r="A82" s="245" t="s">
        <v>11</v>
      </c>
      <c r="B82" s="246" t="s">
        <v>233</v>
      </c>
      <c r="C82" s="246" t="s">
        <v>138</v>
      </c>
      <c r="D82" s="226" t="s">
        <v>3</v>
      </c>
      <c r="E82" s="149" t="e">
        <f>E84+E85+E83</f>
        <v>#REF!</v>
      </c>
      <c r="F82" s="68">
        <f t="shared" ref="F82:F86" si="28">SUM(G82:K82)</f>
        <v>0</v>
      </c>
      <c r="G82" s="149">
        <f>G83+G84+G85+G86</f>
        <v>0</v>
      </c>
      <c r="H82" s="149">
        <f t="shared" ref="H82:K82" si="29">H83+H84+H85+H86</f>
        <v>0</v>
      </c>
      <c r="I82" s="149">
        <f t="shared" si="29"/>
        <v>0</v>
      </c>
      <c r="J82" s="149">
        <f t="shared" si="29"/>
        <v>0</v>
      </c>
      <c r="K82" s="149">
        <f t="shared" si="29"/>
        <v>0</v>
      </c>
      <c r="L82" s="255"/>
      <c r="M82" s="256"/>
      <c r="N82" s="224"/>
      <c r="O82" s="224"/>
      <c r="P82" s="224"/>
      <c r="Q82" s="64"/>
      <c r="R82" s="64"/>
    </row>
    <row r="83" spans="1:18" s="15" customFormat="1" ht="37.5" x14ac:dyDescent="0.25">
      <c r="A83" s="245"/>
      <c r="B83" s="246"/>
      <c r="C83" s="246"/>
      <c r="D83" s="226" t="s">
        <v>46</v>
      </c>
      <c r="E83" s="150">
        <f>E172</f>
        <v>0</v>
      </c>
      <c r="F83" s="68">
        <f t="shared" si="28"/>
        <v>0</v>
      </c>
      <c r="G83" s="150">
        <f>G87</f>
        <v>0</v>
      </c>
      <c r="H83" s="150">
        <f t="shared" ref="H83:K83" si="30">H87</f>
        <v>0</v>
      </c>
      <c r="I83" s="150">
        <f t="shared" si="30"/>
        <v>0</v>
      </c>
      <c r="J83" s="150">
        <f t="shared" si="30"/>
        <v>0</v>
      </c>
      <c r="K83" s="150">
        <f t="shared" si="30"/>
        <v>0</v>
      </c>
      <c r="L83" s="255"/>
      <c r="M83" s="256"/>
      <c r="N83" s="224"/>
      <c r="O83" s="224"/>
      <c r="P83" s="224"/>
      <c r="Q83" s="64"/>
      <c r="R83" s="64"/>
    </row>
    <row r="84" spans="1:18" s="15" customFormat="1" ht="39.75" customHeight="1" x14ac:dyDescent="0.25">
      <c r="A84" s="245"/>
      <c r="B84" s="246"/>
      <c r="C84" s="246"/>
      <c r="D84" s="226" t="s">
        <v>1</v>
      </c>
      <c r="E84" s="150" t="e">
        <f>#REF!+E87+E88+E154+#REF!+#REF!+E173+E178</f>
        <v>#REF!</v>
      </c>
      <c r="F84" s="68">
        <f t="shared" si="28"/>
        <v>0</v>
      </c>
      <c r="G84" s="150">
        <f>G88</f>
        <v>0</v>
      </c>
      <c r="H84" s="150">
        <f t="shared" ref="H84:K84" si="31">H88</f>
        <v>0</v>
      </c>
      <c r="I84" s="150">
        <f t="shared" si="31"/>
        <v>0</v>
      </c>
      <c r="J84" s="150">
        <f t="shared" si="31"/>
        <v>0</v>
      </c>
      <c r="K84" s="150">
        <f t="shared" si="31"/>
        <v>0</v>
      </c>
      <c r="L84" s="255"/>
      <c r="M84" s="256"/>
      <c r="N84" s="224"/>
      <c r="O84" s="224"/>
      <c r="P84" s="224"/>
      <c r="Q84" s="64"/>
      <c r="R84" s="64"/>
    </row>
    <row r="85" spans="1:18" s="15" customFormat="1" ht="58.5" customHeight="1" x14ac:dyDescent="0.25">
      <c r="A85" s="245"/>
      <c r="B85" s="246"/>
      <c r="C85" s="246"/>
      <c r="D85" s="226" t="s">
        <v>55</v>
      </c>
      <c r="E85" s="150" t="e">
        <f>#REF!+E158+#REF!+#REF!+#REF!+E174+E180</f>
        <v>#REF!</v>
      </c>
      <c r="F85" s="68">
        <f t="shared" si="28"/>
        <v>0</v>
      </c>
      <c r="G85" s="150">
        <f>G89</f>
        <v>0</v>
      </c>
      <c r="H85" s="150">
        <f t="shared" ref="H85:K85" si="32">H89</f>
        <v>0</v>
      </c>
      <c r="I85" s="150">
        <f t="shared" si="32"/>
        <v>0</v>
      </c>
      <c r="J85" s="150">
        <f t="shared" si="32"/>
        <v>0</v>
      </c>
      <c r="K85" s="150">
        <f t="shared" si="32"/>
        <v>0</v>
      </c>
      <c r="L85" s="255"/>
      <c r="M85" s="256"/>
      <c r="N85" s="224"/>
      <c r="O85" s="224"/>
      <c r="P85" s="224"/>
      <c r="Q85" s="64"/>
      <c r="R85" s="64"/>
    </row>
    <row r="86" spans="1:18" s="15" customFormat="1" ht="37.5" x14ac:dyDescent="0.25">
      <c r="A86" s="245"/>
      <c r="B86" s="246"/>
      <c r="C86" s="246"/>
      <c r="D86" s="226" t="s">
        <v>139</v>
      </c>
      <c r="E86" s="150"/>
      <c r="F86" s="68">
        <f t="shared" si="28"/>
        <v>0</v>
      </c>
      <c r="G86" s="150">
        <f>G90</f>
        <v>0</v>
      </c>
      <c r="H86" s="150">
        <f t="shared" ref="H86:K86" si="33">H90</f>
        <v>0</v>
      </c>
      <c r="I86" s="150">
        <f t="shared" si="33"/>
        <v>0</v>
      </c>
      <c r="J86" s="150">
        <f t="shared" si="33"/>
        <v>0</v>
      </c>
      <c r="K86" s="150">
        <f t="shared" si="33"/>
        <v>0</v>
      </c>
      <c r="L86" s="255"/>
      <c r="M86" s="256"/>
      <c r="N86" s="224"/>
      <c r="O86" s="224"/>
      <c r="P86" s="224"/>
      <c r="Q86" s="64"/>
      <c r="R86" s="64"/>
    </row>
    <row r="87" spans="1:18" s="53" customFormat="1" ht="40.5" customHeight="1" x14ac:dyDescent="0.25">
      <c r="A87" s="250" t="s">
        <v>59</v>
      </c>
      <c r="B87" s="267" t="s">
        <v>234</v>
      </c>
      <c r="C87" s="252" t="s">
        <v>138</v>
      </c>
      <c r="D87" s="233" t="s">
        <v>46</v>
      </c>
      <c r="E87" s="74">
        <v>200475</v>
      </c>
      <c r="F87" s="68">
        <f t="shared" ref="F87:F90" si="34">SUM(G87:K87)</f>
        <v>0</v>
      </c>
      <c r="G87" s="74">
        <v>0</v>
      </c>
      <c r="H87" s="74">
        <v>0</v>
      </c>
      <c r="I87" s="74">
        <f>202841-202841</f>
        <v>0</v>
      </c>
      <c r="J87" s="74">
        <v>0</v>
      </c>
      <c r="K87" s="74">
        <v>0</v>
      </c>
      <c r="L87" s="261" t="s">
        <v>4</v>
      </c>
      <c r="M87" s="253" t="s">
        <v>235</v>
      </c>
      <c r="N87" s="223"/>
      <c r="O87" s="223"/>
      <c r="P87" s="223"/>
    </row>
    <row r="88" spans="1:18" s="53" customFormat="1" ht="37.5" x14ac:dyDescent="0.25">
      <c r="A88" s="250"/>
      <c r="B88" s="267"/>
      <c r="C88" s="252"/>
      <c r="D88" s="233" t="s">
        <v>1</v>
      </c>
      <c r="E88" s="74">
        <v>93</v>
      </c>
      <c r="F88" s="68">
        <f t="shared" si="34"/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261"/>
      <c r="M88" s="253"/>
      <c r="N88" s="223"/>
      <c r="O88" s="223"/>
      <c r="P88" s="223"/>
    </row>
    <row r="89" spans="1:18" s="53" customFormat="1" ht="56.25" x14ac:dyDescent="0.25">
      <c r="A89" s="250"/>
      <c r="B89" s="267"/>
      <c r="C89" s="252"/>
      <c r="D89" s="233" t="s">
        <v>54</v>
      </c>
      <c r="E89" s="74"/>
      <c r="F89" s="68">
        <f t="shared" si="34"/>
        <v>0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261"/>
      <c r="M89" s="253"/>
      <c r="N89" s="223"/>
      <c r="O89" s="223"/>
      <c r="P89" s="223"/>
    </row>
    <row r="90" spans="1:18" s="53" customFormat="1" ht="37.5" x14ac:dyDescent="0.25">
      <c r="A90" s="250"/>
      <c r="B90" s="267"/>
      <c r="C90" s="252"/>
      <c r="D90" s="233" t="s">
        <v>139</v>
      </c>
      <c r="E90" s="74"/>
      <c r="F90" s="68">
        <f t="shared" si="34"/>
        <v>0</v>
      </c>
      <c r="G90" s="74">
        <v>0</v>
      </c>
      <c r="H90" s="74">
        <v>0</v>
      </c>
      <c r="I90" s="74">
        <v>0</v>
      </c>
      <c r="J90" s="74">
        <v>0</v>
      </c>
      <c r="K90" s="74">
        <v>0</v>
      </c>
      <c r="L90" s="261"/>
      <c r="M90" s="253"/>
      <c r="N90" s="223"/>
      <c r="O90" s="223"/>
      <c r="P90" s="223"/>
    </row>
    <row r="91" spans="1:18" s="15" customFormat="1" ht="18.75" customHeight="1" x14ac:dyDescent="0.25">
      <c r="A91" s="245" t="s">
        <v>41</v>
      </c>
      <c r="B91" s="246" t="s">
        <v>122</v>
      </c>
      <c r="C91" s="246" t="s">
        <v>138</v>
      </c>
      <c r="D91" s="226" t="s">
        <v>3</v>
      </c>
      <c r="E91" s="149" t="e">
        <f>E93+E94+E92</f>
        <v>#REF!</v>
      </c>
      <c r="F91" s="68">
        <f t="shared" ref="F91:F95" si="35">SUM(G91:K91)</f>
        <v>21384.41</v>
      </c>
      <c r="G91" s="149">
        <f>G92+G93+G94+G95</f>
        <v>0</v>
      </c>
      <c r="H91" s="149">
        <f t="shared" ref="H91:K91" si="36">H92+H93+H94+H95</f>
        <v>21384.41</v>
      </c>
      <c r="I91" s="149">
        <f t="shared" si="36"/>
        <v>0</v>
      </c>
      <c r="J91" s="149">
        <f t="shared" si="36"/>
        <v>0</v>
      </c>
      <c r="K91" s="149">
        <f t="shared" si="36"/>
        <v>0</v>
      </c>
      <c r="L91" s="255"/>
      <c r="M91" s="256"/>
      <c r="N91" s="224"/>
      <c r="O91" s="224"/>
      <c r="P91" s="224"/>
      <c r="Q91" s="64"/>
      <c r="R91" s="64"/>
    </row>
    <row r="92" spans="1:18" s="15" customFormat="1" ht="37.5" x14ac:dyDescent="0.25">
      <c r="A92" s="245"/>
      <c r="B92" s="246"/>
      <c r="C92" s="246"/>
      <c r="D92" s="226" t="s">
        <v>46</v>
      </c>
      <c r="E92" s="150">
        <f>E163</f>
        <v>0</v>
      </c>
      <c r="F92" s="68">
        <f t="shared" si="35"/>
        <v>15840.25</v>
      </c>
      <c r="G92" s="150">
        <f>G96</f>
        <v>0</v>
      </c>
      <c r="H92" s="150">
        <f t="shared" ref="H92:K92" si="37">H96</f>
        <v>15840.25</v>
      </c>
      <c r="I92" s="150">
        <f t="shared" si="37"/>
        <v>0</v>
      </c>
      <c r="J92" s="150">
        <f t="shared" si="37"/>
        <v>0</v>
      </c>
      <c r="K92" s="150">
        <f t="shared" si="37"/>
        <v>0</v>
      </c>
      <c r="L92" s="255"/>
      <c r="M92" s="256"/>
      <c r="N92" s="224"/>
      <c r="O92" s="224"/>
      <c r="P92" s="224"/>
      <c r="Q92" s="64"/>
      <c r="R92" s="64"/>
    </row>
    <row r="93" spans="1:18" s="15" customFormat="1" ht="39.75" customHeight="1" x14ac:dyDescent="0.25">
      <c r="A93" s="245"/>
      <c r="B93" s="246"/>
      <c r="C93" s="246"/>
      <c r="D93" s="226" t="s">
        <v>1</v>
      </c>
      <c r="E93" s="150" t="e">
        <f>#REF!+E96+E97+E145+#REF!+#REF!+E164+E169</f>
        <v>#REF!</v>
      </c>
      <c r="F93" s="68">
        <f t="shared" si="35"/>
        <v>5280.15</v>
      </c>
      <c r="G93" s="150">
        <f>G97</f>
        <v>0</v>
      </c>
      <c r="H93" s="150">
        <f t="shared" ref="H93:K93" si="38">H97</f>
        <v>5280.15</v>
      </c>
      <c r="I93" s="150">
        <f t="shared" si="38"/>
        <v>0</v>
      </c>
      <c r="J93" s="150">
        <f t="shared" si="38"/>
        <v>0</v>
      </c>
      <c r="K93" s="150">
        <f t="shared" si="38"/>
        <v>0</v>
      </c>
      <c r="L93" s="255"/>
      <c r="M93" s="256"/>
      <c r="N93" s="224"/>
      <c r="O93" s="224"/>
      <c r="P93" s="224"/>
      <c r="Q93" s="64"/>
      <c r="R93" s="64"/>
    </row>
    <row r="94" spans="1:18" s="15" customFormat="1" ht="58.5" customHeight="1" x14ac:dyDescent="0.25">
      <c r="A94" s="245"/>
      <c r="B94" s="246"/>
      <c r="C94" s="246"/>
      <c r="D94" s="226" t="s">
        <v>55</v>
      </c>
      <c r="E94" s="150" t="e">
        <f>#REF!+E149+#REF!+#REF!+#REF!+E165+E171</f>
        <v>#REF!</v>
      </c>
      <c r="F94" s="68">
        <f t="shared" si="35"/>
        <v>264.01</v>
      </c>
      <c r="G94" s="150">
        <f>G98</f>
        <v>0</v>
      </c>
      <c r="H94" s="150">
        <f t="shared" ref="H94:K94" si="39">H98</f>
        <v>264.01</v>
      </c>
      <c r="I94" s="150">
        <f t="shared" si="39"/>
        <v>0</v>
      </c>
      <c r="J94" s="150">
        <f t="shared" si="39"/>
        <v>0</v>
      </c>
      <c r="K94" s="150">
        <f t="shared" si="39"/>
        <v>0</v>
      </c>
      <c r="L94" s="255"/>
      <c r="M94" s="256"/>
      <c r="N94" s="224"/>
      <c r="O94" s="224"/>
      <c r="P94" s="224"/>
      <c r="Q94" s="64"/>
      <c r="R94" s="64"/>
    </row>
    <row r="95" spans="1:18" s="15" customFormat="1" ht="37.5" x14ac:dyDescent="0.25">
      <c r="A95" s="245"/>
      <c r="B95" s="246"/>
      <c r="C95" s="246"/>
      <c r="D95" s="226" t="s">
        <v>139</v>
      </c>
      <c r="E95" s="150"/>
      <c r="F95" s="68">
        <f t="shared" si="35"/>
        <v>0</v>
      </c>
      <c r="G95" s="150">
        <f>G99</f>
        <v>0</v>
      </c>
      <c r="H95" s="150">
        <f t="shared" ref="H95:K95" si="40">H99</f>
        <v>0</v>
      </c>
      <c r="I95" s="150">
        <f t="shared" si="40"/>
        <v>0</v>
      </c>
      <c r="J95" s="150">
        <f t="shared" si="40"/>
        <v>0</v>
      </c>
      <c r="K95" s="150">
        <f t="shared" si="40"/>
        <v>0</v>
      </c>
      <c r="L95" s="255"/>
      <c r="M95" s="256"/>
      <c r="N95" s="224"/>
      <c r="O95" s="224"/>
      <c r="P95" s="224"/>
      <c r="Q95" s="64"/>
      <c r="R95" s="64"/>
    </row>
    <row r="96" spans="1:18" s="53" customFormat="1" ht="40.5" customHeight="1" x14ac:dyDescent="0.25">
      <c r="A96" s="250" t="s">
        <v>72</v>
      </c>
      <c r="B96" s="267" t="s">
        <v>232</v>
      </c>
      <c r="C96" s="252" t="s">
        <v>138</v>
      </c>
      <c r="D96" s="233" t="s">
        <v>46</v>
      </c>
      <c r="E96" s="74">
        <v>200475</v>
      </c>
      <c r="F96" s="68">
        <f t="shared" ref="F96:F99" si="41">SUM(G96:K96)</f>
        <v>15840.25</v>
      </c>
      <c r="G96" s="74">
        <v>0</v>
      </c>
      <c r="H96" s="74">
        <v>15840.25</v>
      </c>
      <c r="I96" s="74">
        <f>202841-202841</f>
        <v>0</v>
      </c>
      <c r="J96" s="74">
        <v>0</v>
      </c>
      <c r="K96" s="74">
        <v>0</v>
      </c>
      <c r="L96" s="261" t="s">
        <v>4</v>
      </c>
      <c r="M96" s="253" t="s">
        <v>129</v>
      </c>
      <c r="N96" s="223"/>
      <c r="O96" s="223"/>
      <c r="P96" s="223"/>
    </row>
    <row r="97" spans="1:18" s="53" customFormat="1" ht="37.5" x14ac:dyDescent="0.25">
      <c r="A97" s="250"/>
      <c r="B97" s="267"/>
      <c r="C97" s="252"/>
      <c r="D97" s="233" t="s">
        <v>1</v>
      </c>
      <c r="E97" s="74">
        <v>93</v>
      </c>
      <c r="F97" s="68">
        <f t="shared" si="41"/>
        <v>5280.15</v>
      </c>
      <c r="G97" s="74">
        <v>0</v>
      </c>
      <c r="H97" s="74">
        <v>5280.15</v>
      </c>
      <c r="I97" s="74">
        <v>0</v>
      </c>
      <c r="J97" s="74">
        <v>0</v>
      </c>
      <c r="K97" s="74">
        <v>0</v>
      </c>
      <c r="L97" s="261"/>
      <c r="M97" s="253"/>
      <c r="N97" s="223"/>
      <c r="O97" s="223"/>
      <c r="P97" s="223"/>
    </row>
    <row r="98" spans="1:18" s="53" customFormat="1" ht="56.25" x14ac:dyDescent="0.25">
      <c r="A98" s="250"/>
      <c r="B98" s="267"/>
      <c r="C98" s="252"/>
      <c r="D98" s="233" t="s">
        <v>54</v>
      </c>
      <c r="E98" s="74"/>
      <c r="F98" s="68">
        <f t="shared" si="41"/>
        <v>264.01</v>
      </c>
      <c r="G98" s="74">
        <v>0</v>
      </c>
      <c r="H98" s="74">
        <v>264.01</v>
      </c>
      <c r="I98" s="74">
        <v>0</v>
      </c>
      <c r="J98" s="74">
        <v>0</v>
      </c>
      <c r="K98" s="74">
        <v>0</v>
      </c>
      <c r="L98" s="261"/>
      <c r="M98" s="253"/>
      <c r="N98" s="223"/>
      <c r="O98" s="223"/>
      <c r="P98" s="223"/>
    </row>
    <row r="99" spans="1:18" s="53" customFormat="1" ht="37.5" x14ac:dyDescent="0.25">
      <c r="A99" s="250"/>
      <c r="B99" s="267"/>
      <c r="C99" s="252"/>
      <c r="D99" s="233" t="s">
        <v>139</v>
      </c>
      <c r="E99" s="74"/>
      <c r="F99" s="68">
        <f t="shared" si="41"/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261"/>
      <c r="M99" s="253"/>
      <c r="N99" s="223"/>
      <c r="O99" s="223"/>
      <c r="P99" s="223"/>
    </row>
    <row r="100" spans="1:18" s="15" customFormat="1" ht="18.75" customHeight="1" x14ac:dyDescent="0.25">
      <c r="A100" s="245" t="s">
        <v>12</v>
      </c>
      <c r="B100" s="246" t="s">
        <v>121</v>
      </c>
      <c r="C100" s="246" t="s">
        <v>138</v>
      </c>
      <c r="D100" s="226" t="s">
        <v>3</v>
      </c>
      <c r="E100" s="149" t="e">
        <f>E102+E103+E101</f>
        <v>#REF!</v>
      </c>
      <c r="F100" s="68">
        <f t="shared" ref="F100:F104" si="42">SUM(G100:K100)</f>
        <v>0</v>
      </c>
      <c r="G100" s="149">
        <f>G101+G102+G103+G104</f>
        <v>0</v>
      </c>
      <c r="H100" s="149">
        <f t="shared" ref="H100:K100" si="43">H101+H102+H103+H104</f>
        <v>0</v>
      </c>
      <c r="I100" s="149">
        <f t="shared" si="43"/>
        <v>0</v>
      </c>
      <c r="J100" s="149">
        <f t="shared" si="43"/>
        <v>0</v>
      </c>
      <c r="K100" s="149">
        <f t="shared" si="43"/>
        <v>0</v>
      </c>
      <c r="L100" s="255"/>
      <c r="M100" s="256"/>
      <c r="N100" s="224"/>
      <c r="O100" s="224"/>
      <c r="P100" s="224"/>
      <c r="Q100" s="64"/>
      <c r="R100" s="64"/>
    </row>
    <row r="101" spans="1:18" s="15" customFormat="1" ht="37.5" x14ac:dyDescent="0.25">
      <c r="A101" s="245"/>
      <c r="B101" s="246"/>
      <c r="C101" s="246"/>
      <c r="D101" s="226" t="s">
        <v>46</v>
      </c>
      <c r="E101" s="150">
        <f>E145</f>
        <v>0</v>
      </c>
      <c r="F101" s="68">
        <f t="shared" si="42"/>
        <v>0</v>
      </c>
      <c r="G101" s="150">
        <f>G105</f>
        <v>0</v>
      </c>
      <c r="H101" s="150">
        <f t="shared" ref="H101:K101" si="44">H105</f>
        <v>0</v>
      </c>
      <c r="I101" s="150">
        <f t="shared" si="44"/>
        <v>0</v>
      </c>
      <c r="J101" s="150">
        <f t="shared" si="44"/>
        <v>0</v>
      </c>
      <c r="K101" s="150">
        <f t="shared" si="44"/>
        <v>0</v>
      </c>
      <c r="L101" s="255"/>
      <c r="M101" s="256"/>
      <c r="N101" s="224"/>
      <c r="O101" s="224"/>
      <c r="P101" s="224"/>
      <c r="Q101" s="64"/>
      <c r="R101" s="64"/>
    </row>
    <row r="102" spans="1:18" s="15" customFormat="1" ht="39.75" customHeight="1" x14ac:dyDescent="0.25">
      <c r="A102" s="245"/>
      <c r="B102" s="246"/>
      <c r="C102" s="246"/>
      <c r="D102" s="226" t="s">
        <v>1</v>
      </c>
      <c r="E102" s="150" t="e">
        <f>#REF!+E105+E106+E130+#REF!+#REF!+E146+E151</f>
        <v>#REF!</v>
      </c>
      <c r="F102" s="68">
        <f t="shared" si="42"/>
        <v>0</v>
      </c>
      <c r="G102" s="150">
        <f>G106</f>
        <v>0</v>
      </c>
      <c r="H102" s="150">
        <f t="shared" ref="H102:K102" si="45">H106</f>
        <v>0</v>
      </c>
      <c r="I102" s="150">
        <f t="shared" si="45"/>
        <v>0</v>
      </c>
      <c r="J102" s="150">
        <f t="shared" si="45"/>
        <v>0</v>
      </c>
      <c r="K102" s="150">
        <f t="shared" si="45"/>
        <v>0</v>
      </c>
      <c r="L102" s="255"/>
      <c r="M102" s="256"/>
      <c r="N102" s="224"/>
      <c r="O102" s="224"/>
      <c r="P102" s="224"/>
      <c r="Q102" s="64"/>
      <c r="R102" s="64"/>
    </row>
    <row r="103" spans="1:18" s="15" customFormat="1" ht="58.5" customHeight="1" x14ac:dyDescent="0.25">
      <c r="A103" s="245"/>
      <c r="B103" s="246"/>
      <c r="C103" s="246"/>
      <c r="D103" s="226" t="s">
        <v>55</v>
      </c>
      <c r="E103" s="150" t="e">
        <f>#REF!+E135+#REF!+#REF!+#REF!+E147+E153</f>
        <v>#REF!</v>
      </c>
      <c r="F103" s="68">
        <f t="shared" si="42"/>
        <v>0</v>
      </c>
      <c r="G103" s="150">
        <f>G107</f>
        <v>0</v>
      </c>
      <c r="H103" s="150">
        <f t="shared" ref="H103:K103" si="46">H107</f>
        <v>0</v>
      </c>
      <c r="I103" s="150">
        <f t="shared" si="46"/>
        <v>0</v>
      </c>
      <c r="J103" s="150">
        <f t="shared" si="46"/>
        <v>0</v>
      </c>
      <c r="K103" s="150">
        <f t="shared" si="46"/>
        <v>0</v>
      </c>
      <c r="L103" s="255"/>
      <c r="M103" s="256"/>
      <c r="N103" s="224"/>
      <c r="O103" s="224"/>
      <c r="P103" s="224"/>
      <c r="Q103" s="64"/>
      <c r="R103" s="64"/>
    </row>
    <row r="104" spans="1:18" s="15" customFormat="1" ht="37.5" x14ac:dyDescent="0.25">
      <c r="A104" s="245"/>
      <c r="B104" s="246"/>
      <c r="C104" s="246"/>
      <c r="D104" s="226" t="s">
        <v>139</v>
      </c>
      <c r="E104" s="150"/>
      <c r="F104" s="68">
        <f t="shared" si="42"/>
        <v>0</v>
      </c>
      <c r="G104" s="150">
        <f>G108</f>
        <v>0</v>
      </c>
      <c r="H104" s="150">
        <f t="shared" ref="H104:K104" si="47">H108</f>
        <v>0</v>
      </c>
      <c r="I104" s="150">
        <f t="shared" si="47"/>
        <v>0</v>
      </c>
      <c r="J104" s="150">
        <f t="shared" si="47"/>
        <v>0</v>
      </c>
      <c r="K104" s="150">
        <f t="shared" si="47"/>
        <v>0</v>
      </c>
      <c r="L104" s="255"/>
      <c r="M104" s="256"/>
      <c r="N104" s="224"/>
      <c r="O104" s="224"/>
      <c r="P104" s="224"/>
      <c r="Q104" s="64"/>
      <c r="R104" s="64"/>
    </row>
    <row r="105" spans="1:18" s="53" customFormat="1" ht="40.5" customHeight="1" x14ac:dyDescent="0.25">
      <c r="A105" s="250" t="s">
        <v>77</v>
      </c>
      <c r="B105" s="267" t="s">
        <v>228</v>
      </c>
      <c r="C105" s="252" t="s">
        <v>138</v>
      </c>
      <c r="D105" s="233" t="s">
        <v>46</v>
      </c>
      <c r="E105" s="74">
        <v>200475</v>
      </c>
      <c r="F105" s="68">
        <f t="shared" ref="F105:F108" si="48">SUM(G105:K105)</f>
        <v>0</v>
      </c>
      <c r="G105" s="74">
        <v>0</v>
      </c>
      <c r="H105" s="74">
        <v>0</v>
      </c>
      <c r="I105" s="74">
        <f>202841-202841</f>
        <v>0</v>
      </c>
      <c r="J105" s="74">
        <v>0</v>
      </c>
      <c r="K105" s="74">
        <v>0</v>
      </c>
      <c r="L105" s="261" t="s">
        <v>4</v>
      </c>
      <c r="M105" s="253" t="s">
        <v>104</v>
      </c>
      <c r="N105" s="223"/>
      <c r="O105" s="223"/>
      <c r="P105" s="223"/>
    </row>
    <row r="106" spans="1:18" s="53" customFormat="1" ht="37.5" x14ac:dyDescent="0.25">
      <c r="A106" s="250"/>
      <c r="B106" s="267"/>
      <c r="C106" s="252"/>
      <c r="D106" s="233" t="s">
        <v>1</v>
      </c>
      <c r="E106" s="74">
        <v>93</v>
      </c>
      <c r="F106" s="68">
        <f t="shared" si="48"/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261"/>
      <c r="M106" s="253"/>
      <c r="N106" s="223"/>
      <c r="O106" s="223"/>
      <c r="P106" s="223"/>
    </row>
    <row r="107" spans="1:18" s="53" customFormat="1" ht="56.25" x14ac:dyDescent="0.25">
      <c r="A107" s="250"/>
      <c r="B107" s="267"/>
      <c r="C107" s="252"/>
      <c r="D107" s="233" t="s">
        <v>54</v>
      </c>
      <c r="E107" s="74"/>
      <c r="F107" s="68">
        <f t="shared" si="48"/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261"/>
      <c r="M107" s="253"/>
      <c r="N107" s="223"/>
      <c r="O107" s="223"/>
      <c r="P107" s="223"/>
    </row>
    <row r="108" spans="1:18" s="53" customFormat="1" ht="37.5" x14ac:dyDescent="0.25">
      <c r="A108" s="250"/>
      <c r="B108" s="267"/>
      <c r="C108" s="252"/>
      <c r="D108" s="233" t="s">
        <v>139</v>
      </c>
      <c r="E108" s="74"/>
      <c r="F108" s="68">
        <f t="shared" si="48"/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261"/>
      <c r="M108" s="253"/>
      <c r="N108" s="223"/>
      <c r="O108" s="223"/>
      <c r="P108" s="223"/>
    </row>
    <row r="109" spans="1:18" s="15" customFormat="1" ht="18.75" customHeight="1" x14ac:dyDescent="0.25">
      <c r="A109" s="245" t="s">
        <v>42</v>
      </c>
      <c r="B109" s="246" t="s">
        <v>123</v>
      </c>
      <c r="C109" s="246" t="s">
        <v>138</v>
      </c>
      <c r="D109" s="226" t="s">
        <v>3</v>
      </c>
      <c r="E109" s="149" t="e">
        <f>E111+E112+E110</f>
        <v>#REF!</v>
      </c>
      <c r="F109" s="68">
        <f t="shared" ref="F109:F113" si="49">SUM(G109:K109)</f>
        <v>0</v>
      </c>
      <c r="G109" s="149">
        <f>G110+G111+G112+G113</f>
        <v>0</v>
      </c>
      <c r="H109" s="149">
        <f t="shared" ref="H109:K109" si="50">H110+H111+H112+H113</f>
        <v>0</v>
      </c>
      <c r="I109" s="149">
        <f t="shared" si="50"/>
        <v>0</v>
      </c>
      <c r="J109" s="149">
        <f t="shared" si="50"/>
        <v>0</v>
      </c>
      <c r="K109" s="149">
        <f t="shared" si="50"/>
        <v>0</v>
      </c>
      <c r="L109" s="255"/>
      <c r="M109" s="256"/>
      <c r="N109" s="224"/>
      <c r="O109" s="224"/>
      <c r="P109" s="224"/>
      <c r="Q109" s="64"/>
      <c r="R109" s="64"/>
    </row>
    <row r="110" spans="1:18" s="15" customFormat="1" ht="37.5" x14ac:dyDescent="0.25">
      <c r="A110" s="245"/>
      <c r="B110" s="246"/>
      <c r="C110" s="246"/>
      <c r="D110" s="226" t="s">
        <v>46</v>
      </c>
      <c r="E110" s="150" t="e">
        <f>E130</f>
        <v>#REF!</v>
      </c>
      <c r="F110" s="68">
        <f t="shared" si="49"/>
        <v>0</v>
      </c>
      <c r="G110" s="150">
        <f>G114</f>
        <v>0</v>
      </c>
      <c r="H110" s="150">
        <f t="shared" ref="H110:K110" si="51">H114</f>
        <v>0</v>
      </c>
      <c r="I110" s="150">
        <f t="shared" si="51"/>
        <v>0</v>
      </c>
      <c r="J110" s="150">
        <f t="shared" si="51"/>
        <v>0</v>
      </c>
      <c r="K110" s="150">
        <f t="shared" si="51"/>
        <v>0</v>
      </c>
      <c r="L110" s="255"/>
      <c r="M110" s="256"/>
      <c r="N110" s="224"/>
      <c r="O110" s="224"/>
      <c r="P110" s="224"/>
      <c r="Q110" s="64"/>
      <c r="R110" s="64"/>
    </row>
    <row r="111" spans="1:18" s="15" customFormat="1" ht="39.75" customHeight="1" x14ac:dyDescent="0.25">
      <c r="A111" s="245"/>
      <c r="B111" s="246"/>
      <c r="C111" s="246"/>
      <c r="D111" s="226" t="s">
        <v>1</v>
      </c>
      <c r="E111" s="150" t="e">
        <f>#REF!+E114+E115+#REF!+#REF!+#REF!+E132+E137</f>
        <v>#REF!</v>
      </c>
      <c r="F111" s="68">
        <f t="shared" si="49"/>
        <v>0</v>
      </c>
      <c r="G111" s="150">
        <f>G115</f>
        <v>0</v>
      </c>
      <c r="H111" s="150">
        <f t="shared" ref="H111:K111" si="52">H115</f>
        <v>0</v>
      </c>
      <c r="I111" s="150">
        <f t="shared" si="52"/>
        <v>0</v>
      </c>
      <c r="J111" s="150">
        <f t="shared" si="52"/>
        <v>0</v>
      </c>
      <c r="K111" s="150">
        <f t="shared" si="52"/>
        <v>0</v>
      </c>
      <c r="L111" s="255"/>
      <c r="M111" s="256"/>
      <c r="N111" s="224"/>
      <c r="O111" s="224"/>
      <c r="P111" s="224"/>
      <c r="Q111" s="64"/>
      <c r="R111" s="64"/>
    </row>
    <row r="112" spans="1:18" s="15" customFormat="1" ht="58.5" customHeight="1" x14ac:dyDescent="0.25">
      <c r="A112" s="245"/>
      <c r="B112" s="246"/>
      <c r="C112" s="246"/>
      <c r="D112" s="226" t="s">
        <v>55</v>
      </c>
      <c r="E112" s="150" t="e">
        <f>#REF!+#REF!+#REF!+#REF!+#REF!+E133+#REF!</f>
        <v>#REF!</v>
      </c>
      <c r="F112" s="68">
        <f t="shared" si="49"/>
        <v>0</v>
      </c>
      <c r="G112" s="150">
        <f>G116</f>
        <v>0</v>
      </c>
      <c r="H112" s="150">
        <f t="shared" ref="H112:K112" si="53">H116</f>
        <v>0</v>
      </c>
      <c r="I112" s="150">
        <f t="shared" si="53"/>
        <v>0</v>
      </c>
      <c r="J112" s="150">
        <f t="shared" si="53"/>
        <v>0</v>
      </c>
      <c r="K112" s="150">
        <f t="shared" si="53"/>
        <v>0</v>
      </c>
      <c r="L112" s="255"/>
      <c r="M112" s="256"/>
      <c r="N112" s="224"/>
      <c r="O112" s="224"/>
      <c r="P112" s="224"/>
      <c r="Q112" s="64"/>
      <c r="R112" s="64"/>
    </row>
    <row r="113" spans="1:23" s="15" customFormat="1" ht="37.5" x14ac:dyDescent="0.25">
      <c r="A113" s="245"/>
      <c r="B113" s="246"/>
      <c r="C113" s="246"/>
      <c r="D113" s="226" t="s">
        <v>139</v>
      </c>
      <c r="E113" s="150"/>
      <c r="F113" s="68">
        <f t="shared" si="49"/>
        <v>0</v>
      </c>
      <c r="G113" s="150">
        <f>G117</f>
        <v>0</v>
      </c>
      <c r="H113" s="150">
        <f t="shared" ref="H113:K113" si="54">H117</f>
        <v>0</v>
      </c>
      <c r="I113" s="150">
        <f t="shared" si="54"/>
        <v>0</v>
      </c>
      <c r="J113" s="150">
        <f t="shared" si="54"/>
        <v>0</v>
      </c>
      <c r="K113" s="150">
        <f t="shared" si="54"/>
        <v>0</v>
      </c>
      <c r="L113" s="255"/>
      <c r="M113" s="256"/>
      <c r="N113" s="224"/>
      <c r="O113" s="224"/>
      <c r="P113" s="224"/>
      <c r="Q113" s="64"/>
      <c r="R113" s="64"/>
    </row>
    <row r="114" spans="1:23" s="53" customFormat="1" ht="40.5" customHeight="1" x14ac:dyDescent="0.25">
      <c r="A114" s="250" t="s">
        <v>65</v>
      </c>
      <c r="B114" s="267" t="s">
        <v>247</v>
      </c>
      <c r="C114" s="252" t="s">
        <v>138</v>
      </c>
      <c r="D114" s="233" t="s">
        <v>46</v>
      </c>
      <c r="E114" s="74">
        <v>200475</v>
      </c>
      <c r="F114" s="68">
        <f t="shared" ref="F114:F117" si="55">SUM(G114:K114)</f>
        <v>0</v>
      </c>
      <c r="G114" s="74">
        <v>0</v>
      </c>
      <c r="H114" s="74">
        <v>0</v>
      </c>
      <c r="I114" s="74">
        <f>202841-202841</f>
        <v>0</v>
      </c>
      <c r="J114" s="74">
        <v>0</v>
      </c>
      <c r="K114" s="74">
        <v>0</v>
      </c>
      <c r="L114" s="261" t="s">
        <v>4</v>
      </c>
      <c r="M114" s="253" t="s">
        <v>67</v>
      </c>
      <c r="N114" s="223"/>
      <c r="O114" s="223"/>
      <c r="P114" s="223"/>
    </row>
    <row r="115" spans="1:23" s="53" customFormat="1" ht="37.5" x14ac:dyDescent="0.25">
      <c r="A115" s="250"/>
      <c r="B115" s="267"/>
      <c r="C115" s="252"/>
      <c r="D115" s="233" t="s">
        <v>1</v>
      </c>
      <c r="E115" s="74">
        <v>93</v>
      </c>
      <c r="F115" s="68">
        <f t="shared" si="55"/>
        <v>0</v>
      </c>
      <c r="G115" s="74">
        <v>0</v>
      </c>
      <c r="H115" s="74">
        <v>0</v>
      </c>
      <c r="I115" s="74">
        <v>0</v>
      </c>
      <c r="J115" s="74">
        <v>0</v>
      </c>
      <c r="K115" s="74">
        <v>0</v>
      </c>
      <c r="L115" s="261"/>
      <c r="M115" s="253"/>
      <c r="N115" s="223"/>
      <c r="O115" s="223"/>
      <c r="P115" s="223"/>
    </row>
    <row r="116" spans="1:23" s="53" customFormat="1" ht="56.25" x14ac:dyDescent="0.25">
      <c r="A116" s="250"/>
      <c r="B116" s="267"/>
      <c r="C116" s="252"/>
      <c r="D116" s="233" t="s">
        <v>54</v>
      </c>
      <c r="E116" s="74"/>
      <c r="F116" s="68">
        <f t="shared" si="55"/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261"/>
      <c r="M116" s="253"/>
      <c r="N116" s="223"/>
      <c r="O116" s="223"/>
      <c r="P116" s="223"/>
    </row>
    <row r="117" spans="1:23" s="53" customFormat="1" ht="37.5" x14ac:dyDescent="0.25">
      <c r="A117" s="250"/>
      <c r="B117" s="267"/>
      <c r="C117" s="252"/>
      <c r="D117" s="233" t="s">
        <v>139</v>
      </c>
      <c r="E117" s="74"/>
      <c r="F117" s="68">
        <f t="shared" si="55"/>
        <v>0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261"/>
      <c r="M117" s="253"/>
      <c r="N117" s="223"/>
      <c r="O117" s="223"/>
      <c r="P117" s="223"/>
    </row>
    <row r="118" spans="1:23" s="15" customFormat="1" ht="18.75" customHeight="1" x14ac:dyDescent="0.25">
      <c r="A118" s="245" t="s">
        <v>13</v>
      </c>
      <c r="B118" s="246" t="s">
        <v>229</v>
      </c>
      <c r="C118" s="246" t="s">
        <v>138</v>
      </c>
      <c r="D118" s="226" t="s">
        <v>3</v>
      </c>
      <c r="E118" s="149" t="e">
        <f>E120+E121+E119</f>
        <v>#REF!</v>
      </c>
      <c r="F118" s="68">
        <f t="shared" ref="F118:F122" si="56">SUM(G118:K118)</f>
        <v>1247.49</v>
      </c>
      <c r="G118" s="149">
        <f>G119+G120+G121+G122</f>
        <v>0</v>
      </c>
      <c r="H118" s="149">
        <f t="shared" ref="H118:K118" si="57">H119+H120+H121+H122</f>
        <v>1247.49</v>
      </c>
      <c r="I118" s="149">
        <f t="shared" si="57"/>
        <v>0</v>
      </c>
      <c r="J118" s="149">
        <f t="shared" si="57"/>
        <v>0</v>
      </c>
      <c r="K118" s="149">
        <f t="shared" si="57"/>
        <v>0</v>
      </c>
      <c r="L118" s="255"/>
      <c r="M118" s="256"/>
      <c r="N118" s="224"/>
      <c r="O118" s="224"/>
      <c r="P118" s="224"/>
      <c r="Q118" s="64"/>
      <c r="R118" s="64"/>
    </row>
    <row r="119" spans="1:23" s="15" customFormat="1" ht="37.5" x14ac:dyDescent="0.25">
      <c r="A119" s="245"/>
      <c r="B119" s="246"/>
      <c r="C119" s="246"/>
      <c r="D119" s="226" t="s">
        <v>46</v>
      </c>
      <c r="E119" s="150">
        <f>E154</f>
        <v>0</v>
      </c>
      <c r="F119" s="68">
        <f t="shared" si="56"/>
        <v>924.06</v>
      </c>
      <c r="G119" s="150">
        <f>G123</f>
        <v>0</v>
      </c>
      <c r="H119" s="150">
        <f t="shared" ref="H119:K119" si="58">H123</f>
        <v>924.06</v>
      </c>
      <c r="I119" s="150">
        <f t="shared" si="58"/>
        <v>0</v>
      </c>
      <c r="J119" s="150">
        <f t="shared" si="58"/>
        <v>0</v>
      </c>
      <c r="K119" s="150">
        <f t="shared" si="58"/>
        <v>0</v>
      </c>
      <c r="L119" s="255"/>
      <c r="M119" s="256"/>
      <c r="N119" s="224"/>
      <c r="O119" s="224"/>
      <c r="P119" s="224"/>
      <c r="Q119" s="64"/>
      <c r="R119" s="64"/>
    </row>
    <row r="120" spans="1:23" s="15" customFormat="1" ht="39.75" customHeight="1" x14ac:dyDescent="0.25">
      <c r="A120" s="245"/>
      <c r="B120" s="246"/>
      <c r="C120" s="246"/>
      <c r="D120" s="226" t="s">
        <v>1</v>
      </c>
      <c r="E120" s="150" t="e">
        <f>#REF!+E123+E124+#REF!+#REF!+#REF!+E155+E160</f>
        <v>#REF!</v>
      </c>
      <c r="F120" s="68">
        <f t="shared" si="56"/>
        <v>308.02</v>
      </c>
      <c r="G120" s="150">
        <f>G124</f>
        <v>0</v>
      </c>
      <c r="H120" s="150">
        <f t="shared" ref="H120:K120" si="59">H124</f>
        <v>308.02</v>
      </c>
      <c r="I120" s="150">
        <f t="shared" si="59"/>
        <v>0</v>
      </c>
      <c r="J120" s="150">
        <f t="shared" si="59"/>
        <v>0</v>
      </c>
      <c r="K120" s="150">
        <f t="shared" si="59"/>
        <v>0</v>
      </c>
      <c r="L120" s="255"/>
      <c r="M120" s="256"/>
      <c r="N120" s="224"/>
      <c r="O120" s="224"/>
      <c r="P120" s="224"/>
      <c r="Q120" s="64"/>
      <c r="R120" s="64"/>
    </row>
    <row r="121" spans="1:23" s="15" customFormat="1" ht="58.5" customHeight="1" x14ac:dyDescent="0.25">
      <c r="A121" s="245"/>
      <c r="B121" s="246"/>
      <c r="C121" s="246"/>
      <c r="D121" s="226" t="s">
        <v>55</v>
      </c>
      <c r="E121" s="150" t="e">
        <f>#REF!+E139+#REF!+#REF!+#REF!+E156+E162</f>
        <v>#REF!</v>
      </c>
      <c r="F121" s="68">
        <f t="shared" si="56"/>
        <v>15.41</v>
      </c>
      <c r="G121" s="150">
        <f>G125</f>
        <v>0</v>
      </c>
      <c r="H121" s="150">
        <f t="shared" ref="H121:K121" si="60">H125</f>
        <v>15.41</v>
      </c>
      <c r="I121" s="150">
        <f t="shared" si="60"/>
        <v>0</v>
      </c>
      <c r="J121" s="150">
        <f t="shared" si="60"/>
        <v>0</v>
      </c>
      <c r="K121" s="150">
        <f t="shared" si="60"/>
        <v>0</v>
      </c>
      <c r="L121" s="255"/>
      <c r="M121" s="256"/>
      <c r="N121" s="224"/>
      <c r="O121" s="224"/>
      <c r="P121" s="224"/>
      <c r="Q121" s="64"/>
      <c r="R121" s="64"/>
    </row>
    <row r="122" spans="1:23" s="15" customFormat="1" ht="37.5" x14ac:dyDescent="0.25">
      <c r="A122" s="245"/>
      <c r="B122" s="246"/>
      <c r="C122" s="246"/>
      <c r="D122" s="226" t="s">
        <v>139</v>
      </c>
      <c r="E122" s="150"/>
      <c r="F122" s="68">
        <f t="shared" si="56"/>
        <v>0</v>
      </c>
      <c r="G122" s="150">
        <f>G126</f>
        <v>0</v>
      </c>
      <c r="H122" s="150">
        <f t="shared" ref="H122:K122" si="61">H126</f>
        <v>0</v>
      </c>
      <c r="I122" s="150">
        <f t="shared" si="61"/>
        <v>0</v>
      </c>
      <c r="J122" s="150">
        <f t="shared" si="61"/>
        <v>0</v>
      </c>
      <c r="K122" s="150">
        <f t="shared" si="61"/>
        <v>0</v>
      </c>
      <c r="L122" s="255"/>
      <c r="M122" s="256"/>
      <c r="N122" s="224"/>
      <c r="O122" s="224"/>
      <c r="P122" s="224"/>
      <c r="Q122" s="64"/>
      <c r="R122" s="64"/>
    </row>
    <row r="123" spans="1:23" s="53" customFormat="1" ht="40.5" customHeight="1" x14ac:dyDescent="0.25">
      <c r="A123" s="250" t="s">
        <v>206</v>
      </c>
      <c r="B123" s="267" t="s">
        <v>230</v>
      </c>
      <c r="C123" s="252" t="s">
        <v>138</v>
      </c>
      <c r="D123" s="233" t="s">
        <v>46</v>
      </c>
      <c r="E123" s="74">
        <v>200475</v>
      </c>
      <c r="F123" s="68">
        <f t="shared" ref="F123:F126" si="62">SUM(G123:K123)</f>
        <v>924.06</v>
      </c>
      <c r="G123" s="74">
        <v>0</v>
      </c>
      <c r="H123" s="74">
        <v>924.06</v>
      </c>
      <c r="I123" s="74">
        <f>202841-202841</f>
        <v>0</v>
      </c>
      <c r="J123" s="74">
        <v>0</v>
      </c>
      <c r="K123" s="74">
        <v>0</v>
      </c>
      <c r="L123" s="261" t="s">
        <v>4</v>
      </c>
      <c r="M123" s="253" t="s">
        <v>231</v>
      </c>
      <c r="N123" s="223"/>
      <c r="O123" s="223"/>
      <c r="P123" s="223"/>
    </row>
    <row r="124" spans="1:23" s="53" customFormat="1" ht="37.5" x14ac:dyDescent="0.25">
      <c r="A124" s="250"/>
      <c r="B124" s="267"/>
      <c r="C124" s="252"/>
      <c r="D124" s="233" t="s">
        <v>1</v>
      </c>
      <c r="E124" s="74">
        <v>93</v>
      </c>
      <c r="F124" s="68">
        <f t="shared" si="62"/>
        <v>308.02</v>
      </c>
      <c r="G124" s="74">
        <v>0</v>
      </c>
      <c r="H124" s="74">
        <v>308.02</v>
      </c>
      <c r="I124" s="74">
        <v>0</v>
      </c>
      <c r="J124" s="74">
        <v>0</v>
      </c>
      <c r="K124" s="74">
        <v>0</v>
      </c>
      <c r="L124" s="261"/>
      <c r="M124" s="253"/>
      <c r="N124" s="223"/>
      <c r="O124" s="223"/>
      <c r="P124" s="223"/>
    </row>
    <row r="125" spans="1:23" s="53" customFormat="1" ht="56.25" x14ac:dyDescent="0.25">
      <c r="A125" s="250"/>
      <c r="B125" s="267"/>
      <c r="C125" s="252"/>
      <c r="D125" s="233" t="s">
        <v>54</v>
      </c>
      <c r="E125" s="74"/>
      <c r="F125" s="68">
        <f t="shared" si="62"/>
        <v>15.41</v>
      </c>
      <c r="G125" s="74">
        <v>0</v>
      </c>
      <c r="H125" s="74">
        <v>15.41</v>
      </c>
      <c r="I125" s="74">
        <v>0</v>
      </c>
      <c r="J125" s="74">
        <v>0</v>
      </c>
      <c r="K125" s="74">
        <v>0</v>
      </c>
      <c r="L125" s="261"/>
      <c r="M125" s="253"/>
      <c r="N125" s="223"/>
      <c r="O125" s="223"/>
      <c r="P125" s="223"/>
    </row>
    <row r="126" spans="1:23" s="53" customFormat="1" ht="37.5" x14ac:dyDescent="0.25">
      <c r="A126" s="250"/>
      <c r="B126" s="267"/>
      <c r="C126" s="252"/>
      <c r="D126" s="233" t="s">
        <v>139</v>
      </c>
      <c r="E126" s="74"/>
      <c r="F126" s="68">
        <f t="shared" si="62"/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261"/>
      <c r="M126" s="253"/>
      <c r="N126" s="223"/>
      <c r="O126" s="223"/>
      <c r="P126" s="223"/>
    </row>
    <row r="127" spans="1:23" s="15" customFormat="1" ht="39" customHeight="1" x14ac:dyDescent="0.25">
      <c r="A127" s="307" t="s">
        <v>245</v>
      </c>
      <c r="B127" s="307"/>
      <c r="C127" s="307"/>
      <c r="D127" s="307"/>
      <c r="E127" s="219" t="e">
        <f>E128+E129+E130+E132</f>
        <v>#REF!</v>
      </c>
      <c r="F127" s="86">
        <f t="shared" ref="F127" si="63">SUM(G127:K127)</f>
        <v>733042.89400000009</v>
      </c>
      <c r="G127" s="219">
        <f>G128+G129+G130+G131</f>
        <v>142369.92199999999</v>
      </c>
      <c r="H127" s="219">
        <f t="shared" ref="H127:K127" si="64">H128+H129+H130+H131</f>
        <v>164642.16800000001</v>
      </c>
      <c r="I127" s="219">
        <f t="shared" si="64"/>
        <v>142010.26800000001</v>
      </c>
      <c r="J127" s="219">
        <f t="shared" si="64"/>
        <v>142010.26800000001</v>
      </c>
      <c r="K127" s="219">
        <f t="shared" si="64"/>
        <v>142010.26800000001</v>
      </c>
      <c r="L127" s="220"/>
      <c r="M127" s="220"/>
      <c r="N127" s="189"/>
      <c r="O127" s="189"/>
      <c r="P127" s="189"/>
      <c r="T127" s="64"/>
      <c r="U127" s="64"/>
      <c r="V127" s="64"/>
      <c r="W127" s="64"/>
    </row>
    <row r="128" spans="1:23" ht="18.75" x14ac:dyDescent="0.25">
      <c r="A128" s="270" t="s">
        <v>46</v>
      </c>
      <c r="B128" s="270"/>
      <c r="C128" s="270"/>
      <c r="D128" s="270"/>
      <c r="E128" s="67" t="e">
        <f>E57+#REF!+#REF!</f>
        <v>#REF!</v>
      </c>
      <c r="F128" s="86">
        <f>SUM(G128:K128)</f>
        <v>16764.310000000001</v>
      </c>
      <c r="G128" s="67">
        <f t="shared" ref="G128:K131" si="65">G8+G17+G44+G74+G110+G101+G119+G92+G83</f>
        <v>0</v>
      </c>
      <c r="H128" s="67">
        <f t="shared" si="65"/>
        <v>16764.310000000001</v>
      </c>
      <c r="I128" s="67">
        <f t="shared" si="65"/>
        <v>0</v>
      </c>
      <c r="J128" s="67">
        <f t="shared" si="65"/>
        <v>0</v>
      </c>
      <c r="K128" s="67">
        <f t="shared" si="65"/>
        <v>0</v>
      </c>
      <c r="L128" s="21"/>
      <c r="M128" s="21"/>
      <c r="N128" s="48"/>
      <c r="O128" s="48"/>
      <c r="P128" s="48"/>
      <c r="Q128" s="48" t="e">
        <f>#REF!+#REF!+#REF!+#REF!</f>
        <v>#REF!</v>
      </c>
      <c r="R128" s="48"/>
      <c r="T128" s="64"/>
      <c r="U128" s="64"/>
      <c r="V128" s="64"/>
      <c r="W128" s="64"/>
    </row>
    <row r="129" spans="1:28" ht="18.75" x14ac:dyDescent="0.25">
      <c r="A129" s="270" t="s">
        <v>1</v>
      </c>
      <c r="B129" s="270"/>
      <c r="C129" s="270"/>
      <c r="D129" s="270"/>
      <c r="E129" s="67" t="e">
        <f>E45+E58+E68+#REF!+#REF!</f>
        <v>#REF!</v>
      </c>
      <c r="F129" s="86">
        <f t="shared" ref="F129:F132" si="66">SUM(G129:K129)</f>
        <v>5588.17</v>
      </c>
      <c r="G129" s="67">
        <f t="shared" si="65"/>
        <v>0</v>
      </c>
      <c r="H129" s="67">
        <f t="shared" si="65"/>
        <v>5588.17</v>
      </c>
      <c r="I129" s="67">
        <f t="shared" si="65"/>
        <v>0</v>
      </c>
      <c r="J129" s="67">
        <f t="shared" si="65"/>
        <v>0</v>
      </c>
      <c r="K129" s="67">
        <f t="shared" si="65"/>
        <v>0</v>
      </c>
      <c r="L129" s="21"/>
      <c r="M129" s="21"/>
      <c r="N129" s="48"/>
      <c r="O129" s="48"/>
      <c r="P129" s="48"/>
      <c r="Q129" s="48" t="e">
        <f>#REF!+#REF!+#REF!+#REF!</f>
        <v>#REF!</v>
      </c>
      <c r="R129" s="48"/>
      <c r="T129" s="64"/>
      <c r="U129" s="64"/>
      <c r="V129" s="64"/>
      <c r="W129" s="64"/>
    </row>
    <row r="130" spans="1:28" ht="18.75" x14ac:dyDescent="0.25">
      <c r="A130" s="270" t="s">
        <v>55</v>
      </c>
      <c r="B130" s="270"/>
      <c r="C130" s="270"/>
      <c r="D130" s="270"/>
      <c r="E130" s="67" t="e">
        <f>E10+E19+E46+#REF!+E59+E69+#REF!+#REF!+#REF!</f>
        <v>#REF!</v>
      </c>
      <c r="F130" s="86">
        <f t="shared" si="66"/>
        <v>551386.40399999998</v>
      </c>
      <c r="G130" s="67">
        <f t="shared" si="65"/>
        <v>110509.12</v>
      </c>
      <c r="H130" s="67">
        <f t="shared" si="65"/>
        <v>110428.886</v>
      </c>
      <c r="I130" s="67">
        <f t="shared" si="65"/>
        <v>110149.466</v>
      </c>
      <c r="J130" s="67">
        <f t="shared" si="65"/>
        <v>110149.466</v>
      </c>
      <c r="K130" s="67">
        <f t="shared" si="65"/>
        <v>110149.466</v>
      </c>
      <c r="L130" s="21"/>
      <c r="M130" s="21"/>
      <c r="N130" s="48"/>
      <c r="O130" s="48"/>
      <c r="P130" s="48"/>
      <c r="Q130" s="48" t="e">
        <f>#REF!+#REF!+#REF!+#REF!+#REF!+#REF!+#REF!+#REF!+#REF!+#REF!+#REF!</f>
        <v>#REF!</v>
      </c>
      <c r="R130" s="48"/>
      <c r="T130" s="64"/>
      <c r="U130" s="64"/>
      <c r="V130" s="64"/>
      <c r="W130" s="64"/>
    </row>
    <row r="131" spans="1:28" ht="18.75" x14ac:dyDescent="0.25">
      <c r="A131" s="270" t="s">
        <v>139</v>
      </c>
      <c r="B131" s="270"/>
      <c r="C131" s="270"/>
      <c r="D131" s="270"/>
      <c r="E131" s="67"/>
      <c r="F131" s="86">
        <f t="shared" si="66"/>
        <v>159304.01</v>
      </c>
      <c r="G131" s="67">
        <f t="shared" si="65"/>
        <v>31860.802</v>
      </c>
      <c r="H131" s="67">
        <f t="shared" si="65"/>
        <v>31860.802</v>
      </c>
      <c r="I131" s="67">
        <f t="shared" si="65"/>
        <v>31860.802</v>
      </c>
      <c r="J131" s="67">
        <f t="shared" si="65"/>
        <v>31860.802</v>
      </c>
      <c r="K131" s="67">
        <f t="shared" si="65"/>
        <v>31860.802</v>
      </c>
      <c r="L131" s="21"/>
      <c r="M131" s="21"/>
      <c r="N131" s="48"/>
      <c r="O131" s="48"/>
      <c r="P131" s="48"/>
      <c r="Q131" s="48"/>
      <c r="R131" s="48"/>
      <c r="T131" s="64"/>
      <c r="U131" s="64"/>
      <c r="V131" s="64"/>
      <c r="W131" s="64"/>
    </row>
    <row r="132" spans="1:28" ht="18.75" x14ac:dyDescent="0.3">
      <c r="A132" s="273" t="s">
        <v>143</v>
      </c>
      <c r="B132" s="273"/>
      <c r="C132" s="273"/>
      <c r="D132" s="273"/>
      <c r="E132" s="172">
        <f>E21</f>
        <v>13879.4</v>
      </c>
      <c r="F132" s="190">
        <f t="shared" si="66"/>
        <v>159304.01</v>
      </c>
      <c r="G132" s="172">
        <f>G21</f>
        <v>31860.802</v>
      </c>
      <c r="H132" s="172">
        <f>H21</f>
        <v>31860.802</v>
      </c>
      <c r="I132" s="172">
        <f>I21</f>
        <v>31860.802</v>
      </c>
      <c r="J132" s="172">
        <f>J21</f>
        <v>31860.802</v>
      </c>
      <c r="K132" s="172">
        <f>K21</f>
        <v>31860.802</v>
      </c>
      <c r="L132" s="12"/>
      <c r="M132" s="180"/>
      <c r="N132" s="47"/>
      <c r="O132" s="47"/>
      <c r="P132" s="47"/>
      <c r="Q132" s="47" t="e">
        <f>#REF!+#REF!</f>
        <v>#REF!</v>
      </c>
      <c r="R132" s="88"/>
      <c r="T132" s="64"/>
      <c r="U132" s="64"/>
      <c r="V132" s="64"/>
      <c r="W132" s="64"/>
    </row>
    <row r="133" spans="1:28" x14ac:dyDescent="0.25">
      <c r="F133" s="14"/>
      <c r="I133" s="70"/>
      <c r="J133" s="65"/>
      <c r="K133" s="65"/>
    </row>
    <row r="134" spans="1:28" x14ac:dyDescent="0.25">
      <c r="H134" s="52"/>
      <c r="I134" s="70"/>
      <c r="J134" s="65"/>
      <c r="K134" s="65"/>
    </row>
    <row r="135" spans="1:28" ht="18.75" x14ac:dyDescent="0.3">
      <c r="B135" s="303" t="s">
        <v>24</v>
      </c>
      <c r="C135" s="304"/>
      <c r="D135" s="304"/>
      <c r="E135" s="92">
        <v>0</v>
      </c>
      <c r="F135" s="177">
        <f>SUM(G135:K135)</f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65"/>
      <c r="R135" s="2"/>
      <c r="S135" s="2"/>
      <c r="T135" s="65"/>
      <c r="U135" s="65"/>
      <c r="V135" s="2"/>
      <c r="W135" s="2"/>
      <c r="X135" s="2"/>
      <c r="Y135" s="2"/>
      <c r="Z135" s="2"/>
      <c r="AA135" s="2"/>
      <c r="AB135" s="2"/>
    </row>
    <row r="136" spans="1:28" ht="18.75" x14ac:dyDescent="0.3">
      <c r="B136" s="303" t="s">
        <v>26</v>
      </c>
      <c r="C136" s="304"/>
      <c r="D136" s="304"/>
      <c r="E136" s="92">
        <v>0</v>
      </c>
      <c r="F136" s="177">
        <f t="shared" ref="F136:F143" si="67">SUM(G136:K136)</f>
        <v>822.83</v>
      </c>
      <c r="G136" s="92">
        <v>164.566</v>
      </c>
      <c r="H136" s="92">
        <v>164.566</v>
      </c>
      <c r="I136" s="92">
        <v>164.566</v>
      </c>
      <c r="J136" s="92">
        <v>164.566</v>
      </c>
      <c r="K136" s="92">
        <v>164.566</v>
      </c>
      <c r="R136" s="2"/>
      <c r="S136" s="2"/>
      <c r="T136" s="65"/>
      <c r="U136" s="65"/>
      <c r="V136" s="2"/>
      <c r="W136" s="2"/>
      <c r="X136" s="2"/>
      <c r="Y136" s="2"/>
      <c r="Z136" s="2"/>
      <c r="AA136" s="2"/>
      <c r="AB136" s="2"/>
    </row>
    <row r="137" spans="1:28" ht="18.75" x14ac:dyDescent="0.3">
      <c r="B137" s="305" t="s">
        <v>25</v>
      </c>
      <c r="C137" s="306"/>
      <c r="D137" s="306"/>
      <c r="E137" s="94">
        <f>SUM(E135:E136)</f>
        <v>0</v>
      </c>
      <c r="F137" s="177">
        <f t="shared" si="67"/>
        <v>822.83</v>
      </c>
      <c r="G137" s="94">
        <f>SUM(G135:G136)</f>
        <v>164.566</v>
      </c>
      <c r="H137" s="94">
        <f>SUM(H135:H136)</f>
        <v>164.566</v>
      </c>
      <c r="I137" s="94">
        <f>SUM(I135:I136)</f>
        <v>164.566</v>
      </c>
      <c r="J137" s="94">
        <f>SUM(J135:J136)</f>
        <v>164.566</v>
      </c>
      <c r="K137" s="94">
        <f>SUM(K135:K136)</f>
        <v>164.566</v>
      </c>
      <c r="R137" s="2"/>
      <c r="S137" s="2"/>
      <c r="T137" s="65"/>
      <c r="U137" s="65"/>
      <c r="V137" s="2"/>
      <c r="W137" s="2"/>
      <c r="X137" s="2"/>
      <c r="Y137" s="2"/>
      <c r="Z137" s="2"/>
      <c r="AA137" s="2"/>
      <c r="AB137" s="2"/>
    </row>
    <row r="138" spans="1:28" ht="18.75" x14ac:dyDescent="0.3">
      <c r="B138" s="303" t="s">
        <v>46</v>
      </c>
      <c r="C138" s="304"/>
      <c r="D138" s="304"/>
      <c r="E138" s="92" t="e">
        <f>E128-#REF!</f>
        <v>#REF!</v>
      </c>
      <c r="F138" s="177">
        <f t="shared" si="67"/>
        <v>16764.310000000001</v>
      </c>
      <c r="G138" s="92">
        <f>G128</f>
        <v>0</v>
      </c>
      <c r="H138" s="92">
        <f t="shared" ref="H138:K138" si="68">H128</f>
        <v>16764.310000000001</v>
      </c>
      <c r="I138" s="92">
        <f t="shared" si="68"/>
        <v>0</v>
      </c>
      <c r="J138" s="92">
        <f t="shared" si="68"/>
        <v>0</v>
      </c>
      <c r="K138" s="92">
        <f t="shared" si="68"/>
        <v>0</v>
      </c>
      <c r="T138" s="65"/>
      <c r="U138" s="65"/>
    </row>
    <row r="139" spans="1:28" ht="18.75" x14ac:dyDescent="0.3">
      <c r="B139" s="303" t="s">
        <v>1</v>
      </c>
      <c r="C139" s="304"/>
      <c r="D139" s="304"/>
      <c r="E139" s="92" t="e">
        <f>E129-#REF!</f>
        <v>#REF!</v>
      </c>
      <c r="F139" s="177">
        <f t="shared" si="67"/>
        <v>5588.17</v>
      </c>
      <c r="G139" s="92">
        <f>G129-G135</f>
        <v>0</v>
      </c>
      <c r="H139" s="92">
        <f t="shared" ref="H139:K139" si="69">H129-H135</f>
        <v>5588.17</v>
      </c>
      <c r="I139" s="92">
        <f t="shared" si="69"/>
        <v>0</v>
      </c>
      <c r="J139" s="92">
        <f t="shared" si="69"/>
        <v>0</v>
      </c>
      <c r="K139" s="92">
        <f t="shared" si="69"/>
        <v>0</v>
      </c>
      <c r="T139" s="65"/>
      <c r="U139" s="65"/>
    </row>
    <row r="140" spans="1:28" ht="18.75" x14ac:dyDescent="0.3">
      <c r="B140" s="303" t="s">
        <v>55</v>
      </c>
      <c r="C140" s="304"/>
      <c r="D140" s="304"/>
      <c r="E140" s="92" t="e">
        <f>E130-#REF!</f>
        <v>#REF!</v>
      </c>
      <c r="F140" s="177">
        <f t="shared" si="67"/>
        <v>550563.57400000002</v>
      </c>
      <c r="G140" s="92">
        <f>G130-G136</f>
        <v>110344.55399999999</v>
      </c>
      <c r="H140" s="92">
        <f t="shared" ref="H140:K140" si="70">H130-H136</f>
        <v>110264.31999999999</v>
      </c>
      <c r="I140" s="92">
        <f t="shared" si="70"/>
        <v>109984.9</v>
      </c>
      <c r="J140" s="92">
        <f t="shared" si="70"/>
        <v>109984.9</v>
      </c>
      <c r="K140" s="92">
        <f t="shared" si="70"/>
        <v>109984.9</v>
      </c>
      <c r="T140" s="65"/>
      <c r="U140" s="65"/>
    </row>
    <row r="141" spans="1:28" ht="18.75" x14ac:dyDescent="0.3">
      <c r="B141" s="303" t="s">
        <v>139</v>
      </c>
      <c r="C141" s="304"/>
      <c r="D141" s="308"/>
      <c r="E141" s="92"/>
      <c r="F141" s="177">
        <f t="shared" si="67"/>
        <v>159304.01</v>
      </c>
      <c r="G141" s="92">
        <f>G142</f>
        <v>31860.802</v>
      </c>
      <c r="H141" s="92">
        <f t="shared" ref="H141:K141" si="71">H142</f>
        <v>31860.802</v>
      </c>
      <c r="I141" s="92">
        <f t="shared" si="71"/>
        <v>31860.802</v>
      </c>
      <c r="J141" s="92">
        <f t="shared" si="71"/>
        <v>31860.802</v>
      </c>
      <c r="K141" s="92">
        <f t="shared" si="71"/>
        <v>31860.802</v>
      </c>
      <c r="T141" s="65"/>
      <c r="U141" s="65"/>
    </row>
    <row r="142" spans="1:28" ht="18.75" x14ac:dyDescent="0.3">
      <c r="B142" s="303" t="s">
        <v>143</v>
      </c>
      <c r="C142" s="304"/>
      <c r="D142" s="304"/>
      <c r="E142" s="92" t="e">
        <f>E132-#REF!</f>
        <v>#REF!</v>
      </c>
      <c r="F142" s="177">
        <f t="shared" si="67"/>
        <v>159304.01</v>
      </c>
      <c r="G142" s="92">
        <f>G132</f>
        <v>31860.802</v>
      </c>
      <c r="H142" s="92">
        <f t="shared" ref="H142:K142" si="72">H132</f>
        <v>31860.802</v>
      </c>
      <c r="I142" s="92">
        <f t="shared" si="72"/>
        <v>31860.802</v>
      </c>
      <c r="J142" s="92">
        <f t="shared" si="72"/>
        <v>31860.802</v>
      </c>
      <c r="K142" s="92">
        <f t="shared" si="72"/>
        <v>31860.802</v>
      </c>
      <c r="T142" s="65"/>
      <c r="U142" s="65"/>
    </row>
    <row r="143" spans="1:28" ht="18.75" x14ac:dyDescent="0.3">
      <c r="B143" s="305" t="s">
        <v>30</v>
      </c>
      <c r="C143" s="306"/>
      <c r="D143" s="306"/>
      <c r="E143" s="94" t="e">
        <f>SUM(E138:E142)</f>
        <v>#REF!</v>
      </c>
      <c r="F143" s="177">
        <f t="shared" si="67"/>
        <v>732220.06400000001</v>
      </c>
      <c r="G143" s="94">
        <f>G138+G139+G140+G141</f>
        <v>142205.356</v>
      </c>
      <c r="H143" s="94">
        <f t="shared" ref="H143:K143" si="73">H138+H139+H140+H141</f>
        <v>164477.60199999998</v>
      </c>
      <c r="I143" s="94">
        <f t="shared" si="73"/>
        <v>141845.70199999999</v>
      </c>
      <c r="J143" s="94">
        <f t="shared" si="73"/>
        <v>141845.70199999999</v>
      </c>
      <c r="K143" s="94">
        <f t="shared" si="73"/>
        <v>141845.70199999999</v>
      </c>
      <c r="T143" s="65"/>
      <c r="U143" s="65"/>
    </row>
    <row r="144" spans="1:28" x14ac:dyDescent="0.25">
      <c r="E144" s="65"/>
      <c r="F144" s="64"/>
      <c r="G144" s="65"/>
      <c r="H144" s="70"/>
      <c r="I144" s="70"/>
      <c r="J144" s="65"/>
      <c r="K144" s="65"/>
    </row>
    <row r="145" spans="5:12" x14ac:dyDescent="0.25">
      <c r="E145" s="65"/>
      <c r="F145" s="64"/>
      <c r="G145" s="65"/>
      <c r="H145" s="65"/>
      <c r="I145" s="65"/>
      <c r="J145" s="65"/>
      <c r="K145" s="65"/>
      <c r="L145" s="65"/>
    </row>
    <row r="146" spans="5:12" x14ac:dyDescent="0.25">
      <c r="E146" s="65"/>
      <c r="F146" s="64"/>
      <c r="G146" s="65"/>
      <c r="H146" s="70"/>
      <c r="I146" s="70"/>
      <c r="J146" s="65"/>
      <c r="K146" s="65"/>
    </row>
    <row r="149" spans="5:12" x14ac:dyDescent="0.25">
      <c r="H149" s="70"/>
      <c r="I149" s="70"/>
      <c r="J149" s="70"/>
    </row>
  </sheetData>
  <mergeCells count="170">
    <mergeCell ref="A63:A64"/>
    <mergeCell ref="A22:A26"/>
    <mergeCell ref="B22:B26"/>
    <mergeCell ref="C22:C26"/>
    <mergeCell ref="L22:L26"/>
    <mergeCell ref="A52:A55"/>
    <mergeCell ref="B52:B55"/>
    <mergeCell ref="C52:C55"/>
    <mergeCell ref="L52:L55"/>
    <mergeCell ref="C16:C21"/>
    <mergeCell ref="L16:L21"/>
    <mergeCell ref="M16:M21"/>
    <mergeCell ref="A60:A62"/>
    <mergeCell ref="M35:M38"/>
    <mergeCell ref="A39:A42"/>
    <mergeCell ref="B39:B42"/>
    <mergeCell ref="C39:C42"/>
    <mergeCell ref="L39:L42"/>
    <mergeCell ref="M39:M42"/>
    <mergeCell ref="A43:A47"/>
    <mergeCell ref="B43:B47"/>
    <mergeCell ref="C43:C47"/>
    <mergeCell ref="L43:L47"/>
    <mergeCell ref="M43:M47"/>
    <mergeCell ref="A48:A51"/>
    <mergeCell ref="B48:B51"/>
    <mergeCell ref="A31:A34"/>
    <mergeCell ref="B31:B34"/>
    <mergeCell ref="C31:C34"/>
    <mergeCell ref="M31:M34"/>
    <mergeCell ref="L31:L34"/>
    <mergeCell ref="A16:A21"/>
    <mergeCell ref="B16:B21"/>
    <mergeCell ref="C67:C69"/>
    <mergeCell ref="L67:L69"/>
    <mergeCell ref="M67:M69"/>
    <mergeCell ref="L70:L71"/>
    <mergeCell ref="B63:B64"/>
    <mergeCell ref="C63:C64"/>
    <mergeCell ref="L63:L64"/>
    <mergeCell ref="M60:M62"/>
    <mergeCell ref="C60:C62"/>
    <mergeCell ref="L60:L62"/>
    <mergeCell ref="E2:E4"/>
    <mergeCell ref="M2:M4"/>
    <mergeCell ref="A6:M6"/>
    <mergeCell ref="L2:L4"/>
    <mergeCell ref="G2:K3"/>
    <mergeCell ref="A2:A4"/>
    <mergeCell ref="B2:B4"/>
    <mergeCell ref="C2:C4"/>
    <mergeCell ref="D2:D4"/>
    <mergeCell ref="F2:F4"/>
    <mergeCell ref="A7:A11"/>
    <mergeCell ref="A12:A15"/>
    <mergeCell ref="B12:B15"/>
    <mergeCell ref="C12:C15"/>
    <mergeCell ref="L12:L15"/>
    <mergeCell ref="M12:M15"/>
    <mergeCell ref="B7:B11"/>
    <mergeCell ref="C7:C11"/>
    <mergeCell ref="L7:L11"/>
    <mergeCell ref="M7:M11"/>
    <mergeCell ref="B142:D142"/>
    <mergeCell ref="B143:D143"/>
    <mergeCell ref="B139:D139"/>
    <mergeCell ref="B140:D140"/>
    <mergeCell ref="A130:D130"/>
    <mergeCell ref="A129:D129"/>
    <mergeCell ref="A127:D127"/>
    <mergeCell ref="A128:D128"/>
    <mergeCell ref="A132:D132"/>
    <mergeCell ref="B138:D138"/>
    <mergeCell ref="B135:D135"/>
    <mergeCell ref="B136:D136"/>
    <mergeCell ref="B137:D137"/>
    <mergeCell ref="B141:D141"/>
    <mergeCell ref="A131:D131"/>
    <mergeCell ref="M22:M26"/>
    <mergeCell ref="A27:A30"/>
    <mergeCell ref="C27:C30"/>
    <mergeCell ref="B27:B30"/>
    <mergeCell ref="L27:L30"/>
    <mergeCell ref="M27:M30"/>
    <mergeCell ref="C48:C51"/>
    <mergeCell ref="L48:L51"/>
    <mergeCell ref="M48:M51"/>
    <mergeCell ref="A35:A38"/>
    <mergeCell ref="B35:B38"/>
    <mergeCell ref="C35:C38"/>
    <mergeCell ref="L35:L38"/>
    <mergeCell ref="M52:M55"/>
    <mergeCell ref="A73:A77"/>
    <mergeCell ref="B73:B77"/>
    <mergeCell ref="C73:C77"/>
    <mergeCell ref="L73:L77"/>
    <mergeCell ref="M73:M77"/>
    <mergeCell ref="B60:B62"/>
    <mergeCell ref="A56:A59"/>
    <mergeCell ref="B56:B59"/>
    <mergeCell ref="C56:C59"/>
    <mergeCell ref="L56:L59"/>
    <mergeCell ref="M56:M59"/>
    <mergeCell ref="A65:A66"/>
    <mergeCell ref="B65:B66"/>
    <mergeCell ref="C65:C66"/>
    <mergeCell ref="L65:L66"/>
    <mergeCell ref="M65:M66"/>
    <mergeCell ref="M63:M64"/>
    <mergeCell ref="A70:A71"/>
    <mergeCell ref="B70:B71"/>
    <mergeCell ref="C70:C71"/>
    <mergeCell ref="M70:M71"/>
    <mergeCell ref="A67:A69"/>
    <mergeCell ref="B67:B69"/>
    <mergeCell ref="M78:M81"/>
    <mergeCell ref="A109:A113"/>
    <mergeCell ref="B109:B113"/>
    <mergeCell ref="C109:C113"/>
    <mergeCell ref="L109:L113"/>
    <mergeCell ref="M109:M113"/>
    <mergeCell ref="A114:A117"/>
    <mergeCell ref="B114:B117"/>
    <mergeCell ref="C114:C117"/>
    <mergeCell ref="L114:L117"/>
    <mergeCell ref="M114:M117"/>
    <mergeCell ref="A78:A81"/>
    <mergeCell ref="B78:B81"/>
    <mergeCell ref="C78:C81"/>
    <mergeCell ref="L78:L81"/>
    <mergeCell ref="C100:C104"/>
    <mergeCell ref="L100:L104"/>
    <mergeCell ref="M100:M104"/>
    <mergeCell ref="A105:A108"/>
    <mergeCell ref="B105:B108"/>
    <mergeCell ref="C105:C108"/>
    <mergeCell ref="L105:L108"/>
    <mergeCell ref="M105:M108"/>
    <mergeCell ref="A91:A95"/>
    <mergeCell ref="A118:A122"/>
    <mergeCell ref="B118:B122"/>
    <mergeCell ref="C118:C122"/>
    <mergeCell ref="L118:L122"/>
    <mergeCell ref="M118:M122"/>
    <mergeCell ref="A100:A104"/>
    <mergeCell ref="B100:B104"/>
    <mergeCell ref="A123:A126"/>
    <mergeCell ref="B123:B126"/>
    <mergeCell ref="C123:C126"/>
    <mergeCell ref="L123:L126"/>
    <mergeCell ref="M123:M126"/>
    <mergeCell ref="A96:A99"/>
    <mergeCell ref="B96:B99"/>
    <mergeCell ref="C96:C99"/>
    <mergeCell ref="L96:L99"/>
    <mergeCell ref="M96:M99"/>
    <mergeCell ref="A82:A86"/>
    <mergeCell ref="B82:B86"/>
    <mergeCell ref="C82:C86"/>
    <mergeCell ref="L82:L86"/>
    <mergeCell ref="M82:M86"/>
    <mergeCell ref="B91:B95"/>
    <mergeCell ref="C91:C95"/>
    <mergeCell ref="L91:L95"/>
    <mergeCell ref="M91:M95"/>
    <mergeCell ref="A87:A90"/>
    <mergeCell ref="B87:B90"/>
    <mergeCell ref="C87:C90"/>
    <mergeCell ref="L87:L90"/>
    <mergeCell ref="M87:M90"/>
  </mergeCells>
  <pageMargins left="0.19685039370078741" right="0.19685039370078741" top="0.59055118110236227" bottom="0.19685039370078741" header="0.39370078740157483" footer="0"/>
  <pageSetup paperSize="9" scale="46" firstPageNumber="11" fitToHeight="0" orientation="landscape" useFirstPageNumber="1" r:id="rId1"/>
  <headerFooter alignWithMargins="0">
    <oddHeader>&amp;C&amp;"Times New Roman,обычный"&amp;12&amp;K000000&amp;P</oddHeader>
  </headerFooter>
  <rowBreaks count="2" manualBreakCount="2">
    <brk id="26" max="12" man="1"/>
    <brk id="5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V74"/>
  <sheetViews>
    <sheetView tabSelected="1" view="pageBreakPreview" topLeftCell="A19" zoomScale="70" zoomScaleNormal="70" zoomScaleSheetLayoutView="70" workbookViewId="0">
      <selection activeCell="C20" sqref="C20:C23"/>
    </sheetView>
  </sheetViews>
  <sheetFormatPr defaultColWidth="9.140625" defaultRowHeight="15" x14ac:dyDescent="0.25"/>
  <cols>
    <col min="1" max="1" width="6.7109375" style="2" customWidth="1"/>
    <col min="2" max="2" width="56.140625" style="2" customWidth="1"/>
    <col min="3" max="3" width="18.5703125" style="2" customWidth="1"/>
    <col min="4" max="4" width="31.85546875" style="2" customWidth="1"/>
    <col min="5" max="5" width="21.28515625" style="2" hidden="1" customWidth="1"/>
    <col min="6" max="6" width="22.7109375" style="15" customWidth="1"/>
    <col min="7" max="7" width="21.5703125" style="2" customWidth="1"/>
    <col min="8" max="8" width="22.85546875" style="53" customWidth="1"/>
    <col min="9" max="9" width="21.5703125" style="53" customWidth="1"/>
    <col min="10" max="11" width="22" style="2" customWidth="1"/>
    <col min="12" max="12" width="23.140625" style="2" customWidth="1"/>
    <col min="13" max="13" width="42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29.25" customHeight="1" x14ac:dyDescent="0.25">
      <c r="A1" s="319" t="s">
        <v>0</v>
      </c>
      <c r="B1" s="319" t="s">
        <v>6</v>
      </c>
      <c r="C1" s="319" t="s">
        <v>57</v>
      </c>
      <c r="D1" s="319" t="s">
        <v>7</v>
      </c>
      <c r="E1" s="319" t="s">
        <v>68</v>
      </c>
      <c r="F1" s="318" t="s">
        <v>8</v>
      </c>
      <c r="G1" s="319" t="s">
        <v>20</v>
      </c>
      <c r="H1" s="319"/>
      <c r="I1" s="319"/>
      <c r="J1" s="319"/>
      <c r="K1" s="319"/>
      <c r="L1" s="319" t="s">
        <v>9</v>
      </c>
      <c r="M1" s="319" t="s">
        <v>2</v>
      </c>
      <c r="N1" s="42"/>
      <c r="O1" s="42"/>
      <c r="P1" s="42"/>
    </row>
    <row r="2" spans="1:16" ht="57" customHeight="1" x14ac:dyDescent="0.25">
      <c r="A2" s="319"/>
      <c r="B2" s="320"/>
      <c r="C2" s="320"/>
      <c r="D2" s="320"/>
      <c r="E2" s="320"/>
      <c r="F2" s="318"/>
      <c r="G2" s="175" t="s">
        <v>51</v>
      </c>
      <c r="H2" s="175" t="s">
        <v>52</v>
      </c>
      <c r="I2" s="222" t="s">
        <v>134</v>
      </c>
      <c r="J2" s="222" t="s">
        <v>135</v>
      </c>
      <c r="K2" s="222" t="s">
        <v>136</v>
      </c>
      <c r="L2" s="320"/>
      <c r="M2" s="319"/>
      <c r="N2" s="42" t="s">
        <v>47</v>
      </c>
      <c r="O2" s="42" t="s">
        <v>48</v>
      </c>
      <c r="P2" s="42"/>
    </row>
    <row r="3" spans="1:16" ht="18.75" x14ac:dyDescent="0.25">
      <c r="A3" s="8" t="s">
        <v>15</v>
      </c>
      <c r="B3" s="8">
        <v>2</v>
      </c>
      <c r="C3" s="8" t="s">
        <v>10</v>
      </c>
      <c r="D3" s="8" t="s">
        <v>43</v>
      </c>
      <c r="E3" s="8" t="s">
        <v>11</v>
      </c>
      <c r="F3" s="9" t="s">
        <v>11</v>
      </c>
      <c r="G3" s="8" t="s">
        <v>41</v>
      </c>
      <c r="H3" s="227" t="s">
        <v>12</v>
      </c>
      <c r="I3" s="227" t="s">
        <v>42</v>
      </c>
      <c r="J3" s="8" t="s">
        <v>13</v>
      </c>
      <c r="K3" s="8" t="s">
        <v>14</v>
      </c>
      <c r="L3" s="8" t="s">
        <v>16</v>
      </c>
      <c r="M3" s="8" t="s">
        <v>17</v>
      </c>
      <c r="N3" s="39"/>
      <c r="O3" s="39"/>
      <c r="P3" s="39"/>
    </row>
    <row r="4" spans="1:16" ht="34.5" customHeight="1" x14ac:dyDescent="0.25">
      <c r="A4" s="208"/>
      <c r="B4" s="327" t="s">
        <v>93</v>
      </c>
      <c r="C4" s="327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43"/>
      <c r="O4" s="43"/>
      <c r="P4" s="43"/>
    </row>
    <row r="5" spans="1:16" s="15" customFormat="1" ht="18.75" x14ac:dyDescent="0.25">
      <c r="A5" s="323" t="s">
        <v>15</v>
      </c>
      <c r="B5" s="241" t="s">
        <v>117</v>
      </c>
      <c r="C5" s="241" t="s">
        <v>138</v>
      </c>
      <c r="D5" s="200" t="s">
        <v>3</v>
      </c>
      <c r="E5" s="201">
        <f>E8</f>
        <v>181275.1586</v>
      </c>
      <c r="F5" s="75">
        <f t="shared" ref="F5:F37" si="0">SUM(G5:K5)</f>
        <v>1503934.297</v>
      </c>
      <c r="G5" s="201">
        <f>G6+G7+G8+G9</f>
        <v>319514.59580000001</v>
      </c>
      <c r="H5" s="201">
        <f t="shared" ref="H5:K5" si="1">H6+H7+H8+H9</f>
        <v>298007.2548</v>
      </c>
      <c r="I5" s="201">
        <f t="shared" si="1"/>
        <v>298007.2548</v>
      </c>
      <c r="J5" s="201">
        <f t="shared" si="1"/>
        <v>294202.59580000001</v>
      </c>
      <c r="K5" s="201">
        <f t="shared" si="1"/>
        <v>294202.59580000001</v>
      </c>
      <c r="L5" s="239"/>
      <c r="M5" s="239"/>
      <c r="N5" s="198"/>
      <c r="O5" s="198"/>
      <c r="P5" s="198"/>
    </row>
    <row r="6" spans="1:16" s="15" customFormat="1" ht="34.5" customHeight="1" x14ac:dyDescent="0.25">
      <c r="A6" s="323"/>
      <c r="B6" s="241"/>
      <c r="C6" s="241"/>
      <c r="D6" s="200" t="s">
        <v>46</v>
      </c>
      <c r="E6" s="201"/>
      <c r="F6" s="75">
        <f t="shared" si="0"/>
        <v>0</v>
      </c>
      <c r="G6" s="163">
        <f>G11+G15+G20</f>
        <v>0</v>
      </c>
      <c r="H6" s="163">
        <f t="shared" ref="H6:K6" si="2">H11+H15+H20</f>
        <v>0</v>
      </c>
      <c r="I6" s="163">
        <f t="shared" si="2"/>
        <v>0</v>
      </c>
      <c r="J6" s="163">
        <f t="shared" si="2"/>
        <v>0</v>
      </c>
      <c r="K6" s="163">
        <f t="shared" si="2"/>
        <v>0</v>
      </c>
      <c r="L6" s="239"/>
      <c r="M6" s="239"/>
      <c r="N6" s="198"/>
      <c r="O6" s="198"/>
      <c r="P6" s="198"/>
    </row>
    <row r="7" spans="1:16" s="15" customFormat="1" ht="34.5" customHeight="1" x14ac:dyDescent="0.25">
      <c r="A7" s="323"/>
      <c r="B7" s="241"/>
      <c r="C7" s="241"/>
      <c r="D7" s="200" t="s">
        <v>1</v>
      </c>
      <c r="E7" s="201"/>
      <c r="F7" s="75">
        <f t="shared" si="0"/>
        <v>0</v>
      </c>
      <c r="G7" s="163">
        <f>G12+G16+G21</f>
        <v>0</v>
      </c>
      <c r="H7" s="163">
        <f t="shared" ref="H7:K7" si="3">H12+H16+H21</f>
        <v>0</v>
      </c>
      <c r="I7" s="163">
        <f t="shared" si="3"/>
        <v>0</v>
      </c>
      <c r="J7" s="163">
        <f t="shared" si="3"/>
        <v>0</v>
      </c>
      <c r="K7" s="163">
        <f t="shared" si="3"/>
        <v>0</v>
      </c>
      <c r="L7" s="239"/>
      <c r="M7" s="239"/>
      <c r="N7" s="198"/>
      <c r="O7" s="198"/>
      <c r="P7" s="198"/>
    </row>
    <row r="8" spans="1:16" s="15" customFormat="1" ht="56.25" x14ac:dyDescent="0.25">
      <c r="A8" s="323"/>
      <c r="B8" s="241"/>
      <c r="C8" s="241"/>
      <c r="D8" s="200" t="s">
        <v>55</v>
      </c>
      <c r="E8" s="202">
        <f>E13+E17+E22</f>
        <v>181275.1586</v>
      </c>
      <c r="F8" s="75">
        <f t="shared" si="0"/>
        <v>1094310.5929999999</v>
      </c>
      <c r="G8" s="202">
        <f>G13+G17+G22</f>
        <v>237589.85499999998</v>
      </c>
      <c r="H8" s="202">
        <f t="shared" ref="H8:K8" si="4">H13+H17+H22</f>
        <v>216082.514</v>
      </c>
      <c r="I8" s="202">
        <f t="shared" si="4"/>
        <v>216082.514</v>
      </c>
      <c r="J8" s="202">
        <f t="shared" si="4"/>
        <v>212277.85499999998</v>
      </c>
      <c r="K8" s="202">
        <f t="shared" si="4"/>
        <v>212277.85499999998</v>
      </c>
      <c r="L8" s="239"/>
      <c r="M8" s="239"/>
      <c r="N8" s="44"/>
      <c r="O8" s="44"/>
      <c r="P8" s="44"/>
    </row>
    <row r="9" spans="1:16" s="15" customFormat="1" ht="37.5" x14ac:dyDescent="0.25">
      <c r="A9" s="323"/>
      <c r="B9" s="241"/>
      <c r="C9" s="241"/>
      <c r="D9" s="200" t="s">
        <v>139</v>
      </c>
      <c r="E9" s="202"/>
      <c r="F9" s="75">
        <f t="shared" si="0"/>
        <v>409623.70400000003</v>
      </c>
      <c r="G9" s="202">
        <f>G14+G18+G23</f>
        <v>81924.7408</v>
      </c>
      <c r="H9" s="202">
        <f t="shared" ref="H9:K9" si="5">H14+H18+H23</f>
        <v>81924.7408</v>
      </c>
      <c r="I9" s="202">
        <f t="shared" si="5"/>
        <v>81924.7408</v>
      </c>
      <c r="J9" s="202">
        <f t="shared" si="5"/>
        <v>81924.7408</v>
      </c>
      <c r="K9" s="202">
        <f t="shared" si="5"/>
        <v>81924.7408</v>
      </c>
      <c r="L9" s="239"/>
      <c r="M9" s="239"/>
      <c r="N9" s="44"/>
      <c r="O9" s="44"/>
      <c r="P9" s="44"/>
    </row>
    <row r="10" spans="1:16" s="15" customFormat="1" ht="93.75" x14ac:dyDescent="0.25">
      <c r="A10" s="323"/>
      <c r="B10" s="241"/>
      <c r="C10" s="241"/>
      <c r="D10" s="200" t="s">
        <v>143</v>
      </c>
      <c r="E10" s="202"/>
      <c r="F10" s="75">
        <f t="shared" si="0"/>
        <v>409623.70400000003</v>
      </c>
      <c r="G10" s="202">
        <f>G19</f>
        <v>81924.7408</v>
      </c>
      <c r="H10" s="202">
        <f t="shared" ref="H10:K10" si="6">H19</f>
        <v>81924.7408</v>
      </c>
      <c r="I10" s="202">
        <f t="shared" si="6"/>
        <v>81924.7408</v>
      </c>
      <c r="J10" s="202">
        <f t="shared" si="6"/>
        <v>81924.7408</v>
      </c>
      <c r="K10" s="202">
        <f t="shared" si="6"/>
        <v>81924.7408</v>
      </c>
      <c r="L10" s="239"/>
      <c r="M10" s="239"/>
      <c r="N10" s="44"/>
      <c r="O10" s="44"/>
      <c r="P10" s="44"/>
    </row>
    <row r="11" spans="1:16" s="15" customFormat="1" ht="37.5" x14ac:dyDescent="0.25">
      <c r="A11" s="324" t="s">
        <v>31</v>
      </c>
      <c r="B11" s="247" t="s">
        <v>236</v>
      </c>
      <c r="C11" s="248" t="s">
        <v>138</v>
      </c>
      <c r="D11" s="197" t="s">
        <v>46</v>
      </c>
      <c r="E11" s="199"/>
      <c r="F11" s="75">
        <f t="shared" si="0"/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249" t="s">
        <v>4</v>
      </c>
      <c r="M11" s="249" t="s">
        <v>18</v>
      </c>
      <c r="N11" s="44"/>
      <c r="O11" s="44"/>
      <c r="P11" s="44"/>
    </row>
    <row r="12" spans="1:16" ht="37.5" customHeight="1" x14ac:dyDescent="0.25">
      <c r="A12" s="324"/>
      <c r="B12" s="247"/>
      <c r="C12" s="248"/>
      <c r="D12" s="237" t="s">
        <v>1</v>
      </c>
      <c r="E12" s="109"/>
      <c r="F12" s="75">
        <f t="shared" si="0"/>
        <v>0</v>
      </c>
      <c r="G12" s="110">
        <v>0</v>
      </c>
      <c r="H12" s="110">
        <v>0</v>
      </c>
      <c r="I12" s="144">
        <v>0</v>
      </c>
      <c r="J12" s="144">
        <v>0</v>
      </c>
      <c r="K12" s="144">
        <v>0</v>
      </c>
      <c r="L12" s="249"/>
      <c r="M12" s="249"/>
      <c r="N12" s="44"/>
      <c r="O12" s="44"/>
      <c r="P12" s="44"/>
    </row>
    <row r="13" spans="1:16" ht="60.75" customHeight="1" x14ac:dyDescent="0.25">
      <c r="A13" s="324"/>
      <c r="B13" s="247"/>
      <c r="C13" s="248"/>
      <c r="D13" s="80" t="s">
        <v>55</v>
      </c>
      <c r="E13" s="111">
        <v>97858.007519999999</v>
      </c>
      <c r="F13" s="75">
        <f t="shared" si="0"/>
        <v>577155.67499999993</v>
      </c>
      <c r="G13" s="111">
        <f>107667.385+4771+2992.75</f>
        <v>115431.13499999999</v>
      </c>
      <c r="H13" s="111">
        <f t="shared" ref="H13:K13" si="7">107667.385+4771+2992.75</f>
        <v>115431.13499999999</v>
      </c>
      <c r="I13" s="145">
        <f t="shared" si="7"/>
        <v>115431.13499999999</v>
      </c>
      <c r="J13" s="145">
        <f t="shared" si="7"/>
        <v>115431.13499999999</v>
      </c>
      <c r="K13" s="145">
        <f t="shared" si="7"/>
        <v>115431.13499999999</v>
      </c>
      <c r="L13" s="249"/>
      <c r="M13" s="249"/>
      <c r="N13" s="76">
        <f>('[1]Лист 1'!$F$476+'[1]Лист 1'!$F$477)/1000</f>
        <v>16611.023000000001</v>
      </c>
      <c r="O13" s="18">
        <v>16611.023000000001</v>
      </c>
      <c r="P13" s="46">
        <f>N13-O13</f>
        <v>0</v>
      </c>
    </row>
    <row r="14" spans="1:16" ht="37.5" x14ac:dyDescent="0.25">
      <c r="A14" s="324"/>
      <c r="B14" s="247"/>
      <c r="C14" s="248"/>
      <c r="D14" s="80" t="s">
        <v>139</v>
      </c>
      <c r="E14" s="111"/>
      <c r="F14" s="75">
        <f t="shared" si="0"/>
        <v>0</v>
      </c>
      <c r="G14" s="111">
        <v>0</v>
      </c>
      <c r="H14" s="111">
        <v>0</v>
      </c>
      <c r="I14" s="145">
        <v>0</v>
      </c>
      <c r="J14" s="145">
        <v>0</v>
      </c>
      <c r="K14" s="145">
        <v>0</v>
      </c>
      <c r="L14" s="249"/>
      <c r="M14" s="249"/>
      <c r="N14" s="76"/>
      <c r="O14" s="19"/>
      <c r="P14" s="46"/>
    </row>
    <row r="15" spans="1:16" ht="37.5" x14ac:dyDescent="0.25">
      <c r="A15" s="324" t="s">
        <v>32</v>
      </c>
      <c r="B15" s="247" t="s">
        <v>237</v>
      </c>
      <c r="C15" s="248" t="s">
        <v>138</v>
      </c>
      <c r="D15" s="80" t="s">
        <v>46</v>
      </c>
      <c r="E15" s="111"/>
      <c r="F15" s="75">
        <f t="shared" si="0"/>
        <v>0</v>
      </c>
      <c r="G15" s="111">
        <v>0</v>
      </c>
      <c r="H15" s="111">
        <v>0</v>
      </c>
      <c r="I15" s="145">
        <v>0</v>
      </c>
      <c r="J15" s="145">
        <v>0</v>
      </c>
      <c r="K15" s="145">
        <v>0</v>
      </c>
      <c r="L15" s="249" t="s">
        <v>132</v>
      </c>
      <c r="M15" s="249" t="s">
        <v>239</v>
      </c>
      <c r="N15" s="76"/>
      <c r="O15" s="19"/>
      <c r="P15" s="46"/>
    </row>
    <row r="16" spans="1:16" ht="37.5" x14ac:dyDescent="0.25">
      <c r="A16" s="324"/>
      <c r="B16" s="247"/>
      <c r="C16" s="248"/>
      <c r="D16" s="80" t="s">
        <v>1</v>
      </c>
      <c r="E16" s="111"/>
      <c r="F16" s="75">
        <f t="shared" si="0"/>
        <v>0</v>
      </c>
      <c r="G16" s="111">
        <v>0</v>
      </c>
      <c r="H16" s="111">
        <v>0</v>
      </c>
      <c r="I16" s="145">
        <v>0</v>
      </c>
      <c r="J16" s="145">
        <v>0</v>
      </c>
      <c r="K16" s="145">
        <v>0</v>
      </c>
      <c r="L16" s="249"/>
      <c r="M16" s="249"/>
      <c r="N16" s="76"/>
      <c r="O16" s="19"/>
      <c r="P16" s="46"/>
    </row>
    <row r="17" spans="1:22" ht="56.25" customHeight="1" x14ac:dyDescent="0.25">
      <c r="A17" s="324"/>
      <c r="B17" s="247"/>
      <c r="C17" s="248"/>
      <c r="D17" s="80" t="s">
        <v>55</v>
      </c>
      <c r="E17" s="111">
        <v>39046.151080000003</v>
      </c>
      <c r="F17" s="75">
        <f t="shared" si="0"/>
        <v>450741.95799999998</v>
      </c>
      <c r="G17" s="111">
        <f>83876.128+25000</f>
        <v>108876.128</v>
      </c>
      <c r="H17" s="111">
        <f>83564.128+3804.659</f>
        <v>87368.786999999997</v>
      </c>
      <c r="I17" s="145">
        <f>83564.128+3804.659</f>
        <v>87368.786999999997</v>
      </c>
      <c r="J17" s="145">
        <v>83564.127999999997</v>
      </c>
      <c r="K17" s="145">
        <v>83564.127999999997</v>
      </c>
      <c r="L17" s="249"/>
      <c r="M17" s="249"/>
      <c r="N17" s="76">
        <f>'[1]Лист 1'!$F$478/1000</f>
        <v>0.27</v>
      </c>
      <c r="O17" s="19">
        <v>0.27</v>
      </c>
      <c r="P17" s="46">
        <f>N17-O17</f>
        <v>0</v>
      </c>
    </row>
    <row r="18" spans="1:22" ht="37.5" x14ac:dyDescent="0.25">
      <c r="A18" s="324"/>
      <c r="B18" s="247"/>
      <c r="C18" s="248"/>
      <c r="D18" s="80" t="s">
        <v>139</v>
      </c>
      <c r="E18" s="111"/>
      <c r="F18" s="75">
        <f t="shared" si="0"/>
        <v>409623.70400000003</v>
      </c>
      <c r="G18" s="111">
        <f>220+92348.601-10643.8602</f>
        <v>81924.7408</v>
      </c>
      <c r="H18" s="111">
        <v>81924.7408</v>
      </c>
      <c r="I18" s="111">
        <v>81924.7408</v>
      </c>
      <c r="J18" s="111">
        <v>81924.7408</v>
      </c>
      <c r="K18" s="111">
        <v>81924.7408</v>
      </c>
      <c r="L18" s="249"/>
      <c r="M18" s="249"/>
      <c r="N18" s="76"/>
      <c r="O18" s="19"/>
      <c r="P18" s="46"/>
    </row>
    <row r="19" spans="1:22" ht="93.75" x14ac:dyDescent="0.25">
      <c r="A19" s="324"/>
      <c r="B19" s="247"/>
      <c r="C19" s="248"/>
      <c r="D19" s="80" t="s">
        <v>143</v>
      </c>
      <c r="E19" s="111"/>
      <c r="F19" s="75">
        <f t="shared" si="0"/>
        <v>409623.70400000003</v>
      </c>
      <c r="G19" s="203">
        <v>81924.7408</v>
      </c>
      <c r="H19" s="203">
        <v>81924.7408</v>
      </c>
      <c r="I19" s="204">
        <v>81924.7408</v>
      </c>
      <c r="J19" s="204">
        <v>81924.7408</v>
      </c>
      <c r="K19" s="204">
        <v>81924.7408</v>
      </c>
      <c r="L19" s="249"/>
      <c r="M19" s="249"/>
      <c r="N19" s="76"/>
      <c r="O19" s="19"/>
      <c r="P19" s="46"/>
    </row>
    <row r="20" spans="1:22" ht="57.75" customHeight="1" x14ac:dyDescent="0.25">
      <c r="A20" s="324" t="s">
        <v>33</v>
      </c>
      <c r="B20" s="247" t="s">
        <v>238</v>
      </c>
      <c r="C20" s="248" t="s">
        <v>138</v>
      </c>
      <c r="D20" s="80" t="s">
        <v>46</v>
      </c>
      <c r="E20" s="111"/>
      <c r="F20" s="75">
        <f t="shared" si="0"/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249" t="s">
        <v>44</v>
      </c>
      <c r="M20" s="249" t="s">
        <v>240</v>
      </c>
      <c r="N20" s="76"/>
      <c r="O20" s="19"/>
      <c r="P20" s="46"/>
    </row>
    <row r="21" spans="1:22" ht="57.75" customHeight="1" x14ac:dyDescent="0.25">
      <c r="A21" s="324"/>
      <c r="B21" s="247"/>
      <c r="C21" s="248"/>
      <c r="D21" s="80" t="s">
        <v>1</v>
      </c>
      <c r="E21" s="111"/>
      <c r="F21" s="75">
        <f t="shared" si="0"/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249"/>
      <c r="M21" s="249"/>
      <c r="N21" s="76"/>
      <c r="O21" s="19"/>
      <c r="P21" s="46"/>
    </row>
    <row r="22" spans="1:22" ht="57.75" customHeight="1" x14ac:dyDescent="0.25">
      <c r="A22" s="324"/>
      <c r="B22" s="247"/>
      <c r="C22" s="248"/>
      <c r="D22" s="80" t="s">
        <v>55</v>
      </c>
      <c r="E22" s="111">
        <v>44371</v>
      </c>
      <c r="F22" s="75">
        <f t="shared" si="0"/>
        <v>66412.960000000006</v>
      </c>
      <c r="G22" s="111">
        <v>13282.592000000001</v>
      </c>
      <c r="H22" s="111">
        <v>13282.592000000001</v>
      </c>
      <c r="I22" s="111">
        <v>13282.592000000001</v>
      </c>
      <c r="J22" s="111">
        <v>13282.592000000001</v>
      </c>
      <c r="K22" s="111">
        <v>13282.592000000001</v>
      </c>
      <c r="L22" s="249"/>
      <c r="M22" s="249"/>
      <c r="N22" s="76">
        <v>0</v>
      </c>
      <c r="O22" s="19">
        <v>0</v>
      </c>
      <c r="P22" s="46">
        <f>N22-O22</f>
        <v>0</v>
      </c>
      <c r="Q22" s="11"/>
      <c r="R22" s="11"/>
    </row>
    <row r="23" spans="1:22" ht="57.75" customHeight="1" x14ac:dyDescent="0.25">
      <c r="A23" s="324"/>
      <c r="B23" s="247"/>
      <c r="C23" s="248"/>
      <c r="D23" s="80" t="s">
        <v>139</v>
      </c>
      <c r="E23" s="111"/>
      <c r="F23" s="75">
        <f t="shared" si="0"/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249"/>
      <c r="M23" s="249"/>
      <c r="N23" s="46"/>
      <c r="O23" s="205"/>
      <c r="P23" s="46"/>
      <c r="Q23" s="11"/>
      <c r="R23" s="11"/>
    </row>
    <row r="24" spans="1:22" s="15" customFormat="1" ht="36.75" customHeight="1" x14ac:dyDescent="0.25">
      <c r="A24" s="321" t="s">
        <v>246</v>
      </c>
      <c r="B24" s="322"/>
      <c r="C24" s="322"/>
      <c r="D24" s="322"/>
      <c r="E24" s="85">
        <f>E27</f>
        <v>181275.1586</v>
      </c>
      <c r="F24" s="85">
        <f t="shared" si="0"/>
        <v>1503934.297</v>
      </c>
      <c r="G24" s="85">
        <f>G25+G26+G27+G28</f>
        <v>319514.59580000001</v>
      </c>
      <c r="H24" s="85">
        <f t="shared" ref="H24:K24" si="8">H25+H26+H27+H28</f>
        <v>298007.2548</v>
      </c>
      <c r="I24" s="85">
        <f t="shared" si="8"/>
        <v>298007.2548</v>
      </c>
      <c r="J24" s="85">
        <f t="shared" si="8"/>
        <v>294202.59580000001</v>
      </c>
      <c r="K24" s="85">
        <f t="shared" si="8"/>
        <v>294202.59580000001</v>
      </c>
      <c r="L24" s="187"/>
      <c r="M24" s="188"/>
      <c r="N24" s="45"/>
      <c r="O24" s="45"/>
      <c r="P24" s="45"/>
      <c r="U24" s="64"/>
      <c r="V24" s="64"/>
    </row>
    <row r="25" spans="1:22" s="15" customFormat="1" ht="18.75" x14ac:dyDescent="0.25">
      <c r="A25" s="329" t="s">
        <v>46</v>
      </c>
      <c r="B25" s="329"/>
      <c r="C25" s="329"/>
      <c r="D25" s="329"/>
      <c r="E25" s="186"/>
      <c r="F25" s="85">
        <f t="shared" si="0"/>
        <v>0</v>
      </c>
      <c r="G25" s="186">
        <f>G6</f>
        <v>0</v>
      </c>
      <c r="H25" s="186">
        <f t="shared" ref="H25:K25" si="9">H6</f>
        <v>0</v>
      </c>
      <c r="I25" s="186">
        <f t="shared" si="9"/>
        <v>0</v>
      </c>
      <c r="J25" s="186">
        <f t="shared" si="9"/>
        <v>0</v>
      </c>
      <c r="K25" s="186">
        <f t="shared" si="9"/>
        <v>0</v>
      </c>
      <c r="L25" s="20"/>
      <c r="M25" s="179"/>
      <c r="N25" s="45"/>
      <c r="O25" s="45"/>
      <c r="P25" s="45"/>
      <c r="U25" s="64"/>
      <c r="V25" s="64"/>
    </row>
    <row r="26" spans="1:22" ht="18.75" x14ac:dyDescent="0.25">
      <c r="A26" s="270" t="s">
        <v>1</v>
      </c>
      <c r="B26" s="270"/>
      <c r="C26" s="270"/>
      <c r="D26" s="270"/>
      <c r="E26" s="67">
        <f>E7</f>
        <v>0</v>
      </c>
      <c r="F26" s="85">
        <f t="shared" si="0"/>
        <v>0</v>
      </c>
      <c r="G26" s="67">
        <f>G7</f>
        <v>0</v>
      </c>
      <c r="H26" s="67">
        <f t="shared" ref="H26:K26" si="10">H7</f>
        <v>0</v>
      </c>
      <c r="I26" s="67">
        <f t="shared" si="10"/>
        <v>0</v>
      </c>
      <c r="J26" s="67">
        <f t="shared" si="10"/>
        <v>0</v>
      </c>
      <c r="K26" s="67">
        <f t="shared" si="10"/>
        <v>0</v>
      </c>
      <c r="L26" s="20"/>
      <c r="M26" s="179"/>
      <c r="N26" s="45"/>
      <c r="O26" s="45"/>
      <c r="P26" s="45"/>
      <c r="U26" s="65"/>
      <c r="V26" s="65"/>
    </row>
    <row r="27" spans="1:22" ht="18.75" x14ac:dyDescent="0.25">
      <c r="A27" s="270" t="s">
        <v>55</v>
      </c>
      <c r="B27" s="270"/>
      <c r="C27" s="270"/>
      <c r="D27" s="270"/>
      <c r="E27" s="67">
        <f>E8</f>
        <v>181275.1586</v>
      </c>
      <c r="F27" s="85">
        <f t="shared" si="0"/>
        <v>1094310.5929999999</v>
      </c>
      <c r="G27" s="67">
        <f>G8</f>
        <v>237589.85499999998</v>
      </c>
      <c r="H27" s="67">
        <f t="shared" ref="H27:K27" si="11">H8</f>
        <v>216082.514</v>
      </c>
      <c r="I27" s="67">
        <f t="shared" si="11"/>
        <v>216082.514</v>
      </c>
      <c r="J27" s="67">
        <f t="shared" si="11"/>
        <v>212277.85499999998</v>
      </c>
      <c r="K27" s="67">
        <f t="shared" si="11"/>
        <v>212277.85499999998</v>
      </c>
      <c r="L27" s="20"/>
      <c r="M27" s="179"/>
      <c r="N27" s="45"/>
      <c r="O27" s="45"/>
      <c r="P27" s="45"/>
      <c r="U27" s="65"/>
      <c r="V27" s="65"/>
    </row>
    <row r="28" spans="1:22" ht="18.75" x14ac:dyDescent="0.25">
      <c r="A28" s="270" t="s">
        <v>139</v>
      </c>
      <c r="B28" s="270"/>
      <c r="C28" s="270"/>
      <c r="D28" s="270"/>
      <c r="E28" s="67"/>
      <c r="F28" s="85">
        <f t="shared" si="0"/>
        <v>409623.70400000003</v>
      </c>
      <c r="G28" s="67">
        <f>G9</f>
        <v>81924.7408</v>
      </c>
      <c r="H28" s="67">
        <f t="shared" ref="H28:K28" si="12">H9</f>
        <v>81924.7408</v>
      </c>
      <c r="I28" s="67">
        <f t="shared" si="12"/>
        <v>81924.7408</v>
      </c>
      <c r="J28" s="67">
        <f t="shared" si="12"/>
        <v>81924.7408</v>
      </c>
      <c r="K28" s="67">
        <f t="shared" si="12"/>
        <v>81924.7408</v>
      </c>
      <c r="L28" s="20"/>
      <c r="M28" s="179"/>
      <c r="N28" s="45"/>
      <c r="O28" s="45"/>
      <c r="P28" s="45"/>
      <c r="U28" s="65"/>
      <c r="V28" s="65"/>
    </row>
    <row r="29" spans="1:22" ht="18.75" x14ac:dyDescent="0.3">
      <c r="A29" s="273" t="s">
        <v>143</v>
      </c>
      <c r="B29" s="273"/>
      <c r="C29" s="273"/>
      <c r="D29" s="273"/>
      <c r="E29" s="50" t="e">
        <f>#REF!+'Подпрограмма 1'!E211+'Подпрограмма 2'!#REF!</f>
        <v>#REF!</v>
      </c>
      <c r="F29" s="173">
        <f t="shared" si="0"/>
        <v>409623.70400000003</v>
      </c>
      <c r="G29" s="172">
        <f>G10</f>
        <v>81924.7408</v>
      </c>
      <c r="H29" s="172">
        <f t="shared" ref="H29:K29" si="13">H10</f>
        <v>81924.7408</v>
      </c>
      <c r="I29" s="172">
        <f t="shared" si="13"/>
        <v>81924.7408</v>
      </c>
      <c r="J29" s="172">
        <f t="shared" si="13"/>
        <v>81924.7408</v>
      </c>
      <c r="K29" s="172">
        <f t="shared" si="13"/>
        <v>81924.7408</v>
      </c>
      <c r="L29" s="12"/>
      <c r="M29" s="209"/>
      <c r="N29" s="40" t="e">
        <f>#REF!+'Подпрограмма 1'!#REF!+'Подпрограмма 2'!#REF!</f>
        <v>#REF!</v>
      </c>
      <c r="Q29" s="10"/>
      <c r="R29" s="10"/>
      <c r="U29" s="65"/>
      <c r="V29" s="65"/>
    </row>
    <row r="30" spans="1:22" s="15" customFormat="1" ht="36.75" customHeight="1" x14ac:dyDescent="0.25">
      <c r="A30" s="326" t="s">
        <v>22</v>
      </c>
      <c r="B30" s="326"/>
      <c r="C30" s="326"/>
      <c r="D30" s="326"/>
      <c r="E30" s="211" t="e">
        <f>E31+E32+E33+E36+E37</f>
        <v>#REF!</v>
      </c>
      <c r="F30" s="161">
        <f t="shared" si="0"/>
        <v>58648098.405020006</v>
      </c>
      <c r="G30" s="161">
        <f>G31+G32+G33+G35</f>
        <v>12062551.364800001</v>
      </c>
      <c r="H30" s="161">
        <f t="shared" ref="H30:K30" si="14">H31+H32+H33+H35</f>
        <v>11790607.55163</v>
      </c>
      <c r="I30" s="161">
        <f t="shared" si="14"/>
        <v>11724227.40299</v>
      </c>
      <c r="J30" s="161">
        <f t="shared" si="14"/>
        <v>11535356.0428</v>
      </c>
      <c r="K30" s="161">
        <f t="shared" si="14"/>
        <v>11535356.0428</v>
      </c>
      <c r="L30" s="212"/>
      <c r="M30" s="213"/>
      <c r="N30" s="28"/>
      <c r="Q30" s="14"/>
      <c r="R30" s="14"/>
      <c r="U30" s="64"/>
      <c r="V30" s="64"/>
    </row>
    <row r="31" spans="1:22" s="15" customFormat="1" ht="18.75" x14ac:dyDescent="0.25">
      <c r="A31" s="325" t="s">
        <v>46</v>
      </c>
      <c r="B31" s="325"/>
      <c r="C31" s="325"/>
      <c r="D31" s="325"/>
      <c r="E31" s="206" t="e">
        <f>'Подпрограмма 1'!E227+'Подпрограмма 2'!E128</f>
        <v>#REF!</v>
      </c>
      <c r="F31" s="98">
        <f t="shared" si="0"/>
        <v>1710612.1699999997</v>
      </c>
      <c r="G31" s="191">
        <f>'Подпрограмма 1'!G227+'Подпрограмма 2'!G128+'Подпрограмма 3'!G25</f>
        <v>379165.59999999992</v>
      </c>
      <c r="H31" s="191">
        <f>'Подпрограмма 1'!H227+'Подпрограмма 2'!H128+'Подпрограмма 3'!H25</f>
        <v>349789.77999999997</v>
      </c>
      <c r="I31" s="191">
        <f>'Подпрограмма 1'!I227+'Подпрограмма 2'!I128+'Подпрограмма 3'!I25</f>
        <v>327218.93</v>
      </c>
      <c r="J31" s="191">
        <f>'Подпрограмма 1'!J227+'Подпрограмма 2'!J128+'Подпрограмма 3'!J25</f>
        <v>327218.93</v>
      </c>
      <c r="K31" s="191">
        <f>'Подпрограмма 1'!K227+'Подпрограмма 2'!K128+'Подпрограмма 3'!K25</f>
        <v>327218.93</v>
      </c>
      <c r="L31" s="27"/>
      <c r="M31" s="210"/>
      <c r="N31" s="28" t="e">
        <f>#REF!</f>
        <v>#REF!</v>
      </c>
      <c r="Q31" s="14"/>
      <c r="R31" s="14"/>
      <c r="U31" s="64"/>
      <c r="V31" s="64"/>
    </row>
    <row r="32" spans="1:22" s="15" customFormat="1" ht="18.75" x14ac:dyDescent="0.25">
      <c r="A32" s="325" t="s">
        <v>1</v>
      </c>
      <c r="B32" s="325"/>
      <c r="C32" s="325"/>
      <c r="D32" s="325"/>
      <c r="E32" s="206" t="e">
        <f>#REF!+'Подпрограмма 1'!E228+'Подпрограмма 2'!E129+#REF!</f>
        <v>#REF!</v>
      </c>
      <c r="F32" s="98">
        <f t="shared" si="0"/>
        <v>36162663.285520002</v>
      </c>
      <c r="G32" s="191">
        <f>'Подпрограмма 1'!G228+'Подпрограмма 2'!G129+'Подпрограмма 3'!G26</f>
        <v>7315026.4200000009</v>
      </c>
      <c r="H32" s="191">
        <f>'Подпрограмма 1'!H228+'Подпрограмма 2'!H129+'Подпрограмма 3'!H26</f>
        <v>7321837.2098300001</v>
      </c>
      <c r="I32" s="191">
        <f>'Подпрограмма 1'!I228+'Подпрограмма 2'!I129+'Подпрограмма 3'!I26</f>
        <v>7281329.71569</v>
      </c>
      <c r="J32" s="191">
        <f>'Подпрограмма 1'!J228+'Подпрограмма 2'!J129+'Подпрограмма 3'!J26</f>
        <v>7122234.9699999997</v>
      </c>
      <c r="K32" s="191">
        <f>'Подпрограмма 1'!K228+'Подпрограмма 2'!K129+'Подпрограмма 3'!K26</f>
        <v>7122234.9699999997</v>
      </c>
      <c r="L32" s="27"/>
      <c r="M32" s="210"/>
      <c r="N32" s="30" t="e">
        <f>#REF!+'Подпрограмма 1'!F210+'Подпрограмма 2'!#REF!+#REF!</f>
        <v>#REF!</v>
      </c>
      <c r="Q32" s="14"/>
      <c r="R32" s="14"/>
      <c r="U32" s="64"/>
      <c r="V32" s="64"/>
    </row>
    <row r="33" spans="1:22" s="15" customFormat="1" ht="18.75" x14ac:dyDescent="0.25">
      <c r="A33" s="325" t="s">
        <v>55</v>
      </c>
      <c r="B33" s="325"/>
      <c r="C33" s="325"/>
      <c r="D33" s="325"/>
      <c r="E33" s="206" t="e">
        <f>#REF!+'Подпрограмма 1'!E229+'Подпрограмма 2'!E130+#REF!+'Подпрограмма 3'!E27</f>
        <v>#REF!</v>
      </c>
      <c r="F33" s="98">
        <f t="shared" si="0"/>
        <v>18081583.590500001</v>
      </c>
      <c r="G33" s="191">
        <f>'Подпрограмма 1'!G229+'Подпрограмма 2'!G130+'Подпрограмма 3'!G27</f>
        <v>3829711.4729999998</v>
      </c>
      <c r="H33" s="191">
        <f>'Подпрограмма 1'!H229+'Подпрограмма 2'!H130+'Подпрограмма 3'!H27</f>
        <v>3580332.69</v>
      </c>
      <c r="I33" s="191">
        <f>'Подпрограмма 1'!I229+'Подпрограмма 2'!I130+'Подпрограмма 3'!I27</f>
        <v>3577030.8855000003</v>
      </c>
      <c r="J33" s="191">
        <f>'Подпрограмма 1'!J229+'Подпрограмма 2'!J130+'Подпрограмма 3'!J27</f>
        <v>3547254.2710000002</v>
      </c>
      <c r="K33" s="191">
        <f>'Подпрограмма 1'!K229+'Подпрограмма 2'!K130+'Подпрограмма 3'!K27</f>
        <v>3547254.2710000002</v>
      </c>
      <c r="L33" s="27"/>
      <c r="M33" s="210"/>
      <c r="N33" s="30" t="e">
        <f>#REF!+'Подпрограмма 1'!F211+'Подпрограмма 2'!#REF!+#REF!+#REF!</f>
        <v>#REF!</v>
      </c>
      <c r="Q33" s="14"/>
      <c r="R33" s="14"/>
      <c r="U33" s="64"/>
      <c r="V33" s="64"/>
    </row>
    <row r="34" spans="1:22" s="15" customFormat="1" ht="18.75" x14ac:dyDescent="0.3">
      <c r="A34" s="273" t="s">
        <v>81</v>
      </c>
      <c r="B34" s="273"/>
      <c r="C34" s="273"/>
      <c r="D34" s="273"/>
      <c r="E34" s="61" t="e">
        <f>#REF!</f>
        <v>#REF!</v>
      </c>
      <c r="F34" s="215">
        <f t="shared" si="0"/>
        <v>2234620</v>
      </c>
      <c r="G34" s="185">
        <f>'Подпрограмма 1'!G230</f>
        <v>446924</v>
      </c>
      <c r="H34" s="185">
        <f>'Подпрограмма 1'!H230</f>
        <v>446924</v>
      </c>
      <c r="I34" s="185">
        <f>'Подпрограмма 1'!I230</f>
        <v>446924</v>
      </c>
      <c r="J34" s="185">
        <f>'Подпрограмма 1'!J230</f>
        <v>446924</v>
      </c>
      <c r="K34" s="185">
        <f>'Подпрограмма 1'!K230</f>
        <v>446924</v>
      </c>
      <c r="L34" s="12"/>
      <c r="M34" s="210"/>
      <c r="U34" s="64"/>
      <c r="V34" s="64"/>
    </row>
    <row r="35" spans="1:22" s="15" customFormat="1" ht="18.75" x14ac:dyDescent="0.3">
      <c r="A35" s="274" t="s">
        <v>139</v>
      </c>
      <c r="B35" s="274"/>
      <c r="C35" s="274"/>
      <c r="D35" s="274"/>
      <c r="E35" s="61"/>
      <c r="F35" s="98">
        <f t="shared" si="0"/>
        <v>2693239.3590000002</v>
      </c>
      <c r="G35" s="61">
        <f>G36+G37</f>
        <v>538647.87180000008</v>
      </c>
      <c r="H35" s="61">
        <f t="shared" ref="H35:K35" si="15">H36+H37</f>
        <v>538647.87180000008</v>
      </c>
      <c r="I35" s="61">
        <f t="shared" si="15"/>
        <v>538647.87180000008</v>
      </c>
      <c r="J35" s="61">
        <f t="shared" si="15"/>
        <v>538647.87180000008</v>
      </c>
      <c r="K35" s="61">
        <f t="shared" si="15"/>
        <v>538647.87180000008</v>
      </c>
      <c r="L35" s="12"/>
      <c r="M35" s="210"/>
      <c r="U35" s="64"/>
      <c r="V35" s="64"/>
    </row>
    <row r="36" spans="1:22" s="15" customFormat="1" ht="18.75" x14ac:dyDescent="0.3">
      <c r="A36" s="273" t="s">
        <v>143</v>
      </c>
      <c r="B36" s="273"/>
      <c r="C36" s="273"/>
      <c r="D36" s="273"/>
      <c r="E36" s="214" t="e">
        <f>#REF!+'Подпрограмма 1'!E232+'Подпрограмма 2'!E132</f>
        <v>#REF!</v>
      </c>
      <c r="F36" s="215">
        <f t="shared" si="0"/>
        <v>2577282.3490000004</v>
      </c>
      <c r="G36" s="185">
        <f>'Подпрограмма 1'!G232+'Подпрограмма 2'!G132+'Подпрограмма 3'!G29</f>
        <v>515456.46980000008</v>
      </c>
      <c r="H36" s="185">
        <f>'Подпрограмма 1'!H232+'Подпрограмма 2'!H132+'Подпрограмма 3'!H29</f>
        <v>515456.46980000008</v>
      </c>
      <c r="I36" s="185">
        <f>'Подпрограмма 1'!I232+'Подпрограмма 2'!I132+'Подпрограмма 3'!I29</f>
        <v>515456.46980000008</v>
      </c>
      <c r="J36" s="185">
        <f>'Подпрограмма 1'!J232+'Подпрограмма 2'!J132+'Подпрограмма 3'!J29</f>
        <v>515456.46980000008</v>
      </c>
      <c r="K36" s="185">
        <f>'Подпрограмма 1'!K232+'Подпрограмма 2'!K132+'Подпрограмма 3'!K29</f>
        <v>515456.46980000008</v>
      </c>
      <c r="L36" s="12"/>
      <c r="M36" s="210"/>
      <c r="N36" s="207" t="e">
        <f>#REF!+'Подпрограмма 1'!F226+'Подпрограмма 2'!F127</f>
        <v>#REF!</v>
      </c>
      <c r="Q36" s="14"/>
      <c r="R36" s="14"/>
      <c r="U36" s="64"/>
      <c r="V36" s="64"/>
    </row>
    <row r="37" spans="1:22" s="15" customFormat="1" ht="18.75" x14ac:dyDescent="0.3">
      <c r="A37" s="273" t="s">
        <v>144</v>
      </c>
      <c r="B37" s="273"/>
      <c r="C37" s="273"/>
      <c r="D37" s="273"/>
      <c r="E37" s="214" t="e">
        <f>#REF!+'Подпрограмма 1'!E233</f>
        <v>#REF!</v>
      </c>
      <c r="F37" s="215">
        <f t="shared" si="0"/>
        <v>115957.01000000001</v>
      </c>
      <c r="G37" s="185">
        <f>'Подпрограмма 1'!G233</f>
        <v>23191.402000000002</v>
      </c>
      <c r="H37" s="185">
        <f>'Подпрограмма 1'!H233</f>
        <v>23191.402000000002</v>
      </c>
      <c r="I37" s="185">
        <f>'Подпрограмма 1'!I233</f>
        <v>23191.402000000002</v>
      </c>
      <c r="J37" s="185">
        <f>'Подпрограмма 1'!J233</f>
        <v>23191.402000000002</v>
      </c>
      <c r="K37" s="185">
        <f>'Подпрограмма 1'!K233</f>
        <v>23191.402000000002</v>
      </c>
      <c r="L37" s="12"/>
      <c r="M37" s="210"/>
      <c r="N37" s="207" t="e">
        <f>#REF!+'Подпрограмма 1'!F227</f>
        <v>#REF!</v>
      </c>
      <c r="Q37" s="14"/>
      <c r="R37" s="14"/>
      <c r="U37" s="64"/>
      <c r="V37" s="64"/>
    </row>
    <row r="38" spans="1:22" ht="18.75" x14ac:dyDescent="0.3">
      <c r="A38" s="103"/>
      <c r="B38" s="103"/>
      <c r="C38" s="103"/>
      <c r="D38" s="103"/>
      <c r="E38" s="104"/>
      <c r="F38" s="192"/>
      <c r="G38" s="105"/>
      <c r="H38" s="105"/>
      <c r="I38" s="105"/>
      <c r="J38" s="105"/>
      <c r="K38" s="105"/>
      <c r="L38" s="106"/>
      <c r="M38" s="40"/>
      <c r="N38" s="40"/>
      <c r="Q38" s="10"/>
      <c r="R38" s="10"/>
    </row>
    <row r="39" spans="1:22" ht="18" x14ac:dyDescent="0.25">
      <c r="A39" s="28"/>
      <c r="B39" s="29"/>
      <c r="C39" s="29"/>
      <c r="D39" s="29"/>
      <c r="E39" s="29"/>
      <c r="F39" s="193"/>
      <c r="G39" s="30"/>
      <c r="H39" s="58"/>
      <c r="I39" s="58"/>
      <c r="J39" s="30"/>
      <c r="K39" s="30"/>
      <c r="L39" s="28"/>
      <c r="M39" s="31"/>
      <c r="N39" s="31"/>
    </row>
    <row r="40" spans="1:22" ht="18.75" x14ac:dyDescent="0.25">
      <c r="A40" s="32"/>
      <c r="B40" s="33" t="s">
        <v>260</v>
      </c>
      <c r="C40" s="38"/>
      <c r="D40" s="38"/>
      <c r="E40" s="38"/>
      <c r="F40" s="34"/>
      <c r="G40" s="34"/>
      <c r="H40" s="38" t="s">
        <v>261</v>
      </c>
      <c r="I40" s="72"/>
      <c r="J40" s="35"/>
      <c r="K40" s="35"/>
      <c r="L40" s="35"/>
      <c r="M40" s="32"/>
      <c r="N40" s="32"/>
    </row>
    <row r="41" spans="1:22" ht="18.75" x14ac:dyDescent="0.25">
      <c r="A41" s="32"/>
      <c r="B41" s="72"/>
      <c r="C41" s="72"/>
      <c r="D41" s="37"/>
      <c r="E41" s="72"/>
      <c r="F41" s="36"/>
      <c r="G41" s="36"/>
      <c r="H41" s="59"/>
      <c r="I41" s="72"/>
      <c r="J41" s="36"/>
      <c r="K41" s="36"/>
      <c r="L41" s="36"/>
      <c r="M41" s="36"/>
      <c r="N41" s="36"/>
    </row>
    <row r="42" spans="1:22" ht="18.75" x14ac:dyDescent="0.25">
      <c r="A42" s="28"/>
      <c r="B42" s="29"/>
      <c r="C42" s="37"/>
      <c r="D42" s="37"/>
      <c r="E42" s="37"/>
      <c r="F42" s="194"/>
      <c r="G42" s="32"/>
      <c r="H42" s="33"/>
      <c r="I42" s="33"/>
      <c r="J42" s="60"/>
      <c r="K42" s="60"/>
      <c r="L42" s="28"/>
      <c r="M42" s="28"/>
      <c r="N42" s="28"/>
    </row>
    <row r="43" spans="1:22" ht="18.75" x14ac:dyDescent="0.25">
      <c r="A43" s="28"/>
      <c r="B43" s="38" t="s">
        <v>23</v>
      </c>
      <c r="C43" s="38"/>
      <c r="D43" s="38"/>
      <c r="E43" s="38"/>
      <c r="F43" s="34"/>
      <c r="G43" s="34"/>
      <c r="H43" s="33" t="s">
        <v>45</v>
      </c>
      <c r="I43" s="33"/>
      <c r="J43" s="60"/>
      <c r="K43" s="60"/>
      <c r="L43" s="28"/>
      <c r="M43" s="28"/>
      <c r="N43" s="28"/>
    </row>
    <row r="44" spans="1:22" ht="18.75" x14ac:dyDescent="0.25">
      <c r="A44" s="28"/>
      <c r="B44" s="38"/>
      <c r="C44" s="38"/>
      <c r="D44" s="38"/>
      <c r="E44" s="38"/>
      <c r="F44" s="34"/>
      <c r="G44" s="34"/>
      <c r="H44" s="33"/>
      <c r="I44" s="33"/>
      <c r="J44" s="60"/>
      <c r="K44" s="60"/>
      <c r="L44" s="28"/>
      <c r="M44" s="28"/>
      <c r="N44" s="28"/>
    </row>
    <row r="45" spans="1:22" ht="18.75" x14ac:dyDescent="0.25">
      <c r="A45" s="28"/>
      <c r="B45" s="38"/>
      <c r="C45" s="38"/>
      <c r="D45" s="38"/>
      <c r="E45" s="38"/>
      <c r="F45" s="34"/>
      <c r="G45" s="34"/>
      <c r="H45" s="33"/>
      <c r="I45" s="33"/>
      <c r="J45" s="60"/>
      <c r="K45" s="60"/>
      <c r="L45" s="28"/>
      <c r="M45" s="28"/>
      <c r="N45" s="28"/>
    </row>
    <row r="46" spans="1:22" ht="18.75" x14ac:dyDescent="0.3">
      <c r="B46" s="303" t="s">
        <v>24</v>
      </c>
      <c r="C46" s="304"/>
      <c r="D46" s="304"/>
      <c r="E46" s="92" t="e">
        <f>#REF!+'Подпрограмма 1'!E236+'Подпрограмма 2'!E136</f>
        <v>#REF!</v>
      </c>
      <c r="F46" s="177">
        <f>SUM(G46:K46)</f>
        <v>0</v>
      </c>
      <c r="G46" s="92">
        <f>'Подпрограмма 1'!G235+'Подпрограмма 2'!G135</f>
        <v>0</v>
      </c>
      <c r="H46" s="92">
        <f>'Подпрограмма 1'!H235+'Подпрограмма 2'!H135</f>
        <v>0</v>
      </c>
      <c r="I46" s="92">
        <f>'Подпрограмма 1'!I235+'Подпрограмма 2'!I135</f>
        <v>0</v>
      </c>
      <c r="J46" s="92">
        <f>'Подпрограмма 1'!J235+'Подпрограмма 2'!J135</f>
        <v>0</v>
      </c>
      <c r="K46" s="92">
        <f>'Подпрограмма 1'!K235+'Подпрограмма 2'!K135</f>
        <v>0</v>
      </c>
      <c r="L46" s="13"/>
    </row>
    <row r="47" spans="1:22" ht="18.75" x14ac:dyDescent="0.3">
      <c r="B47" s="303" t="s">
        <v>26</v>
      </c>
      <c r="C47" s="304"/>
      <c r="D47" s="304"/>
      <c r="E47" s="92" t="e">
        <f>#REF!+'Подпрограмма 1'!E235</f>
        <v>#REF!</v>
      </c>
      <c r="F47" s="177">
        <f t="shared" ref="F47:F58" si="16">SUM(G47:K47)</f>
        <v>1201867</v>
      </c>
      <c r="G47" s="92">
        <f>'Подпрограмма 1'!G236+'Подпрограмма 2'!G136</f>
        <v>323587</v>
      </c>
      <c r="H47" s="92">
        <f>'Подпрограмма 1'!H236+'Подпрограмма 2'!H136</f>
        <v>219569.99999999997</v>
      </c>
      <c r="I47" s="92">
        <f>'Подпрограмма 1'!I236+'Подпрограмма 2'!I136</f>
        <v>219569.99999999997</v>
      </c>
      <c r="J47" s="92">
        <f>'Подпрограмма 1'!J236+'Подпрограмма 2'!J136</f>
        <v>219569.99999999997</v>
      </c>
      <c r="K47" s="92">
        <f>'Подпрограмма 1'!K236+'Подпрограмма 2'!K136</f>
        <v>219569.99999999997</v>
      </c>
      <c r="L47" s="13"/>
    </row>
    <row r="48" spans="1:22" ht="18.75" x14ac:dyDescent="0.3">
      <c r="B48" s="305" t="s">
        <v>25</v>
      </c>
      <c r="C48" s="306"/>
      <c r="D48" s="306"/>
      <c r="E48" s="94" t="e">
        <f>SUM(E46:E47)</f>
        <v>#REF!</v>
      </c>
      <c r="F48" s="177">
        <f t="shared" si="16"/>
        <v>1201867</v>
      </c>
      <c r="G48" s="94">
        <f>SUM(G46:G47)</f>
        <v>323587</v>
      </c>
      <c r="H48" s="94">
        <f>SUM(H46:H47)</f>
        <v>219569.99999999997</v>
      </c>
      <c r="I48" s="94">
        <f>SUM(I46:I47)</f>
        <v>219569.99999999997</v>
      </c>
      <c r="J48" s="94">
        <f>SUM(J46:J47)</f>
        <v>219569.99999999997</v>
      </c>
      <c r="K48" s="94">
        <f>SUM(K46:K47)</f>
        <v>219569.99999999997</v>
      </c>
      <c r="L48" s="13"/>
    </row>
    <row r="49" spans="1:16" ht="18.75" x14ac:dyDescent="0.3">
      <c r="B49" s="303" t="s">
        <v>83</v>
      </c>
      <c r="C49" s="304"/>
      <c r="D49" s="304"/>
      <c r="E49" s="92" t="e">
        <f>#REF!+'Подпрограмма 1'!E238</f>
        <v>#REF!</v>
      </c>
      <c r="F49" s="177">
        <f t="shared" si="16"/>
        <v>0</v>
      </c>
      <c r="G49" s="92">
        <f>'Подпрограмма 1'!G238</f>
        <v>0</v>
      </c>
      <c r="H49" s="92">
        <f>'Подпрограмма 1'!H238</f>
        <v>0</v>
      </c>
      <c r="I49" s="92">
        <f>'Подпрограмма 1'!I238</f>
        <v>0</v>
      </c>
      <c r="J49" s="92">
        <f>'Подпрограмма 1'!J238</f>
        <v>0</v>
      </c>
      <c r="K49" s="92">
        <f>'Подпрограмма 1'!K238</f>
        <v>0</v>
      </c>
      <c r="L49" s="13"/>
    </row>
    <row r="50" spans="1:16" ht="18.75" x14ac:dyDescent="0.3">
      <c r="B50" s="303" t="s">
        <v>84</v>
      </c>
      <c r="C50" s="304"/>
      <c r="D50" s="304"/>
      <c r="E50" s="92" t="e">
        <f>#REF!+'Подпрограмма 1'!E239</f>
        <v>#REF!</v>
      </c>
      <c r="F50" s="177">
        <f t="shared" si="16"/>
        <v>32670</v>
      </c>
      <c r="G50" s="92">
        <f>'Подпрограмма 1'!G239</f>
        <v>6534</v>
      </c>
      <c r="H50" s="92">
        <f>'Подпрограмма 1'!H239</f>
        <v>6534</v>
      </c>
      <c r="I50" s="92">
        <f>'Подпрограмма 1'!I239</f>
        <v>6534</v>
      </c>
      <c r="J50" s="92">
        <f>'Подпрограмма 1'!J239</f>
        <v>6534</v>
      </c>
      <c r="K50" s="92">
        <f>'Подпрограмма 1'!K239</f>
        <v>6534</v>
      </c>
      <c r="L50" s="13"/>
    </row>
    <row r="51" spans="1:16" ht="18.75" x14ac:dyDescent="0.3">
      <c r="B51" s="305" t="s">
        <v>85</v>
      </c>
      <c r="C51" s="306"/>
      <c r="D51" s="306"/>
      <c r="E51" s="94" t="e">
        <f>SUM(E49:E50)</f>
        <v>#REF!</v>
      </c>
      <c r="F51" s="177">
        <f t="shared" si="16"/>
        <v>32670</v>
      </c>
      <c r="G51" s="94">
        <f>SUM(G49:G50)</f>
        <v>6534</v>
      </c>
      <c r="H51" s="94">
        <f>SUM(H49:H50)</f>
        <v>6534</v>
      </c>
      <c r="I51" s="94">
        <f>SUM(I49:I50)</f>
        <v>6534</v>
      </c>
      <c r="J51" s="94">
        <f>SUM(J49:J50)</f>
        <v>6534</v>
      </c>
      <c r="K51" s="94">
        <f>SUM(K49:K50)</f>
        <v>6534</v>
      </c>
      <c r="L51" s="13"/>
    </row>
    <row r="52" spans="1:16" ht="18.75" x14ac:dyDescent="0.3">
      <c r="B52" s="303" t="s">
        <v>49</v>
      </c>
      <c r="C52" s="304"/>
      <c r="D52" s="304"/>
      <c r="E52" s="66" t="e">
        <f>E31</f>
        <v>#REF!</v>
      </c>
      <c r="F52" s="177">
        <f t="shared" si="16"/>
        <v>1710612.1699999997</v>
      </c>
      <c r="G52" s="66">
        <f>G31</f>
        <v>379165.59999999992</v>
      </c>
      <c r="H52" s="66">
        <f t="shared" ref="H52:K52" si="17">H31</f>
        <v>349789.77999999997</v>
      </c>
      <c r="I52" s="66">
        <f t="shared" si="17"/>
        <v>327218.93</v>
      </c>
      <c r="J52" s="66">
        <f t="shared" si="17"/>
        <v>327218.93</v>
      </c>
      <c r="K52" s="66">
        <f t="shared" si="17"/>
        <v>327218.93</v>
      </c>
    </row>
    <row r="53" spans="1:16" ht="18.75" x14ac:dyDescent="0.3">
      <c r="B53" s="303" t="s">
        <v>86</v>
      </c>
      <c r="C53" s="304"/>
      <c r="D53" s="304"/>
      <c r="E53" s="92" t="e">
        <f>E33-E46-E49-#REF!</f>
        <v>#REF!</v>
      </c>
      <c r="F53" s="177">
        <f t="shared" si="16"/>
        <v>36129993.285520002</v>
      </c>
      <c r="G53" s="92">
        <f>G32-G46-G50</f>
        <v>7308492.4200000009</v>
      </c>
      <c r="H53" s="92">
        <f t="shared" ref="H53:K53" si="18">H32-H46-H50</f>
        <v>7315303.2098300001</v>
      </c>
      <c r="I53" s="92">
        <f t="shared" si="18"/>
        <v>7274795.71569</v>
      </c>
      <c r="J53" s="92">
        <f t="shared" si="18"/>
        <v>7115700.9699999997</v>
      </c>
      <c r="K53" s="92">
        <f t="shared" si="18"/>
        <v>7115700.9699999997</v>
      </c>
      <c r="L53" s="13"/>
    </row>
    <row r="54" spans="1:16" ht="18.75" x14ac:dyDescent="0.3">
      <c r="B54" s="303" t="s">
        <v>28</v>
      </c>
      <c r="C54" s="304"/>
      <c r="D54" s="304"/>
      <c r="E54" s="92" t="e">
        <f>E32-E47-E50-#REF!</f>
        <v>#REF!</v>
      </c>
      <c r="F54" s="177">
        <f t="shared" si="16"/>
        <v>16879716.590500001</v>
      </c>
      <c r="G54" s="92">
        <f>G33-G47-G49</f>
        <v>3506124.4729999998</v>
      </c>
      <c r="H54" s="92">
        <f t="shared" ref="H54:K54" si="19">H33-H47-H49</f>
        <v>3360762.69</v>
      </c>
      <c r="I54" s="92">
        <f t="shared" si="19"/>
        <v>3357460.8855000003</v>
      </c>
      <c r="J54" s="92">
        <f t="shared" si="19"/>
        <v>3327684.2710000002</v>
      </c>
      <c r="K54" s="92">
        <f t="shared" si="19"/>
        <v>3327684.2710000002</v>
      </c>
      <c r="L54" s="13"/>
    </row>
    <row r="55" spans="1:16" ht="18.75" x14ac:dyDescent="0.3">
      <c r="B55" s="303" t="s">
        <v>139</v>
      </c>
      <c r="C55" s="304"/>
      <c r="D55" s="308"/>
      <c r="E55" s="92"/>
      <c r="F55" s="177">
        <f t="shared" si="16"/>
        <v>2693239.3590000002</v>
      </c>
      <c r="G55" s="92">
        <f>G56+G57</f>
        <v>538647.87180000008</v>
      </c>
      <c r="H55" s="92">
        <f t="shared" ref="H55:K55" si="20">H56+H57</f>
        <v>538647.87180000008</v>
      </c>
      <c r="I55" s="92">
        <f t="shared" si="20"/>
        <v>538647.87180000008</v>
      </c>
      <c r="J55" s="92">
        <f t="shared" si="20"/>
        <v>538647.87180000008</v>
      </c>
      <c r="K55" s="92">
        <f t="shared" si="20"/>
        <v>538647.87180000008</v>
      </c>
      <c r="L55" s="13"/>
    </row>
    <row r="56" spans="1:16" ht="18.75" x14ac:dyDescent="0.3">
      <c r="B56" s="330" t="s">
        <v>143</v>
      </c>
      <c r="C56" s="331"/>
      <c r="D56" s="331"/>
      <c r="E56" s="92" t="e">
        <f>E36-#REF!</f>
        <v>#REF!</v>
      </c>
      <c r="F56" s="177">
        <f t="shared" si="16"/>
        <v>2577282.3490000004</v>
      </c>
      <c r="G56" s="92">
        <f>G36</f>
        <v>515456.46980000008</v>
      </c>
      <c r="H56" s="92">
        <f t="shared" ref="H56:K56" si="21">H36</f>
        <v>515456.46980000008</v>
      </c>
      <c r="I56" s="92">
        <f t="shared" si="21"/>
        <v>515456.46980000008</v>
      </c>
      <c r="J56" s="92">
        <f t="shared" si="21"/>
        <v>515456.46980000008</v>
      </c>
      <c r="K56" s="92">
        <f t="shared" si="21"/>
        <v>515456.46980000008</v>
      </c>
      <c r="L56" s="13"/>
    </row>
    <row r="57" spans="1:16" ht="18.75" x14ac:dyDescent="0.3">
      <c r="B57" s="330" t="s">
        <v>144</v>
      </c>
      <c r="C57" s="331"/>
      <c r="D57" s="331"/>
      <c r="E57" s="92" t="e">
        <f>E37</f>
        <v>#REF!</v>
      </c>
      <c r="F57" s="177">
        <f t="shared" si="16"/>
        <v>115957.01000000001</v>
      </c>
      <c r="G57" s="92">
        <f>G37</f>
        <v>23191.402000000002</v>
      </c>
      <c r="H57" s="92">
        <f t="shared" ref="H57:K57" si="22">H37</f>
        <v>23191.402000000002</v>
      </c>
      <c r="I57" s="92">
        <f t="shared" si="22"/>
        <v>23191.402000000002</v>
      </c>
      <c r="J57" s="92">
        <f t="shared" si="22"/>
        <v>23191.402000000002</v>
      </c>
      <c r="K57" s="92">
        <f t="shared" si="22"/>
        <v>23191.402000000002</v>
      </c>
      <c r="L57" s="13"/>
    </row>
    <row r="58" spans="1:16" ht="18.75" x14ac:dyDescent="0.3">
      <c r="B58" s="305" t="s">
        <v>29</v>
      </c>
      <c r="C58" s="306"/>
      <c r="D58" s="306"/>
      <c r="E58" s="94" t="e">
        <f>SUM(E52:E57)</f>
        <v>#REF!</v>
      </c>
      <c r="F58" s="177">
        <f t="shared" si="16"/>
        <v>60106800.764020003</v>
      </c>
      <c r="G58" s="93">
        <f>SUM(G52:G57)</f>
        <v>12271078.236600002</v>
      </c>
      <c r="H58" s="93">
        <f>SUM(H52:H57)</f>
        <v>12103151.423430001</v>
      </c>
      <c r="I58" s="93">
        <f>SUM(I52:I57)</f>
        <v>12036771.274790002</v>
      </c>
      <c r="J58" s="93">
        <f>SUM(J52:J57)</f>
        <v>11847899.914600002</v>
      </c>
      <c r="K58" s="93">
        <f>SUM(K52:K57)</f>
        <v>11847899.914600002</v>
      </c>
      <c r="L58" s="13"/>
    </row>
    <row r="59" spans="1:16" ht="15" customHeight="1" x14ac:dyDescent="0.25">
      <c r="A59" s="23"/>
      <c r="B59" s="23"/>
      <c r="C59" s="24"/>
      <c r="D59" s="24"/>
      <c r="E59" s="24"/>
      <c r="F59" s="24"/>
      <c r="G59" s="25"/>
      <c r="H59" s="56"/>
      <c r="I59" s="71"/>
      <c r="J59" s="26"/>
      <c r="K59" s="26"/>
      <c r="L59" s="23"/>
      <c r="M59" s="23"/>
      <c r="N59" s="23"/>
      <c r="O59" s="23"/>
      <c r="P59" s="23"/>
    </row>
    <row r="60" spans="1:16" x14ac:dyDescent="0.25">
      <c r="E60" s="10"/>
      <c r="F60" s="14"/>
      <c r="G60" s="10"/>
      <c r="H60" s="10"/>
      <c r="I60" s="10"/>
      <c r="J60" s="10"/>
      <c r="K60" s="10"/>
    </row>
    <row r="61" spans="1:16" ht="15.75" x14ac:dyDescent="0.25">
      <c r="C61" s="13"/>
      <c r="D61" s="13"/>
      <c r="E61" s="13"/>
      <c r="F61" s="195"/>
      <c r="G61" s="13"/>
      <c r="H61" s="87"/>
      <c r="I61" s="57"/>
      <c r="J61" s="13"/>
      <c r="K61" s="13"/>
    </row>
    <row r="62" spans="1:16" ht="21" x14ac:dyDescent="0.35">
      <c r="E62" s="10"/>
      <c r="G62" s="10"/>
      <c r="I62" s="108"/>
      <c r="J62" s="108"/>
      <c r="K62" s="108"/>
    </row>
    <row r="63" spans="1:16" x14ac:dyDescent="0.25">
      <c r="E63" s="10"/>
      <c r="F63" s="196"/>
      <c r="G63" s="10"/>
      <c r="H63" s="54"/>
      <c r="I63" s="54"/>
      <c r="J63" s="17"/>
      <c r="K63" s="17"/>
    </row>
    <row r="64" spans="1:16" x14ac:dyDescent="0.25">
      <c r="E64" s="10"/>
      <c r="F64" s="196"/>
      <c r="G64" s="10"/>
      <c r="H64" s="54"/>
      <c r="I64" s="96"/>
      <c r="J64" s="10"/>
      <c r="K64" s="10"/>
    </row>
    <row r="65" spans="5:11" x14ac:dyDescent="0.25">
      <c r="E65" s="10"/>
      <c r="F65" s="196"/>
      <c r="G65" s="10"/>
      <c r="H65" s="54"/>
      <c r="I65" s="54"/>
      <c r="J65" s="17"/>
      <c r="K65" s="17"/>
    </row>
    <row r="66" spans="5:11" x14ac:dyDescent="0.25">
      <c r="E66" s="17"/>
      <c r="F66" s="196"/>
      <c r="G66" s="10"/>
      <c r="H66" s="54"/>
      <c r="I66" s="54"/>
      <c r="J66" s="17"/>
      <c r="K66" s="17"/>
    </row>
    <row r="67" spans="5:11" ht="18.75" x14ac:dyDescent="0.3">
      <c r="F67" s="196"/>
      <c r="G67" s="95"/>
    </row>
    <row r="68" spans="5:11" x14ac:dyDescent="0.25">
      <c r="E68" s="17"/>
      <c r="F68" s="196"/>
      <c r="G68" s="17"/>
      <c r="H68" s="54"/>
      <c r="I68" s="54"/>
      <c r="J68" s="54"/>
      <c r="K68" s="17"/>
    </row>
    <row r="69" spans="5:11" ht="18.75" x14ac:dyDescent="0.3">
      <c r="E69" s="17"/>
      <c r="F69" s="196"/>
      <c r="G69" s="95"/>
      <c r="H69" s="54"/>
      <c r="I69" s="54"/>
      <c r="J69" s="17"/>
      <c r="K69" s="17"/>
    </row>
    <row r="70" spans="5:11" ht="18.75" x14ac:dyDescent="0.3">
      <c r="F70" s="196"/>
      <c r="G70" s="95"/>
      <c r="H70" s="54"/>
    </row>
    <row r="71" spans="5:11" ht="18.75" x14ac:dyDescent="0.3">
      <c r="G71" s="97"/>
    </row>
    <row r="72" spans="5:11" x14ac:dyDescent="0.25">
      <c r="F72" s="196"/>
      <c r="G72" s="17"/>
      <c r="H72" s="54"/>
      <c r="I72" s="54"/>
      <c r="J72" s="17"/>
      <c r="K72" s="17"/>
    </row>
    <row r="73" spans="5:11" x14ac:dyDescent="0.25">
      <c r="F73" s="196"/>
      <c r="G73" s="17"/>
      <c r="H73" s="54"/>
      <c r="I73" s="54"/>
      <c r="J73" s="17"/>
      <c r="K73" s="17"/>
    </row>
    <row r="74" spans="5:11" x14ac:dyDescent="0.25">
      <c r="F74" s="14"/>
      <c r="G74" s="10"/>
      <c r="H74" s="52"/>
      <c r="I74" s="52"/>
      <c r="J74" s="10"/>
      <c r="K74" s="10"/>
    </row>
  </sheetData>
  <mergeCells count="57">
    <mergeCell ref="B56:D56"/>
    <mergeCell ref="B57:D57"/>
    <mergeCell ref="B58:D58"/>
    <mergeCell ref="A29:D29"/>
    <mergeCell ref="B52:D52"/>
    <mergeCell ref="B46:D46"/>
    <mergeCell ref="B55:D55"/>
    <mergeCell ref="B47:D47"/>
    <mergeCell ref="B48:D48"/>
    <mergeCell ref="B49:D49"/>
    <mergeCell ref="B50:D50"/>
    <mergeCell ref="B51:D51"/>
    <mergeCell ref="A33:D33"/>
    <mergeCell ref="A36:D36"/>
    <mergeCell ref="A34:D34"/>
    <mergeCell ref="B53:D53"/>
    <mergeCell ref="B54:D54"/>
    <mergeCell ref="A37:D37"/>
    <mergeCell ref="B4:M4"/>
    <mergeCell ref="A26:D26"/>
    <mergeCell ref="B5:B10"/>
    <mergeCell ref="C5:C10"/>
    <mergeCell ref="L11:L14"/>
    <mergeCell ref="M11:M14"/>
    <mergeCell ref="A25:D25"/>
    <mergeCell ref="A28:D28"/>
    <mergeCell ref="A35:D35"/>
    <mergeCell ref="M15:M19"/>
    <mergeCell ref="A20:A23"/>
    <mergeCell ref="B20:B23"/>
    <mergeCell ref="C20:C23"/>
    <mergeCell ref="L20:L23"/>
    <mergeCell ref="A27:D27"/>
    <mergeCell ref="A31:D31"/>
    <mergeCell ref="A32:D32"/>
    <mergeCell ref="M20:M23"/>
    <mergeCell ref="A15:A19"/>
    <mergeCell ref="B15:B19"/>
    <mergeCell ref="C15:C19"/>
    <mergeCell ref="L15:L19"/>
    <mergeCell ref="A30:D30"/>
    <mergeCell ref="F1:F2"/>
    <mergeCell ref="G1:K1"/>
    <mergeCell ref="L1:L2"/>
    <mergeCell ref="M1:M2"/>
    <mergeCell ref="A24:D24"/>
    <mergeCell ref="A1:A2"/>
    <mergeCell ref="B1:B2"/>
    <mergeCell ref="C1:C2"/>
    <mergeCell ref="D1:D2"/>
    <mergeCell ref="E1:E2"/>
    <mergeCell ref="A5:A10"/>
    <mergeCell ref="L5:L10"/>
    <mergeCell ref="M5:M10"/>
    <mergeCell ref="A11:A14"/>
    <mergeCell ref="B11:B14"/>
    <mergeCell ref="C11:C14"/>
  </mergeCells>
  <pageMargins left="0.19685039370078741" right="0.19685039370078741" top="0.59055118110236227" bottom="0.19685039370078741" header="0.39370078740157483" footer="0"/>
  <pageSetup paperSize="9" scale="46" firstPageNumber="16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Подпрограмма 1</vt:lpstr>
      <vt:lpstr>Подпрограмма 2</vt:lpstr>
      <vt:lpstr>Подпрограмма 3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2022-11-23T14:25:12Z</cp:lastPrinted>
  <dcterms:created xsi:type="dcterms:W3CDTF">2020-11-02T07:16:17Z</dcterms:created>
  <dcterms:modified xsi:type="dcterms:W3CDTF">2022-11-23T14:25:14Z</dcterms:modified>
</cp:coreProperties>
</file>