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vyacheslav/Documents/ИРА/работа/ПРОГРАММа/4 версия 2024/"/>
    </mc:Choice>
  </mc:AlternateContent>
  <xr:revisionPtr revIDLastSave="0" documentId="13_ncr:1_{B1FA3E92-D624-124F-8B42-23BC5B33D968}" xr6:coauthVersionLast="47" xr6:coauthVersionMax="47" xr10:uidLastSave="{00000000-0000-0000-0000-000000000000}"/>
  <bookViews>
    <workbookView xWindow="8220" yWindow="2860" windowWidth="25380" windowHeight="15100" tabRatio="792" activeTab="2" xr2:uid="{00000000-000D-0000-FFFF-FFFF00000000}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1'!$A$13:$U$442</definedName>
    <definedName name="_xlnm._FilterDatabase" localSheetId="1" hidden="1">'Подпрограмма 2'!$A$6:$AA$175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1'!$A$1:$P$442</definedName>
    <definedName name="_xlnm.Print_Area" localSheetId="1">'Подпрограмма 2'!$A$1:$P$175</definedName>
    <definedName name="_xlnm.Print_Area" localSheetId="2">'Подпрограмма 3'!$A$1:$P$52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9" l="1"/>
  <c r="H122" i="2"/>
  <c r="H105" i="2"/>
  <c r="H46" i="2"/>
  <c r="H33" i="2"/>
  <c r="H115" i="2"/>
  <c r="H227" i="2"/>
  <c r="H196" i="2"/>
  <c r="O75" i="2"/>
  <c r="N75" i="2"/>
  <c r="M75" i="2"/>
  <c r="H75" i="2"/>
  <c r="O60" i="2"/>
  <c r="N60" i="2"/>
  <c r="M60" i="2"/>
  <c r="H60" i="2"/>
  <c r="H53" i="2" l="1"/>
  <c r="H45" i="2"/>
  <c r="H411" i="2" l="1"/>
  <c r="H410" i="2"/>
  <c r="H406" i="2" s="1"/>
  <c r="H176" i="2"/>
  <c r="F66" i="3" l="1"/>
  <c r="M22" i="9" l="1"/>
  <c r="N22" i="9" s="1"/>
  <c r="O22" i="9" s="1"/>
  <c r="H175" i="2" l="1"/>
  <c r="F71" i="3"/>
  <c r="K71" i="3" l="1"/>
  <c r="O86" i="3" l="1"/>
  <c r="N86" i="3"/>
  <c r="M86" i="3"/>
  <c r="H86" i="3"/>
  <c r="O105" i="2" l="1"/>
  <c r="N105" i="2"/>
  <c r="M105" i="2"/>
  <c r="G427" i="2" l="1"/>
  <c r="G426" i="2"/>
  <c r="G425" i="2"/>
  <c r="G424" i="2"/>
  <c r="N424" i="2"/>
  <c r="O424" i="2"/>
  <c r="N425" i="2"/>
  <c r="O425" i="2"/>
  <c r="N426" i="2"/>
  <c r="O426" i="2"/>
  <c r="N427" i="2"/>
  <c r="O427" i="2"/>
  <c r="M425" i="2"/>
  <c r="M426" i="2"/>
  <c r="M427" i="2"/>
  <c r="M424" i="2"/>
  <c r="H427" i="2"/>
  <c r="H426" i="2"/>
  <c r="H425" i="2"/>
  <c r="H424" i="2"/>
  <c r="F431" i="2"/>
  <c r="F430" i="2"/>
  <c r="F429" i="2"/>
  <c r="F428" i="2"/>
  <c r="G423" i="2" l="1"/>
  <c r="H423" i="2"/>
  <c r="H26" i="3"/>
  <c r="H26" i="2" l="1"/>
  <c r="F342" i="2" l="1"/>
  <c r="F341" i="2"/>
  <c r="G150" i="2" l="1"/>
  <c r="H252" i="2" l="1"/>
  <c r="H251" i="2"/>
  <c r="H258" i="2"/>
  <c r="H259" i="2"/>
  <c r="H278" i="2"/>
  <c r="H277" i="2"/>
  <c r="H288" i="2"/>
  <c r="H287" i="2"/>
  <c r="H294" i="2"/>
  <c r="H295" i="2"/>
  <c r="H302" i="2"/>
  <c r="H301" i="2"/>
  <c r="H330" i="2"/>
  <c r="H329" i="2"/>
  <c r="H379" i="2"/>
  <c r="H378" i="2"/>
  <c r="H365" i="2"/>
  <c r="H364" i="2"/>
  <c r="N176" i="2" l="1"/>
  <c r="M176" i="2"/>
  <c r="N169" i="2"/>
  <c r="M169" i="2"/>
  <c r="H169" i="2"/>
  <c r="F346" i="2" l="1"/>
  <c r="H128" i="3" l="1"/>
  <c r="N168" i="2"/>
  <c r="M168" i="2"/>
  <c r="H168" i="2"/>
  <c r="H150" i="2" s="1"/>
  <c r="N167" i="2"/>
  <c r="M167" i="2"/>
  <c r="H167" i="2"/>
  <c r="H217" i="2" l="1"/>
  <c r="H216" i="2"/>
  <c r="F417" i="2"/>
  <c r="F418" i="2"/>
  <c r="F419" i="2"/>
  <c r="F416" i="2"/>
  <c r="F409" i="2"/>
  <c r="F412" i="2"/>
  <c r="F397" i="2"/>
  <c r="F398" i="2"/>
  <c r="F399" i="2"/>
  <c r="F400" i="2"/>
  <c r="F384" i="2"/>
  <c r="F379" i="2"/>
  <c r="F380" i="2"/>
  <c r="F381" i="2"/>
  <c r="F378" i="2"/>
  <c r="F377" i="2"/>
  <c r="F372" i="2"/>
  <c r="F373" i="2"/>
  <c r="F374" i="2"/>
  <c r="F371" i="2"/>
  <c r="F370" i="2"/>
  <c r="F364" i="2"/>
  <c r="F365" i="2"/>
  <c r="F366" i="2"/>
  <c r="F367" i="2"/>
  <c r="F354" i="2"/>
  <c r="F355" i="2"/>
  <c r="F334" i="2"/>
  <c r="F331" i="2"/>
  <c r="F328" i="2"/>
  <c r="F327" i="2"/>
  <c r="F322" i="2"/>
  <c r="F323" i="2"/>
  <c r="F324" i="2"/>
  <c r="F321" i="2"/>
  <c r="F320" i="2"/>
  <c r="F315" i="2"/>
  <c r="F316" i="2"/>
  <c r="F317" i="2"/>
  <c r="F314" i="2"/>
  <c r="F313" i="2"/>
  <c r="F308" i="2"/>
  <c r="F309" i="2"/>
  <c r="F310" i="2"/>
  <c r="F307" i="2"/>
  <c r="F306" i="2"/>
  <c r="F303" i="2"/>
  <c r="F300" i="2"/>
  <c r="F299" i="2"/>
  <c r="F296" i="2"/>
  <c r="F293" i="2"/>
  <c r="F292" i="2"/>
  <c r="F289" i="2"/>
  <c r="F286" i="2"/>
  <c r="F285" i="2"/>
  <c r="F282" i="2"/>
  <c r="F276" i="2"/>
  <c r="F279" i="2"/>
  <c r="F265" i="2"/>
  <c r="F266" i="2"/>
  <c r="F267" i="2"/>
  <c r="F264" i="2"/>
  <c r="F258" i="2"/>
  <c r="F259" i="2"/>
  <c r="F260" i="2"/>
  <c r="F257" i="2"/>
  <c r="F250" i="2"/>
  <c r="F251" i="2"/>
  <c r="F252" i="2"/>
  <c r="F253" i="2"/>
  <c r="F238" i="2"/>
  <c r="F239" i="2"/>
  <c r="F240" i="2"/>
  <c r="F241" i="2"/>
  <c r="F227" i="2"/>
  <c r="F228" i="2"/>
  <c r="F229" i="2"/>
  <c r="F226" i="2"/>
  <c r="F219" i="2"/>
  <c r="F220" i="2"/>
  <c r="F222" i="2"/>
  <c r="F208" i="2"/>
  <c r="F209" i="2"/>
  <c r="F210" i="2"/>
  <c r="F196" i="2"/>
  <c r="F197" i="2"/>
  <c r="F198" i="2"/>
  <c r="F195" i="2"/>
  <c r="F189" i="2"/>
  <c r="F190" i="2"/>
  <c r="F191" i="2"/>
  <c r="F188" i="2"/>
  <c r="F184" i="2"/>
  <c r="F181" i="2"/>
  <c r="F177" i="2"/>
  <c r="F174" i="2"/>
  <c r="F170" i="2"/>
  <c r="F166" i="2"/>
  <c r="F161" i="2"/>
  <c r="F162" i="2"/>
  <c r="F163" i="2"/>
  <c r="F155" i="2"/>
  <c r="F156" i="2"/>
  <c r="F142" i="2"/>
  <c r="F143" i="2"/>
  <c r="F144" i="2"/>
  <c r="F141" i="2"/>
  <c r="F135" i="2"/>
  <c r="F136" i="2"/>
  <c r="F137" i="2"/>
  <c r="F134" i="2"/>
  <c r="F128" i="2"/>
  <c r="F129" i="2"/>
  <c r="F130" i="2"/>
  <c r="F127" i="2"/>
  <c r="F121" i="2"/>
  <c r="F123" i="2"/>
  <c r="F120" i="2"/>
  <c r="F119" i="2"/>
  <c r="F114" i="2"/>
  <c r="F116" i="2"/>
  <c r="F113" i="2"/>
  <c r="F105" i="2"/>
  <c r="F108" i="2"/>
  <c r="F109" i="2"/>
  <c r="F103" i="2"/>
  <c r="F97" i="2"/>
  <c r="F98" i="2"/>
  <c r="F99" i="2"/>
  <c r="F96" i="2"/>
  <c r="F90" i="2"/>
  <c r="F92" i="2"/>
  <c r="F89" i="2"/>
  <c r="F82" i="2"/>
  <c r="F74" i="2"/>
  <c r="F78" i="2"/>
  <c r="F73" i="2"/>
  <c r="F67" i="2"/>
  <c r="F68" i="2"/>
  <c r="F69" i="2"/>
  <c r="F66" i="2"/>
  <c r="F61" i="2"/>
  <c r="F62" i="2"/>
  <c r="F59" i="2"/>
  <c r="F54" i="2"/>
  <c r="F55" i="2"/>
  <c r="F52" i="2"/>
  <c r="F46" i="2"/>
  <c r="F47" i="2"/>
  <c r="F48" i="2"/>
  <c r="F44" i="2"/>
  <c r="F39" i="2"/>
  <c r="F40" i="2"/>
  <c r="F41" i="2"/>
  <c r="F38" i="2"/>
  <c r="F32" i="2"/>
  <c r="F34" i="2"/>
  <c r="F31" i="2"/>
  <c r="F30" i="2"/>
  <c r="F24" i="2"/>
  <c r="F25" i="2"/>
  <c r="F27" i="2"/>
  <c r="H248" i="2"/>
  <c r="H247" i="2"/>
  <c r="G449" i="2"/>
  <c r="G445" i="2"/>
  <c r="G446" i="2" s="1"/>
  <c r="G408" i="2"/>
  <c r="G407" i="2"/>
  <c r="G406" i="2"/>
  <c r="G405" i="2"/>
  <c r="G396" i="2"/>
  <c r="G395" i="2"/>
  <c r="G394" i="2"/>
  <c r="G393" i="2"/>
  <c r="G362" i="2"/>
  <c r="G361" i="2"/>
  <c r="G360" i="2"/>
  <c r="G363" i="2"/>
  <c r="G351" i="2"/>
  <c r="G350" i="2"/>
  <c r="G349" i="2"/>
  <c r="G348" i="2"/>
  <c r="G337" i="2"/>
  <c r="F337" i="2" s="1"/>
  <c r="G339" i="2"/>
  <c r="G338" i="2"/>
  <c r="F338" i="2" s="1"/>
  <c r="G336" i="2"/>
  <c r="G273" i="2"/>
  <c r="G274" i="2"/>
  <c r="G275" i="2"/>
  <c r="G272" i="2"/>
  <c r="G248" i="2"/>
  <c r="G247" i="2"/>
  <c r="G249" i="2"/>
  <c r="G246" i="2"/>
  <c r="G237" i="2"/>
  <c r="G236" i="2"/>
  <c r="G235" i="2"/>
  <c r="G234" i="2"/>
  <c r="G217" i="2"/>
  <c r="G218" i="2"/>
  <c r="G216" i="2"/>
  <c r="G215" i="2"/>
  <c r="G206" i="2"/>
  <c r="G205" i="2"/>
  <c r="G204" i="2"/>
  <c r="G203" i="2"/>
  <c r="G151" i="2"/>
  <c r="G152" i="2"/>
  <c r="G149" i="2"/>
  <c r="G19" i="2"/>
  <c r="G107" i="2"/>
  <c r="G77" i="2"/>
  <c r="G18" i="2"/>
  <c r="G23" i="2"/>
  <c r="G442" i="2" s="1"/>
  <c r="G455" i="2" s="1"/>
  <c r="G22" i="2"/>
  <c r="G441" i="2" s="1"/>
  <c r="G454" i="2" s="1"/>
  <c r="G20" i="2"/>
  <c r="G439" i="2" s="1"/>
  <c r="F164" i="3"/>
  <c r="F165" i="3"/>
  <c r="F166" i="3"/>
  <c r="F152" i="3"/>
  <c r="F153" i="3"/>
  <c r="F154" i="3"/>
  <c r="F140" i="3"/>
  <c r="F141" i="3"/>
  <c r="F142" i="3"/>
  <c r="F128" i="3"/>
  <c r="F129" i="3"/>
  <c r="F130" i="3"/>
  <c r="F133" i="3"/>
  <c r="F116" i="3"/>
  <c r="F117" i="3"/>
  <c r="F118" i="3"/>
  <c r="F104" i="3"/>
  <c r="F105" i="3"/>
  <c r="F106" i="3"/>
  <c r="F92" i="3"/>
  <c r="F93" i="3"/>
  <c r="F94" i="3"/>
  <c r="F91" i="3"/>
  <c r="F85" i="3"/>
  <c r="F87" i="3"/>
  <c r="F84" i="3"/>
  <c r="F77" i="3"/>
  <c r="F78" i="3"/>
  <c r="F80" i="3"/>
  <c r="F54" i="3"/>
  <c r="F55" i="3"/>
  <c r="F56" i="3"/>
  <c r="F53" i="3"/>
  <c r="F47" i="3"/>
  <c r="F48" i="3"/>
  <c r="F49" i="3"/>
  <c r="F46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80" i="3"/>
  <c r="G161" i="3"/>
  <c r="G162" i="3"/>
  <c r="G160" i="3"/>
  <c r="G159" i="3"/>
  <c r="G150" i="3"/>
  <c r="G149" i="3"/>
  <c r="G148" i="3"/>
  <c r="G147" i="3"/>
  <c r="G138" i="3"/>
  <c r="G137" i="3"/>
  <c r="G136" i="3"/>
  <c r="G135" i="3"/>
  <c r="G126" i="3"/>
  <c r="G125" i="3"/>
  <c r="G124" i="3"/>
  <c r="G123" i="3"/>
  <c r="G114" i="3"/>
  <c r="G113" i="3"/>
  <c r="G112" i="3"/>
  <c r="G111" i="3"/>
  <c r="G102" i="3"/>
  <c r="G101" i="3"/>
  <c r="G100" i="3"/>
  <c r="G99" i="3"/>
  <c r="G75" i="3"/>
  <c r="G76" i="3"/>
  <c r="G74" i="3"/>
  <c r="G63" i="3" s="1"/>
  <c r="G73" i="3"/>
  <c r="G64" i="3"/>
  <c r="G62" i="3"/>
  <c r="G61" i="3"/>
  <c r="G21" i="3"/>
  <c r="G27" i="3"/>
  <c r="G22" i="3" s="1"/>
  <c r="G23" i="3"/>
  <c r="G175" i="3" s="1"/>
  <c r="G20" i="3"/>
  <c r="G19" i="3"/>
  <c r="G10" i="3"/>
  <c r="G9" i="3"/>
  <c r="G6" i="3" s="1"/>
  <c r="G8" i="3"/>
  <c r="G7" i="3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H6" i="9"/>
  <c r="G7" i="9"/>
  <c r="G35" i="9" s="1"/>
  <c r="H7" i="9"/>
  <c r="G8" i="9"/>
  <c r="H8" i="9"/>
  <c r="G10" i="9"/>
  <c r="G38" i="9" s="1"/>
  <c r="H10" i="9"/>
  <c r="G34" i="9"/>
  <c r="G233" i="2" l="1"/>
  <c r="G437" i="2"/>
  <c r="G21" i="2"/>
  <c r="G202" i="2"/>
  <c r="G110" i="3"/>
  <c r="G43" i="9"/>
  <c r="Y43" i="9" s="1"/>
  <c r="G98" i="3"/>
  <c r="G46" i="9"/>
  <c r="Y46" i="9" s="1"/>
  <c r="G36" i="9"/>
  <c r="G33" i="9" s="1"/>
  <c r="G392" i="2"/>
  <c r="G185" i="3"/>
  <c r="G184" i="3" s="1"/>
  <c r="G45" i="9"/>
  <c r="G134" i="3"/>
  <c r="G72" i="3"/>
  <c r="G60" i="3"/>
  <c r="G440" i="2"/>
  <c r="G335" i="2"/>
  <c r="G347" i="2"/>
  <c r="G404" i="2"/>
  <c r="G359" i="2"/>
  <c r="G271" i="2"/>
  <c r="G148" i="2"/>
  <c r="G438" i="2"/>
  <c r="G453" i="2"/>
  <c r="G214" i="2"/>
  <c r="G245" i="2"/>
  <c r="G17" i="2"/>
  <c r="G436" i="2" s="1"/>
  <c r="G172" i="3"/>
  <c r="G182" i="3" s="1"/>
  <c r="G146" i="3"/>
  <c r="G158" i="3"/>
  <c r="G171" i="3"/>
  <c r="G122" i="3"/>
  <c r="G18" i="3"/>
  <c r="G174" i="3"/>
  <c r="G173" i="3"/>
  <c r="G5" i="9"/>
  <c r="Y45" i="9" l="1"/>
  <c r="G44" i="9"/>
  <c r="G181" i="3"/>
  <c r="G183" i="3"/>
  <c r="G451" i="2"/>
  <c r="G41" i="9"/>
  <c r="Y41" i="9" s="1"/>
  <c r="G452" i="2"/>
  <c r="G42" i="9"/>
  <c r="Y42" i="9" s="1"/>
  <c r="G16" i="2"/>
  <c r="G40" i="9"/>
  <c r="Y40" i="9" s="1"/>
  <c r="G170" i="3"/>
  <c r="G186" i="3" l="1"/>
  <c r="Y44" i="9"/>
  <c r="G39" i="9"/>
  <c r="G435" i="2"/>
  <c r="G450" i="2"/>
  <c r="G456" i="2" s="1"/>
  <c r="H79" i="3" l="1"/>
  <c r="H75" i="3" l="1"/>
  <c r="F79" i="3"/>
  <c r="O20" i="9" l="1"/>
  <c r="N20" i="9"/>
  <c r="M20" i="9"/>
  <c r="F20" i="9" l="1"/>
  <c r="O353" i="2"/>
  <c r="O352" i="2"/>
  <c r="N353" i="2"/>
  <c r="M353" i="2"/>
  <c r="N352" i="2"/>
  <c r="F352" i="2" s="1"/>
  <c r="F353" i="2" l="1"/>
  <c r="M329" i="2"/>
  <c r="F329" i="2" s="1"/>
  <c r="N301" i="2"/>
  <c r="M301" i="2"/>
  <c r="F301" i="2" s="1"/>
  <c r="N294" i="2"/>
  <c r="M294" i="2"/>
  <c r="N287" i="2"/>
  <c r="M287" i="2"/>
  <c r="F287" i="2" s="1"/>
  <c r="M277" i="2"/>
  <c r="N277" i="2"/>
  <c r="M330" i="2"/>
  <c r="F330" i="2" s="1"/>
  <c r="N302" i="2"/>
  <c r="M302" i="2"/>
  <c r="F302" i="2" l="1"/>
  <c r="F277" i="2"/>
  <c r="F294" i="2"/>
  <c r="M295" i="2"/>
  <c r="N295" i="2"/>
  <c r="F295" i="2" l="1"/>
  <c r="N288" i="2"/>
  <c r="M288" i="2"/>
  <c r="F288" i="2" s="1"/>
  <c r="N278" i="2"/>
  <c r="M278" i="2"/>
  <c r="M216" i="2"/>
  <c r="N216" i="2"/>
  <c r="O216" i="2"/>
  <c r="O168" i="2"/>
  <c r="F168" i="2" s="1"/>
  <c r="O167" i="2"/>
  <c r="F167" i="2" s="1"/>
  <c r="O169" i="2"/>
  <c r="F169" i="2" s="1"/>
  <c r="O53" i="2"/>
  <c r="N53" i="2"/>
  <c r="M53" i="2"/>
  <c r="M45" i="2"/>
  <c r="F45" i="2" s="1"/>
  <c r="O122" i="2"/>
  <c r="N122" i="2"/>
  <c r="M122" i="2"/>
  <c r="O115" i="2"/>
  <c r="N115" i="2"/>
  <c r="M115" i="2"/>
  <c r="O91" i="2"/>
  <c r="N91" i="2"/>
  <c r="M91" i="2"/>
  <c r="F91" i="2" s="1"/>
  <c r="O33" i="2"/>
  <c r="N33" i="2"/>
  <c r="M33" i="2"/>
  <c r="F33" i="2" s="1"/>
  <c r="F53" i="2" l="1"/>
  <c r="F216" i="2"/>
  <c r="F122" i="2"/>
  <c r="F115" i="2"/>
  <c r="F278" i="2"/>
  <c r="O75" i="3"/>
  <c r="M75" i="3" l="1"/>
  <c r="F86" i="3"/>
  <c r="N75" i="3"/>
  <c r="M21" i="9"/>
  <c r="N21" i="9"/>
  <c r="O21" i="9"/>
  <c r="O26" i="3"/>
  <c r="N26" i="3"/>
  <c r="M26" i="3"/>
  <c r="N273" i="2"/>
  <c r="N274" i="2"/>
  <c r="O411" i="2"/>
  <c r="N411" i="2"/>
  <c r="M411" i="2"/>
  <c r="O410" i="2"/>
  <c r="N410" i="2"/>
  <c r="M410" i="2"/>
  <c r="F411" i="2" l="1"/>
  <c r="F410" i="2"/>
  <c r="F26" i="3"/>
  <c r="F75" i="3"/>
  <c r="M273" i="2"/>
  <c r="O221" i="2"/>
  <c r="N221" i="2"/>
  <c r="M221" i="2"/>
  <c r="F221" i="2" s="1"/>
  <c r="O182" i="2"/>
  <c r="N182" i="2"/>
  <c r="M182" i="2"/>
  <c r="F182" i="2" s="1"/>
  <c r="O183" i="2"/>
  <c r="N183" i="2"/>
  <c r="M183" i="2"/>
  <c r="O176" i="2"/>
  <c r="O175" i="2"/>
  <c r="N175" i="2"/>
  <c r="M175" i="2"/>
  <c r="O149" i="2"/>
  <c r="O154" i="2"/>
  <c r="N154" i="2"/>
  <c r="M154" i="2"/>
  <c r="O18" i="2"/>
  <c r="N18" i="2"/>
  <c r="O151" i="2" l="1"/>
  <c r="F176" i="2"/>
  <c r="M150" i="2"/>
  <c r="F154" i="2"/>
  <c r="F175" i="2"/>
  <c r="F183" i="2"/>
  <c r="M18" i="2"/>
  <c r="F60" i="2"/>
  <c r="N150" i="2"/>
  <c r="N151" i="2"/>
  <c r="O150" i="2"/>
  <c r="M274" i="2"/>
  <c r="O76" i="2"/>
  <c r="N76" i="2"/>
  <c r="M76" i="2"/>
  <c r="F76" i="2" s="1"/>
  <c r="F75" i="2"/>
  <c r="O106" i="2"/>
  <c r="N106" i="2"/>
  <c r="M106" i="2"/>
  <c r="F150" i="2" l="1"/>
  <c r="F106" i="2"/>
  <c r="O26" i="2"/>
  <c r="N26" i="2"/>
  <c r="M26" i="2"/>
  <c r="F26" i="2" l="1"/>
  <c r="M272" i="2"/>
  <c r="N272" i="2"/>
  <c r="O272" i="2"/>
  <c r="O273" i="2"/>
  <c r="O274" i="2"/>
  <c r="M275" i="2"/>
  <c r="N275" i="2"/>
  <c r="O275" i="2"/>
  <c r="O271" i="2" l="1"/>
  <c r="N271" i="2"/>
  <c r="M271" i="2"/>
  <c r="H21" i="9" l="1"/>
  <c r="H9" i="9" l="1"/>
  <c r="F21" i="9"/>
  <c r="H19" i="2"/>
  <c r="H5" i="9" l="1"/>
  <c r="H61" i="3"/>
  <c r="M61" i="3"/>
  <c r="N61" i="3"/>
  <c r="O61" i="3"/>
  <c r="M64" i="3"/>
  <c r="N64" i="3"/>
  <c r="O64" i="3"/>
  <c r="H64" i="3"/>
  <c r="H274" i="2"/>
  <c r="F274" i="2" s="1"/>
  <c r="H104" i="2"/>
  <c r="H18" i="2" s="1"/>
  <c r="F18" i="2" l="1"/>
  <c r="F104" i="2"/>
  <c r="F68" i="3"/>
  <c r="F67" i="3"/>
  <c r="F65" i="3"/>
  <c r="F64" i="3"/>
  <c r="E63" i="3"/>
  <c r="E62" i="3"/>
  <c r="F61" i="3"/>
  <c r="E60" i="3" l="1"/>
  <c r="O237" i="2"/>
  <c r="N237" i="2"/>
  <c r="M237" i="2"/>
  <c r="H237" i="2"/>
  <c r="O236" i="2"/>
  <c r="N236" i="2"/>
  <c r="M236" i="2"/>
  <c r="E236" i="2"/>
  <c r="E233" i="2" s="1"/>
  <c r="O235" i="2"/>
  <c r="N235" i="2"/>
  <c r="M235" i="2"/>
  <c r="H235" i="2"/>
  <c r="O234" i="2"/>
  <c r="N234" i="2"/>
  <c r="M234" i="2"/>
  <c r="H234" i="2"/>
  <c r="F234" i="2" l="1"/>
  <c r="F235" i="2"/>
  <c r="F237" i="2"/>
  <c r="M233" i="2"/>
  <c r="O233" i="2"/>
  <c r="N233" i="2"/>
  <c r="H236" i="2"/>
  <c r="F236" i="2" s="1"/>
  <c r="H233" i="2" l="1"/>
  <c r="F233" i="2" s="1"/>
  <c r="H151" i="2" l="1"/>
  <c r="F32" i="9" l="1"/>
  <c r="M348" i="2" l="1"/>
  <c r="O351" i="2"/>
  <c r="N351" i="2"/>
  <c r="M351" i="2"/>
  <c r="H351" i="2"/>
  <c r="O350" i="2"/>
  <c r="N350" i="2"/>
  <c r="M350" i="2"/>
  <c r="F350" i="2" s="1"/>
  <c r="H350" i="2"/>
  <c r="E350" i="2"/>
  <c r="O349" i="2"/>
  <c r="N349" i="2"/>
  <c r="M349" i="2"/>
  <c r="H349" i="2"/>
  <c r="E349" i="2"/>
  <c r="O348" i="2"/>
  <c r="N348" i="2"/>
  <c r="H348" i="2"/>
  <c r="E348" i="2"/>
  <c r="H273" i="2"/>
  <c r="F273" i="2" s="1"/>
  <c r="F351" i="2" l="1"/>
  <c r="F349" i="2"/>
  <c r="F348" i="2"/>
  <c r="H347" i="2"/>
  <c r="E347" i="2"/>
  <c r="N347" i="2"/>
  <c r="M347" i="2"/>
  <c r="O347" i="2"/>
  <c r="F347" i="2" l="1"/>
  <c r="H20" i="2"/>
  <c r="M23" i="2"/>
  <c r="M442" i="2" s="1"/>
  <c r="N23" i="2"/>
  <c r="N442" i="2" s="1"/>
  <c r="O23" i="2"/>
  <c r="O442" i="2" s="1"/>
  <c r="H23" i="2"/>
  <c r="H442" i="2" l="1"/>
  <c r="F23" i="2"/>
  <c r="F442" i="2"/>
  <c r="F448" i="2"/>
  <c r="G59" i="9" s="1"/>
  <c r="M58" i="9" l="1"/>
  <c r="N58" i="9"/>
  <c r="O58" i="9"/>
  <c r="M59" i="9"/>
  <c r="N59" i="9"/>
  <c r="O59" i="9"/>
  <c r="M55" i="9"/>
  <c r="N55" i="9"/>
  <c r="O55" i="9"/>
  <c r="H59" i="9"/>
  <c r="H58" i="9"/>
  <c r="H56" i="9"/>
  <c r="H55" i="9"/>
  <c r="O56" i="9" l="1"/>
  <c r="N56" i="9"/>
  <c r="M56" i="9"/>
  <c r="H455" i="2" l="1"/>
  <c r="H362" i="2" l="1"/>
  <c r="H272" i="2"/>
  <c r="F272" i="2" s="1"/>
  <c r="M46" i="9" l="1"/>
  <c r="M66" i="9" s="1"/>
  <c r="N46" i="9"/>
  <c r="N66" i="9" s="1"/>
  <c r="O46" i="9"/>
  <c r="O66" i="9" s="1"/>
  <c r="H38" i="9"/>
  <c r="O9" i="9"/>
  <c r="O37" i="9" s="1"/>
  <c r="H34" i="9"/>
  <c r="M6" i="9"/>
  <c r="N6" i="9"/>
  <c r="N34" i="9" s="1"/>
  <c r="O6" i="9"/>
  <c r="O34" i="9" s="1"/>
  <c r="M7" i="9"/>
  <c r="N7" i="9"/>
  <c r="N35" i="9" s="1"/>
  <c r="O7" i="9"/>
  <c r="O35" i="9" s="1"/>
  <c r="M8" i="9"/>
  <c r="N8" i="9"/>
  <c r="N36" i="9" s="1"/>
  <c r="O8" i="9"/>
  <c r="O36" i="9" s="1"/>
  <c r="M9" i="9"/>
  <c r="N9" i="9"/>
  <c r="N37" i="9" s="1"/>
  <c r="M10" i="9"/>
  <c r="N10" i="9"/>
  <c r="N38" i="9" s="1"/>
  <c r="O10" i="9"/>
  <c r="H36" i="9"/>
  <c r="H35" i="9"/>
  <c r="M34" i="9" l="1"/>
  <c r="F6" i="9"/>
  <c r="F34" i="9"/>
  <c r="M35" i="9"/>
  <c r="F35" i="9" s="1"/>
  <c r="F7" i="9"/>
  <c r="M36" i="9"/>
  <c r="F8" i="9"/>
  <c r="M38" i="9"/>
  <c r="F10" i="9"/>
  <c r="M37" i="9"/>
  <c r="F9" i="9"/>
  <c r="O38" i="9"/>
  <c r="N33" i="9"/>
  <c r="O33" i="9"/>
  <c r="M5" i="9"/>
  <c r="N5" i="9"/>
  <c r="O5" i="9"/>
  <c r="M115" i="3"/>
  <c r="O114" i="3"/>
  <c r="N114" i="3"/>
  <c r="M114" i="3"/>
  <c r="H114" i="3"/>
  <c r="O113" i="3"/>
  <c r="N113" i="3"/>
  <c r="M113" i="3"/>
  <c r="H113" i="3"/>
  <c r="E113" i="3"/>
  <c r="O112" i="3"/>
  <c r="N112" i="3"/>
  <c r="M112" i="3"/>
  <c r="H112" i="3"/>
  <c r="E112" i="3"/>
  <c r="O111" i="3"/>
  <c r="N111" i="3"/>
  <c r="H111" i="3"/>
  <c r="E111" i="3"/>
  <c r="M127" i="3"/>
  <c r="O126" i="3"/>
  <c r="N126" i="3"/>
  <c r="M126" i="3"/>
  <c r="H126" i="3"/>
  <c r="O125" i="3"/>
  <c r="N125" i="3"/>
  <c r="M125" i="3"/>
  <c r="H125" i="3"/>
  <c r="E125" i="3"/>
  <c r="O124" i="3"/>
  <c r="N124" i="3"/>
  <c r="M124" i="3"/>
  <c r="H124" i="3"/>
  <c r="E124" i="3"/>
  <c r="O123" i="3"/>
  <c r="N123" i="3"/>
  <c r="H123" i="3"/>
  <c r="E123" i="3"/>
  <c r="M163" i="3"/>
  <c r="F163" i="3" s="1"/>
  <c r="O162" i="3"/>
  <c r="N162" i="3"/>
  <c r="M162" i="3"/>
  <c r="H162" i="3"/>
  <c r="O161" i="3"/>
  <c r="N161" i="3"/>
  <c r="M161" i="3"/>
  <c r="H161" i="3"/>
  <c r="O160" i="3"/>
  <c r="N160" i="3"/>
  <c r="M160" i="3"/>
  <c r="H160" i="3"/>
  <c r="E160" i="3"/>
  <c r="O159" i="3"/>
  <c r="N159" i="3"/>
  <c r="H159" i="3"/>
  <c r="E159" i="3"/>
  <c r="M139" i="3"/>
  <c r="O138" i="3"/>
  <c r="N138" i="3"/>
  <c r="M138" i="3"/>
  <c r="H138" i="3"/>
  <c r="O137" i="3"/>
  <c r="N137" i="3"/>
  <c r="M137" i="3"/>
  <c r="H137" i="3"/>
  <c r="E137" i="3"/>
  <c r="O136" i="3"/>
  <c r="N136" i="3"/>
  <c r="M136" i="3"/>
  <c r="H136" i="3"/>
  <c r="O135" i="3"/>
  <c r="N135" i="3"/>
  <c r="H135" i="3"/>
  <c r="E135" i="3"/>
  <c r="M151" i="3"/>
  <c r="O150" i="3"/>
  <c r="N150" i="3"/>
  <c r="M150" i="3"/>
  <c r="H150" i="3"/>
  <c r="O149" i="3"/>
  <c r="N149" i="3"/>
  <c r="M149" i="3"/>
  <c r="H149" i="3"/>
  <c r="O148" i="3"/>
  <c r="N148" i="3"/>
  <c r="M148" i="3"/>
  <c r="H148" i="3"/>
  <c r="O147" i="3"/>
  <c r="N147" i="3"/>
  <c r="H147" i="3"/>
  <c r="H99" i="3"/>
  <c r="M73" i="3"/>
  <c r="N73" i="3"/>
  <c r="O73" i="3"/>
  <c r="M74" i="3"/>
  <c r="N74" i="3"/>
  <c r="O74" i="3"/>
  <c r="M76" i="3"/>
  <c r="N76" i="3"/>
  <c r="O76" i="3"/>
  <c r="H76" i="3"/>
  <c r="H74" i="3"/>
  <c r="H73" i="3"/>
  <c r="M103" i="3"/>
  <c r="F103" i="3" s="1"/>
  <c r="O102" i="3"/>
  <c r="N102" i="3"/>
  <c r="M102" i="3"/>
  <c r="H102" i="3"/>
  <c r="O101" i="3"/>
  <c r="N101" i="3"/>
  <c r="M101" i="3"/>
  <c r="H101" i="3"/>
  <c r="O100" i="3"/>
  <c r="N100" i="3"/>
  <c r="M100" i="3"/>
  <c r="H100" i="3"/>
  <c r="O99" i="3"/>
  <c r="N99" i="3"/>
  <c r="F102" i="3" l="1"/>
  <c r="F125" i="3"/>
  <c r="F101" i="3"/>
  <c r="F126" i="3"/>
  <c r="F38" i="9"/>
  <c r="M33" i="9"/>
  <c r="F148" i="3"/>
  <c r="F149" i="3"/>
  <c r="F160" i="3"/>
  <c r="F36" i="9"/>
  <c r="F136" i="3"/>
  <c r="F112" i="3"/>
  <c r="F76" i="3"/>
  <c r="F137" i="3"/>
  <c r="F138" i="3"/>
  <c r="F124" i="3"/>
  <c r="F113" i="3"/>
  <c r="F5" i="9"/>
  <c r="F114" i="3"/>
  <c r="M111" i="3"/>
  <c r="F111" i="3" s="1"/>
  <c r="F115" i="3"/>
  <c r="N122" i="3"/>
  <c r="F161" i="3"/>
  <c r="M147" i="3"/>
  <c r="M146" i="3" s="1"/>
  <c r="F151" i="3"/>
  <c r="M135" i="3"/>
  <c r="F135" i="3" s="1"/>
  <c r="F139" i="3"/>
  <c r="M123" i="3"/>
  <c r="F123" i="3" s="1"/>
  <c r="F127" i="3"/>
  <c r="H62" i="3"/>
  <c r="F73" i="3"/>
  <c r="F150" i="3"/>
  <c r="F162" i="3"/>
  <c r="F100" i="3"/>
  <c r="H63" i="3"/>
  <c r="F74" i="3"/>
  <c r="N63" i="3"/>
  <c r="M63" i="3"/>
  <c r="O62" i="3"/>
  <c r="O63" i="3"/>
  <c r="M62" i="3"/>
  <c r="N62" i="3"/>
  <c r="N158" i="3"/>
  <c r="E110" i="3"/>
  <c r="H110" i="3"/>
  <c r="M159" i="3"/>
  <c r="M158" i="3" s="1"/>
  <c r="N110" i="3"/>
  <c r="H122" i="3"/>
  <c r="E122" i="3"/>
  <c r="N134" i="3"/>
  <c r="O110" i="3"/>
  <c r="H158" i="3"/>
  <c r="H37" i="9"/>
  <c r="O122" i="3"/>
  <c r="O158" i="3"/>
  <c r="H134" i="3"/>
  <c r="M72" i="3"/>
  <c r="N146" i="3"/>
  <c r="M99" i="3"/>
  <c r="F99" i="3" s="1"/>
  <c r="N98" i="3"/>
  <c r="O72" i="3"/>
  <c r="N72" i="3"/>
  <c r="O134" i="3"/>
  <c r="H72" i="3"/>
  <c r="O98" i="3"/>
  <c r="O146" i="3"/>
  <c r="H146" i="3"/>
  <c r="H98" i="3"/>
  <c r="M110" i="3" l="1"/>
  <c r="F147" i="3"/>
  <c r="F62" i="3"/>
  <c r="H33" i="9"/>
  <c r="F33" i="9" s="1"/>
  <c r="F37" i="9"/>
  <c r="F146" i="3"/>
  <c r="F110" i="3"/>
  <c r="M134" i="3"/>
  <c r="F134" i="3" s="1"/>
  <c r="F159" i="3"/>
  <c r="F72" i="3"/>
  <c r="H60" i="3"/>
  <c r="F158" i="3"/>
  <c r="M122" i="3"/>
  <c r="F122" i="3" s="1"/>
  <c r="M60" i="3"/>
  <c r="O60" i="3"/>
  <c r="N60" i="3"/>
  <c r="F63" i="3"/>
  <c r="M98" i="3"/>
  <c r="F98" i="3" s="1"/>
  <c r="M19" i="3"/>
  <c r="N19" i="3"/>
  <c r="O19" i="3"/>
  <c r="M20" i="3"/>
  <c r="N20" i="3"/>
  <c r="O20" i="3"/>
  <c r="M21" i="3"/>
  <c r="N21" i="3"/>
  <c r="O21" i="3"/>
  <c r="M23" i="3"/>
  <c r="M175" i="3" s="1"/>
  <c r="N23" i="3"/>
  <c r="N175" i="3" s="1"/>
  <c r="O23" i="3"/>
  <c r="O175" i="3" s="1"/>
  <c r="H23" i="3"/>
  <c r="H21" i="3"/>
  <c r="H20" i="3"/>
  <c r="H19" i="3"/>
  <c r="F60" i="3" l="1"/>
  <c r="H175" i="3"/>
  <c r="F175" i="3" s="1"/>
  <c r="F23" i="3"/>
  <c r="F19" i="3"/>
  <c r="F20" i="3"/>
  <c r="F21" i="3"/>
  <c r="H185" i="3"/>
  <c r="H184" i="3" s="1"/>
  <c r="O185" i="3"/>
  <c r="O184" i="3" s="1"/>
  <c r="M185" i="3"/>
  <c r="M184" i="3" s="1"/>
  <c r="N185" i="3"/>
  <c r="N184" i="3" s="1"/>
  <c r="M27" i="3" l="1"/>
  <c r="M22" i="3" s="1"/>
  <c r="M18" i="3" s="1"/>
  <c r="N27" i="3"/>
  <c r="N22" i="3" s="1"/>
  <c r="N18" i="3" s="1"/>
  <c r="O27" i="3"/>
  <c r="O22" i="3" s="1"/>
  <c r="O18" i="3" s="1"/>
  <c r="H27" i="3"/>
  <c r="M7" i="3"/>
  <c r="N7" i="3"/>
  <c r="O7" i="3"/>
  <c r="M8" i="3"/>
  <c r="N8" i="3"/>
  <c r="O8" i="3"/>
  <c r="M9" i="3"/>
  <c r="N9" i="3"/>
  <c r="O9" i="3"/>
  <c r="M10" i="3"/>
  <c r="N10" i="3"/>
  <c r="O10" i="3"/>
  <c r="H10" i="3"/>
  <c r="H9" i="3"/>
  <c r="H8" i="3"/>
  <c r="H7" i="3"/>
  <c r="F10" i="3" l="1"/>
  <c r="F7" i="3"/>
  <c r="H171" i="3"/>
  <c r="H181" i="3" s="1"/>
  <c r="F8" i="3"/>
  <c r="H22" i="3"/>
  <c r="F27" i="3"/>
  <c r="F9" i="3"/>
  <c r="N171" i="3"/>
  <c r="N181" i="3" s="1"/>
  <c r="N173" i="3"/>
  <c r="N183" i="3" s="1"/>
  <c r="M171" i="3"/>
  <c r="O173" i="3"/>
  <c r="O183" i="3" s="1"/>
  <c r="M173" i="3"/>
  <c r="M183" i="3" s="1"/>
  <c r="O172" i="3"/>
  <c r="O182" i="3" s="1"/>
  <c r="H172" i="3"/>
  <c r="N172" i="3"/>
  <c r="M172" i="3"/>
  <c r="M182" i="3" s="1"/>
  <c r="O171" i="3"/>
  <c r="H173" i="3"/>
  <c r="O174" i="3"/>
  <c r="M174" i="3"/>
  <c r="N174" i="3"/>
  <c r="H174" i="3"/>
  <c r="F171" i="3" l="1"/>
  <c r="F174" i="3"/>
  <c r="F172" i="3"/>
  <c r="H183" i="3"/>
  <c r="F173" i="3"/>
  <c r="H18" i="3"/>
  <c r="F18" i="3" s="1"/>
  <c r="F22" i="3"/>
  <c r="N170" i="3"/>
  <c r="M170" i="3"/>
  <c r="O170" i="3"/>
  <c r="H182" i="3"/>
  <c r="M181" i="3"/>
  <c r="M186" i="3" s="1"/>
  <c r="N182" i="3"/>
  <c r="N186" i="3" s="1"/>
  <c r="O181" i="3"/>
  <c r="O186" i="3" s="1"/>
  <c r="H170" i="3"/>
  <c r="M405" i="2"/>
  <c r="N405" i="2"/>
  <c r="O405" i="2"/>
  <c r="M406" i="2"/>
  <c r="N406" i="2"/>
  <c r="O406" i="2"/>
  <c r="M407" i="2"/>
  <c r="N407" i="2"/>
  <c r="O407" i="2"/>
  <c r="M408" i="2"/>
  <c r="N408" i="2"/>
  <c r="O408" i="2"/>
  <c r="H408" i="2"/>
  <c r="F408" i="2" s="1"/>
  <c r="H407" i="2"/>
  <c r="H405" i="2"/>
  <c r="M393" i="2"/>
  <c r="N393" i="2"/>
  <c r="O393" i="2"/>
  <c r="M394" i="2"/>
  <c r="N394" i="2"/>
  <c r="O394" i="2"/>
  <c r="M395" i="2"/>
  <c r="N395" i="2"/>
  <c r="O395" i="2"/>
  <c r="M396" i="2"/>
  <c r="N396" i="2"/>
  <c r="O396" i="2"/>
  <c r="H396" i="2"/>
  <c r="H395" i="2"/>
  <c r="H394" i="2"/>
  <c r="H393" i="2"/>
  <c r="M360" i="2"/>
  <c r="N360" i="2"/>
  <c r="O360" i="2"/>
  <c r="M361" i="2"/>
  <c r="N361" i="2"/>
  <c r="O361" i="2"/>
  <c r="M362" i="2"/>
  <c r="N362" i="2"/>
  <c r="O362" i="2"/>
  <c r="M363" i="2"/>
  <c r="N363" i="2"/>
  <c r="O363" i="2"/>
  <c r="H363" i="2"/>
  <c r="H361" i="2"/>
  <c r="H360" i="2"/>
  <c r="F385" i="2"/>
  <c r="F386" i="2"/>
  <c r="F387" i="2"/>
  <c r="F388" i="2"/>
  <c r="M336" i="2"/>
  <c r="N336" i="2"/>
  <c r="O336" i="2"/>
  <c r="M337" i="2"/>
  <c r="N337" i="2"/>
  <c r="O337" i="2"/>
  <c r="M338" i="2"/>
  <c r="N338" i="2"/>
  <c r="O338" i="2"/>
  <c r="M339" i="2"/>
  <c r="N339" i="2"/>
  <c r="O339" i="2"/>
  <c r="H339" i="2"/>
  <c r="H338" i="2"/>
  <c r="H337" i="2"/>
  <c r="H336" i="2"/>
  <c r="F343" i="2"/>
  <c r="F340" i="2"/>
  <c r="E338" i="2"/>
  <c r="E335" i="2" s="1"/>
  <c r="H275" i="2"/>
  <c r="F396" i="2" l="1"/>
  <c r="F361" i="2"/>
  <c r="F393" i="2"/>
  <c r="F405" i="2"/>
  <c r="F360" i="2"/>
  <c r="H186" i="3"/>
  <c r="H271" i="2"/>
  <c r="F271" i="2" s="1"/>
  <c r="F275" i="2"/>
  <c r="F394" i="2"/>
  <c r="F406" i="2"/>
  <c r="F395" i="2"/>
  <c r="F407" i="2"/>
  <c r="F363" i="2"/>
  <c r="F362" i="2"/>
  <c r="F170" i="3"/>
  <c r="H359" i="2"/>
  <c r="N404" i="2"/>
  <c r="M404" i="2"/>
  <c r="O404" i="2"/>
  <c r="H404" i="2"/>
  <c r="N392" i="2"/>
  <c r="O392" i="2"/>
  <c r="M392" i="2"/>
  <c r="H392" i="2"/>
  <c r="O359" i="2"/>
  <c r="N359" i="2"/>
  <c r="M359" i="2"/>
  <c r="H335" i="2"/>
  <c r="N335" i="2"/>
  <c r="M335" i="2"/>
  <c r="F336" i="2"/>
  <c r="F339" i="2"/>
  <c r="O335" i="2"/>
  <c r="F335" i="2" l="1"/>
  <c r="F404" i="2"/>
  <c r="F392" i="2"/>
  <c r="F359" i="2"/>
  <c r="M246" i="2"/>
  <c r="N246" i="2"/>
  <c r="O246" i="2"/>
  <c r="M247" i="2"/>
  <c r="F247" i="2" s="1"/>
  <c r="N247" i="2"/>
  <c r="O247" i="2"/>
  <c r="M248" i="2"/>
  <c r="N248" i="2"/>
  <c r="O248" i="2"/>
  <c r="M249" i="2"/>
  <c r="N249" i="2"/>
  <c r="O249" i="2"/>
  <c r="H249" i="2"/>
  <c r="H246" i="2"/>
  <c r="M215" i="2"/>
  <c r="N215" i="2"/>
  <c r="O215" i="2"/>
  <c r="M217" i="2"/>
  <c r="N217" i="2"/>
  <c r="O217" i="2"/>
  <c r="M218" i="2"/>
  <c r="N218" i="2"/>
  <c r="O218" i="2"/>
  <c r="H218" i="2"/>
  <c r="F218" i="2" s="1"/>
  <c r="H215" i="2"/>
  <c r="N203" i="2"/>
  <c r="O203" i="2"/>
  <c r="M204" i="2"/>
  <c r="N204" i="2"/>
  <c r="O204" i="2"/>
  <c r="M205" i="2"/>
  <c r="N205" i="2"/>
  <c r="O205" i="2"/>
  <c r="M206" i="2"/>
  <c r="N206" i="2"/>
  <c r="O206" i="2"/>
  <c r="H206" i="2"/>
  <c r="H205" i="2"/>
  <c r="H204" i="2"/>
  <c r="H437" i="2" s="1"/>
  <c r="H203" i="2"/>
  <c r="E248" i="2"/>
  <c r="E245" i="2" s="1"/>
  <c r="M207" i="2"/>
  <c r="E203" i="2"/>
  <c r="O152" i="2"/>
  <c r="H152" i="2"/>
  <c r="H149" i="2"/>
  <c r="M152" i="2"/>
  <c r="N152" i="2"/>
  <c r="M160" i="2"/>
  <c r="N160" i="2"/>
  <c r="N149" i="2" s="1"/>
  <c r="M17" i="2"/>
  <c r="N17" i="2"/>
  <c r="O17" i="2"/>
  <c r="M20" i="2"/>
  <c r="N20" i="2"/>
  <c r="N439" i="2" s="1"/>
  <c r="N43" i="9" s="1"/>
  <c r="O20" i="2"/>
  <c r="O439" i="2" s="1"/>
  <c r="O43" i="9" s="1"/>
  <c r="M22" i="2"/>
  <c r="M441" i="2" s="1"/>
  <c r="N22" i="2"/>
  <c r="N441" i="2" s="1"/>
  <c r="N45" i="9" s="1"/>
  <c r="O22" i="2"/>
  <c r="O441" i="2" s="1"/>
  <c r="O45" i="9" s="1"/>
  <c r="H439" i="2"/>
  <c r="H17" i="2"/>
  <c r="H436" i="2" l="1"/>
  <c r="F204" i="2"/>
  <c r="F248" i="2"/>
  <c r="M439" i="2"/>
  <c r="M43" i="9" s="1"/>
  <c r="F20" i="2"/>
  <c r="M203" i="2"/>
  <c r="F203" i="2" s="1"/>
  <c r="F207" i="2"/>
  <c r="F205" i="2"/>
  <c r="F217" i="2"/>
  <c r="F246" i="2"/>
  <c r="F17" i="2"/>
  <c r="F160" i="2"/>
  <c r="F152" i="2"/>
  <c r="F206" i="2"/>
  <c r="F215" i="2"/>
  <c r="F249" i="2"/>
  <c r="M45" i="9"/>
  <c r="M44" i="9" s="1"/>
  <c r="N436" i="2"/>
  <c r="O436" i="2"/>
  <c r="O437" i="2"/>
  <c r="O41" i="9" s="1"/>
  <c r="O62" i="9" s="1"/>
  <c r="N437" i="2"/>
  <c r="H202" i="2"/>
  <c r="N40" i="9"/>
  <c r="N61" i="9" s="1"/>
  <c r="H438" i="2"/>
  <c r="O65" i="9"/>
  <c r="O64" i="9" s="1"/>
  <c r="O44" i="9"/>
  <c r="N65" i="9"/>
  <c r="N64" i="9" s="1"/>
  <c r="N44" i="9"/>
  <c r="O40" i="9"/>
  <c r="O61" i="9" s="1"/>
  <c r="H43" i="9"/>
  <c r="F43" i="9" s="1"/>
  <c r="W43" i="9" s="1"/>
  <c r="M202" i="2"/>
  <c r="H245" i="2"/>
  <c r="H214" i="2"/>
  <c r="O214" i="2"/>
  <c r="O148" i="2"/>
  <c r="O202" i="2"/>
  <c r="N214" i="2"/>
  <c r="N202" i="2"/>
  <c r="M214" i="2"/>
  <c r="O245" i="2"/>
  <c r="N245" i="2"/>
  <c r="M245" i="2"/>
  <c r="H148" i="2"/>
  <c r="M85" i="2"/>
  <c r="N85" i="2"/>
  <c r="O85" i="2"/>
  <c r="F83" i="2"/>
  <c r="O84" i="2"/>
  <c r="O19" i="2" s="1"/>
  <c r="N84" i="2"/>
  <c r="N19" i="2" s="1"/>
  <c r="N438" i="2" s="1"/>
  <c r="M84" i="2"/>
  <c r="M77" i="2"/>
  <c r="N77" i="2"/>
  <c r="O77" i="2"/>
  <c r="H77" i="2"/>
  <c r="E74" i="2"/>
  <c r="F77" i="2" l="1"/>
  <c r="M65" i="9"/>
  <c r="M64" i="9" s="1"/>
  <c r="F214" i="2"/>
  <c r="F245" i="2"/>
  <c r="F202" i="2"/>
  <c r="F439" i="2"/>
  <c r="H42" i="9"/>
  <c r="H41" i="9"/>
  <c r="O438" i="2"/>
  <c r="F85" i="2"/>
  <c r="F84" i="2"/>
  <c r="M19" i="2"/>
  <c r="F19" i="2" s="1"/>
  <c r="M107" i="2"/>
  <c r="M21" i="2" s="1"/>
  <c r="M440" i="2" s="1"/>
  <c r="N107" i="2"/>
  <c r="N21" i="2" s="1"/>
  <c r="O107" i="2"/>
  <c r="O21" i="2" s="1"/>
  <c r="H107" i="2"/>
  <c r="H21" i="2" l="1"/>
  <c r="H16" i="2" s="1"/>
  <c r="F107" i="2"/>
  <c r="O42" i="9"/>
  <c r="O63" i="9" s="1"/>
  <c r="H63" i="9"/>
  <c r="H62" i="9"/>
  <c r="N16" i="2"/>
  <c r="N440" i="2"/>
  <c r="O16" i="2"/>
  <c r="O440" i="2"/>
  <c r="M16" i="2"/>
  <c r="F16" i="2" l="1"/>
  <c r="H440" i="2"/>
  <c r="F440" i="2" s="1"/>
  <c r="F21" i="2"/>
  <c r="O39" i="9"/>
  <c r="O435" i="2"/>
  <c r="O423" i="2" s="1"/>
  <c r="H180" i="3" l="1"/>
  <c r="H449" i="2"/>
  <c r="H446" i="2" l="1"/>
  <c r="E38" i="9" l="1"/>
  <c r="E274" i="2" l="1"/>
  <c r="E205" i="2" s="1"/>
  <c r="E273" i="2"/>
  <c r="E271" i="2" l="1"/>
  <c r="E35" i="9" l="1"/>
  <c r="M151" i="2" l="1"/>
  <c r="M438" i="2" l="1"/>
  <c r="M42" i="9" s="1"/>
  <c r="F151" i="2"/>
  <c r="N42" i="9"/>
  <c r="N63" i="9" s="1"/>
  <c r="N41" i="9"/>
  <c r="M437" i="2"/>
  <c r="N148" i="2"/>
  <c r="F437" i="2" l="1"/>
  <c r="F426" i="2"/>
  <c r="F438" i="2"/>
  <c r="F427" i="2"/>
  <c r="F42" i="9"/>
  <c r="W42" i="9" s="1"/>
  <c r="N435" i="2"/>
  <c r="N423" i="2" s="1"/>
  <c r="N39" i="9"/>
  <c r="N62" i="9"/>
  <c r="M63" i="9"/>
  <c r="M41" i="9"/>
  <c r="M62" i="9" l="1"/>
  <c r="F41" i="9"/>
  <c r="W41" i="9" s="1"/>
  <c r="E151" i="2"/>
  <c r="E150" i="2"/>
  <c r="E149" i="2" l="1"/>
  <c r="E439" i="2" l="1"/>
  <c r="E75" i="3" l="1"/>
  <c r="E21" i="3"/>
  <c r="E148" i="2" l="1"/>
  <c r="M153" i="2"/>
  <c r="E18" i="2"/>
  <c r="E17" i="2"/>
  <c r="M149" i="2" l="1"/>
  <c r="F153" i="2"/>
  <c r="M436" i="2"/>
  <c r="M40" i="9" s="1"/>
  <c r="F149" i="2"/>
  <c r="M148" i="2"/>
  <c r="F148" i="2" s="1"/>
  <c r="M435" i="2" l="1"/>
  <c r="F424" i="2"/>
  <c r="F436" i="2"/>
  <c r="F425" i="2"/>
  <c r="M39" i="9"/>
  <c r="M61" i="9"/>
  <c r="E20" i="2"/>
  <c r="M423" i="2" l="1"/>
  <c r="F423" i="2" s="1"/>
  <c r="E149" i="3"/>
  <c r="E74" i="3"/>
  <c r="E72" i="3" s="1"/>
  <c r="E99" i="3"/>
  <c r="E361" i="2"/>
  <c r="E360" i="2"/>
  <c r="E171" i="3" l="1"/>
  <c r="E181" i="3" s="1"/>
  <c r="F178" i="3" l="1"/>
  <c r="E59" i="9" l="1"/>
  <c r="E58" i="9"/>
  <c r="M180" i="3"/>
  <c r="N180" i="3"/>
  <c r="O180" i="3"/>
  <c r="E180" i="3"/>
  <c r="O449" i="2"/>
  <c r="N449" i="2"/>
  <c r="M449" i="2"/>
  <c r="E449" i="2"/>
  <c r="F447" i="2"/>
  <c r="G58" i="9" s="1"/>
  <c r="G60" i="9" s="1"/>
  <c r="E445" i="2"/>
  <c r="E55" i="9" s="1"/>
  <c r="E444" i="2"/>
  <c r="F449" i="2" l="1"/>
  <c r="H60" i="9"/>
  <c r="F58" i="9"/>
  <c r="F59" i="9"/>
  <c r="N57" i="9"/>
  <c r="F180" i="3"/>
  <c r="F179" i="3"/>
  <c r="O446" i="2"/>
  <c r="E446" i="2"/>
  <c r="F444" i="2"/>
  <c r="G55" i="9" s="1"/>
  <c r="G62" i="9" s="1"/>
  <c r="F445" i="2"/>
  <c r="E56" i="9"/>
  <c r="E57" i="9" s="1"/>
  <c r="N446" i="2"/>
  <c r="O57" i="9"/>
  <c r="M446" i="2"/>
  <c r="E60" i="9"/>
  <c r="O60" i="9"/>
  <c r="N60" i="9"/>
  <c r="M60" i="9"/>
  <c r="M57" i="9"/>
  <c r="G56" i="9" l="1"/>
  <c r="G63" i="9"/>
  <c r="G57" i="9"/>
  <c r="M70" i="9"/>
  <c r="N70" i="9"/>
  <c r="O70" i="9"/>
  <c r="F56" i="9"/>
  <c r="F55" i="9"/>
  <c r="H57" i="9"/>
  <c r="F60" i="9"/>
  <c r="F446" i="2"/>
  <c r="F57" i="9" l="1"/>
  <c r="E105" i="2" l="1"/>
  <c r="E19" i="2" s="1"/>
  <c r="E217" i="2" l="1"/>
  <c r="H22" i="2"/>
  <c r="E23" i="2"/>
  <c r="E22" i="2"/>
  <c r="Q38" i="9"/>
  <c r="H441" i="2" l="1"/>
  <c r="F441" i="2" s="1"/>
  <c r="F22" i="2"/>
  <c r="G65" i="9"/>
  <c r="H46" i="9"/>
  <c r="F46" i="9" s="1"/>
  <c r="W46" i="9" s="1"/>
  <c r="E214" i="2"/>
  <c r="E204" i="2"/>
  <c r="E202" i="2" s="1"/>
  <c r="E43" i="9"/>
  <c r="H45" i="9" l="1"/>
  <c r="F45" i="9" s="1"/>
  <c r="W45" i="9" s="1"/>
  <c r="H454" i="2"/>
  <c r="G66" i="9"/>
  <c r="G64" i="9" s="1"/>
  <c r="H453" i="2"/>
  <c r="H66" i="9"/>
  <c r="Q40" i="9"/>
  <c r="H65" i="9" l="1"/>
  <c r="H44" i="9"/>
  <c r="F44" i="9" s="1"/>
  <c r="W44" i="9" s="1"/>
  <c r="H64" i="9"/>
  <c r="F64" i="9" s="1"/>
  <c r="E23" i="3"/>
  <c r="E175" i="3" s="1"/>
  <c r="N455" i="2"/>
  <c r="E394" i="2"/>
  <c r="E395" i="2"/>
  <c r="E362" i="2"/>
  <c r="E436" i="2"/>
  <c r="E406" i="2" s="1"/>
  <c r="M455" i="2"/>
  <c r="O455" i="2"/>
  <c r="E16" i="2"/>
  <c r="F455" i="2" l="1"/>
  <c r="E185" i="3"/>
  <c r="E148" i="3"/>
  <c r="F184" i="3"/>
  <c r="O454" i="2"/>
  <c r="O453" i="2" s="1"/>
  <c r="N454" i="2"/>
  <c r="N453" i="2" s="1"/>
  <c r="M454" i="2"/>
  <c r="F181" i="3"/>
  <c r="O450" i="2"/>
  <c r="N450" i="2"/>
  <c r="E450" i="2"/>
  <c r="M450" i="2"/>
  <c r="E438" i="2"/>
  <c r="E452" i="2" s="1"/>
  <c r="E359" i="2"/>
  <c r="E18" i="3"/>
  <c r="F454" i="2" l="1"/>
  <c r="M453" i="2"/>
  <c r="F453" i="2" s="1"/>
  <c r="F185" i="3"/>
  <c r="E8" i="9" l="1"/>
  <c r="E5" i="9" s="1"/>
  <c r="E36" i="9" l="1"/>
  <c r="E33" i="9" s="1"/>
  <c r="S28" i="9" l="1"/>
  <c r="Q20" i="9"/>
  <c r="S20" i="9" s="1"/>
  <c r="Q13" i="9"/>
  <c r="S13" i="9" s="1"/>
  <c r="T171" i="3"/>
  <c r="E40" i="9" l="1"/>
  <c r="E61" i="9" s="1"/>
  <c r="E172" i="3"/>
  <c r="E9" i="3"/>
  <c r="E173" i="3" s="1"/>
  <c r="E392" i="2"/>
  <c r="E147" i="3" l="1"/>
  <c r="E146" i="3" s="1"/>
  <c r="E136" i="3"/>
  <c r="E134" i="3" s="1"/>
  <c r="E182" i="3"/>
  <c r="E161" i="3" s="1"/>
  <c r="E158" i="3" s="1"/>
  <c r="E101" i="3"/>
  <c r="H452" i="2"/>
  <c r="H451" i="2"/>
  <c r="N452" i="2"/>
  <c r="M452" i="2"/>
  <c r="M451" i="2"/>
  <c r="O451" i="2"/>
  <c r="N451" i="2"/>
  <c r="E170" i="3"/>
  <c r="E100" i="3" s="1"/>
  <c r="E183" i="3"/>
  <c r="E186" i="3" s="1"/>
  <c r="Q42" i="9"/>
  <c r="N456" i="2" l="1"/>
  <c r="M456" i="2"/>
  <c r="F451" i="2"/>
  <c r="E98" i="3"/>
  <c r="O452" i="2"/>
  <c r="O456" i="2" s="1"/>
  <c r="F182" i="3"/>
  <c r="F452" i="2" l="1"/>
  <c r="E437" i="2"/>
  <c r="E451" i="2" l="1"/>
  <c r="E407" i="2"/>
  <c r="Q41" i="9"/>
  <c r="E6" i="3" l="1"/>
  <c r="N6" i="3" l="1"/>
  <c r="O6" i="3"/>
  <c r="M6" i="3"/>
  <c r="H6" i="3"/>
  <c r="F6" i="3" s="1"/>
  <c r="F183" i="3" l="1"/>
  <c r="F186" i="3" l="1"/>
  <c r="E42" i="9"/>
  <c r="E62" i="9" s="1"/>
  <c r="N67" i="9" l="1"/>
  <c r="O67" i="9"/>
  <c r="F65" i="9"/>
  <c r="F66" i="9"/>
  <c r="M67" i="9" l="1"/>
  <c r="F62" i="9"/>
  <c r="E41" i="9"/>
  <c r="E63" i="9" s="1"/>
  <c r="E442" i="2"/>
  <c r="E455" i="2" s="1"/>
  <c r="E425" i="2" s="1"/>
  <c r="F63" i="9" l="1"/>
  <c r="E441" i="2"/>
  <c r="E435" i="2" l="1"/>
  <c r="E405" i="2" s="1"/>
  <c r="E404" i="2" s="1"/>
  <c r="E454" i="2"/>
  <c r="E424" i="2" s="1"/>
  <c r="E46" i="9" l="1"/>
  <c r="E66" i="9" s="1"/>
  <c r="E45" i="9" l="1"/>
  <c r="E39" i="9" l="1"/>
  <c r="E65" i="9"/>
  <c r="E67" i="9" s="1"/>
  <c r="T175" i="3"/>
  <c r="T172" i="3"/>
  <c r="T173" i="3" l="1"/>
  <c r="E456" i="2" l="1"/>
  <c r="E426" i="2" s="1"/>
  <c r="E423" i="2" s="1"/>
  <c r="H40" i="9" l="1"/>
  <c r="F40" i="9" s="1"/>
  <c r="W40" i="9" s="1"/>
  <c r="H435" i="2"/>
  <c r="H450" i="2"/>
  <c r="F435" i="2" l="1"/>
  <c r="Q45" i="9" s="1"/>
  <c r="Q46" i="9"/>
  <c r="F450" i="2"/>
  <c r="H456" i="2"/>
  <c r="F456" i="2" s="1"/>
  <c r="H39" i="9"/>
  <c r="F39" i="9" s="1"/>
  <c r="W39" i="9" s="1"/>
  <c r="H61" i="9"/>
  <c r="H70" i="9" s="1"/>
  <c r="G61" i="9" l="1"/>
  <c r="F61" i="9"/>
  <c r="F70" i="9" s="1"/>
  <c r="H67" i="9"/>
  <c r="F67" i="9" s="1"/>
  <c r="G70" i="9" l="1"/>
  <c r="G6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Губернская Екатерина Геннадьевна</author>
  </authors>
  <commentList>
    <comment ref="G2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indexed="81"/>
            <rFont val="Tahoma"/>
            <family val="2"/>
            <charset val="204"/>
          </rPr>
          <t xml:space="preserve">
хэс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Губернская Екатерина Геннадьевна</author>
  </authors>
  <commentList>
    <comment ref="G26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<sst xmlns="http://schemas.openxmlformats.org/spreadsheetml/2006/main" count="1934" uniqueCount="307">
  <si>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</si>
  <si>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</si>
  <si>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</si>
  <si>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</si>
  <si>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</si>
  <si>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</si>
  <si>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</si>
  <si>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</si>
  <si>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Ответственный за выполнение мероприятия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</si>
  <si>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</si>
  <si>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</si>
  <si>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</si>
  <si>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</si>
  <si>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</si>
  <si>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</si>
  <si>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</si>
  <si>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</si>
  <si>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</si>
  <si>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</si>
  <si>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</si>
  <si>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</si>
  <si>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</si>
  <si>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</si>
  <si>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</si>
  <si>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</si>
  <si>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</si>
  <si>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</si>
  <si>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</si>
  <si>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</si>
  <si>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</si>
  <si>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</si>
  <si>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</si>
  <si>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</si>
  <si>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</si>
  <si>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</si>
  <si>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</si>
  <si>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</si>
  <si>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</si>
  <si>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</si>
  <si>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</si>
  <si>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</si>
  <si>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</si>
  <si>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</si>
  <si>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</si>
  <si>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</si>
  <si>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</si>
  <si>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</si>
  <si>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</si>
  <si>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</si>
  <si>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</si>
  <si>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</si>
  <si>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</si>
  <si>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</si>
  <si>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</si>
  <si>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</si>
  <si>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</si>
  <si>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</si>
  <si>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</si>
  <si>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</si>
  <si>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6.2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</si>
  <si>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</si>
  <si>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</si>
  <si>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</si>
  <si>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</si>
  <si>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</si>
  <si>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</si>
  <si>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</si>
  <si>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</si>
  <si>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</si>
  <si>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</si>
  <si>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</si>
  <si>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</si>
  <si>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</si>
  <si>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</si>
  <si>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</si>
  <si>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</si>
  <si>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</si>
  <si>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</si>
  <si>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</si>
  <si>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Основное мероприятие Е2. Федеральный проект "Успех каждого ребенка"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</si>
  <si>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</si>
  <si>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</si>
  <si>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</si>
  <si>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</si>
  <si>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</si>
  <si>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</si>
  <si>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</si>
  <si>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</si>
  <si>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</si>
  <si>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</si>
  <si>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</si>
  <si>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</si>
  <si>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</si>
  <si>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</si>
  <si>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</si>
  <si>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</si>
  <si>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</si>
  <si>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</si>
  <si>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</si>
  <si>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03. "Повышение степени пожарной безопасности"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</si>
  <si>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</si>
  <si>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</si>
  <si>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</si>
  <si>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</si>
  <si>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</si>
  <si>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</si>
  <si>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</si>
  <si>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08.06
Обеспечение повышения квалификации/профессиональной переподготовки учителей, осуществляющих учебный процесс в объектах капитального ремонта, сверх минимальных требований, установленных законодательством, и (или) обучения управленческих команд, состоящих из представителей администраций и педагогических работников объектов капитального ремонта</t>
  </si>
  <si>
    <t>Мероприятие 08.07. 
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</si>
  <si>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</si>
  <si>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</si>
  <si>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Мероприятие Е2.01.
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</si>
  <si>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</si>
  <si>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</si>
  <si>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</si>
  <si>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Р2.02. 
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</si>
  <si>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</si>
  <si>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</si>
  <si>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Основное мероприятие 05. "Повышение степени пожарной безопасности"</t>
  </si>
  <si>
    <t>Мероприятие Е2.02.
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</si>
  <si>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</si>
  <si>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</si>
  <si>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 xml:space="preserve">Основное мероприятие 50. Мероприятия по повышению финансовой грамотности </t>
  </si>
  <si>
    <t>Мероприятие 50.01.
Участие обучающихся общеобразовательных организаций во Всероссийских, межрегиональных, муниципальных мероприятиях по финансовой грамотности, в том числе в формате онлайн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</si>
  <si>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</si>
  <si>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</si>
  <si>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</si>
  <si>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</si>
  <si>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11.1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</si>
  <si>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</si>
  <si>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</si>
  <si>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</si>
  <si>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</si>
  <si>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</si>
  <si>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</si>
  <si>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</si>
  <si>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</si>
  <si>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</si>
  <si>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</si>
  <si>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</si>
  <si>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</si>
  <si>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</si>
  <si>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</si>
  <si>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</si>
  <si>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</si>
  <si>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</si>
  <si>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</si>
  <si>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01.18.                                                                                         Укрепление материально-технической базы и проведение текущего ремонта учреждений дошкольного образования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</si>
  <si>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</si>
  <si>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01.20.                                                                                        Мероприятия в сфере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</si>
  <si>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</si>
  <si>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03.01.                                                                                        Выполнение работ по обеспечению пожарной безопасности в муниципальных образовательных организациях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</si>
  <si>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</si>
  <si>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</si>
  <si>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Мероприятие Е1.04.                                                                                           Проведение капитального ремонта в муниципальных общеобразовательных организациях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</si>
  <si>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</si>
  <si>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</si>
  <si>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</si>
  <si>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02.05.     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</si>
  <si>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02.04.                                                                                           Мероприятия в сфере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</si>
  <si>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</si>
  <si>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>Мероприятие 02.02.                                                                                           Укрепление материально-технической базы и проведение текущего ремонта учреждений дополнительного образования</t>
  </si>
  <si>
    <t>Мероприятие 05.01.                                                                                          Выполнение работ по обеспечению пожарной безопасности в муниципальных организациях дополнительного образования</t>
  </si>
  <si>
    <t>Мероприятие Е4.01.                                                                                                 Создание центров цифрового образования детей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</si>
  <si>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</si>
  <si>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</si>
  <si>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</si>
  <si>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</si>
  <si>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01.01.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</si>
  <si>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</si>
  <si>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</si>
  <si>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</si>
  <si>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</si>
  <si>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</si>
  <si>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</si>
  <si>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</si>
  <si>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образования,шт. 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</si>
  <si>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</si>
  <si>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</si>
  <si>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Организовано питание обучающихся и воспитанников общеобразовательных организаций, %</t>
  </si>
  <si>
    <t>Количество проведенных мероприятий в сфере образования, шт.</t>
  </si>
  <si>
    <t>Оснащены и лицензированы медицинские кабинеты образовательных организаций, шт.</t>
  </si>
  <si>
    <t>Обеспечено финансирование муниципальных организаций - дошкольные образовательные организации, шт.</t>
  </si>
  <si>
    <t>В муниципальных учреждениях дошкольного образования улучшена материально-техническая база, проведен текущий ремонт, шт.</t>
  </si>
  <si>
    <t xml:space="preserve">Обеспечение  дошкольных образовательных учреждений  услугой по охране объектов и имущества, % </t>
  </si>
  <si>
    <t>Количество проведенных мероприятий в сфере дошкольного образования, шт.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</si>
  <si>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</si>
  <si>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</si>
  <si>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</si>
  <si>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</si>
  <si>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</si>
  <si>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Проведены работы  в муниципальных общеобразовательных организациях для обеспечения пожарной безопасности, шт.</t>
  </si>
  <si>
    <t>Проведен капитальный ремонт дошкольных образовательных организаций, шт.</t>
  </si>
  <si>
    <t xml:space="preserve">Приобретены (выкуплены) нежилые помещения и земельный участок под размещение дошкольных групп для детей в возрасте от 2 месяцев до 7 лет за счет средств местного бюджета, шт. 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</si>
  <si>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</si>
  <si>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</si>
  <si>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</si>
  <si>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</si>
  <si>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Обеспечено повышение квалификации/профессиональная переподготовка учителей, осуществляющих учебный процесс в объектах капитального ремонта, человек </t>
  </si>
  <si>
    <t>Проведено обновление учебников и учебных пособий, не позволяющих их дальнейшее использование в образовательном процессе по причинам ветхости и дефектности, в объектах капитального ремонта,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</si>
  <si>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</si>
  <si>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</si>
  <si>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</si>
  <si>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</si>
  <si>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</si>
  <si>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 xml:space="preserve">Проведен капитальный ремонт в муниципальных общеобразовательных организациях, шт. </t>
  </si>
  <si>
    <t xml:space="preserve">Обновлена материально-техническая база для занятий детей физической культурой и спортом в общеобразовательных организациях, расположенных в сельской местности и малых городах, шт. 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</si>
  <si>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</si>
  <si>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Созданы дополнительные места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детьми, место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</si>
  <si>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</si>
  <si>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</si>
  <si>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В муниципальных образовательных организациях дополнительного образования улучшена материально-техническая база, шт.</t>
  </si>
  <si>
    <t>Обеспечение  дополнительного образования  услугой по охране объектов и имущества, %</t>
  </si>
  <si>
    <t>Количество проведенных мероприятий в сфере дополнительного образования, шт.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</si>
  <si>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</si>
  <si>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Проведено методическое и информационное сопровождение участников системы персонифицированного финансирования дополнительного образования детей, ед.</t>
  </si>
  <si>
    <t>Созданы детские технопарки «Кванториум», шт.</t>
  </si>
  <si>
    <t xml:space="preserve">Созданы центры цифрового образования детей "IT-куб", шт. </t>
  </si>
  <si>
    <t>Обеспечение 100% эффективной деятельности аппарата управления,%</t>
  </si>
  <si>
    <t xml:space="preserve">Количество проведенных мероприятий в сфере образования, штук </t>
  </si>
  <si>
    <t>Общеобразовательные организации приняли участие в мероприятиях по финансовой грамотности, шт.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</si>
  <si>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</si>
  <si>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</si>
  <si>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</si>
  <si>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</si>
  <si>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</si>
  <si>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</si>
  <si>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 xml:space="preserve">Количество учреждений образования,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</si>
  <si>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</si>
  <si>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</si>
  <si>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</si>
  <si>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</si>
  <si>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</si>
  <si>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</si>
  <si>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7.2</t>
  </si>
  <si>
    <t>7.3</t>
  </si>
  <si>
    <t>7.4</t>
  </si>
  <si>
    <t>7.5</t>
  </si>
  <si>
    <t>7.6</t>
  </si>
  <si>
    <t>7.7</t>
  </si>
  <si>
    <t>7.8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</si>
  <si>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</si>
  <si>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</si>
  <si>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</si>
  <si>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</si>
  <si>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</si>
  <si>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</si>
  <si>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</si>
  <si>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Количество детей отдельных категорий граждан, реализовавших право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организациях, оплата по которым осуществлена за счет средств муниципального образования Московской области, человек</t>
  </si>
  <si>
    <t>4.2</t>
  </si>
  <si>
    <t>Мероприятие 01.02.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</si>
  <si>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 xml:space="preserve"> </t>
  </si>
  <si>
    <t>МКУ ХЭС</t>
  </si>
  <si>
    <t>6.3</t>
  </si>
  <si>
    <t>2024-2027 годы</t>
  </si>
  <si>
    <t>Мероприятие 07.02. 
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</si>
  <si>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</si>
  <si>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Мероприятие 07.03. 
Приобретение (выкуп) нежилых помещений и земельного участка под размещение дошкольных групп для детей в возрасте от 2 месяцев до 7 лет за счет средств местного бюджета</t>
  </si>
  <si>
    <t xml:space="preserve">Мероприятие 01.11.                                                                                          Выплата пособия педагогическим работникам муницпальных дошкольных и общеобразовательных организаций - молодым специалистам                                                                                                      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</si>
  <si>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</si>
  <si>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</si>
  <si>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</si>
  <si>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педагогических работников муниципальных дошкольных и общеобразовательных организаций - молодых специалистов, получивших пособие, в общем числе обратившихся за пособием, %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</si>
  <si>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</si>
  <si>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</si>
  <si>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ед.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</si>
  <si>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</si>
  <si>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Мероприятие 04.01.                                                                                                        Проведение капитального ремонта в муниципальных образовательных организациях дополнительного образования</t>
  </si>
  <si>
    <t>Проведен капитальный ремонт в муниципальных образовательных организациях дополнительного образования, шт.</t>
  </si>
  <si>
    <t>Мероприятие 04.03.                                                                                            Методическое и информационное сопровождение участников системы персонифицированного финансирования дополнительного образования детей</t>
  </si>
  <si>
    <t>Основное мероприятие Е2. Федеральный проект "Успех каждого ребенка" национального проекта "Образование"</t>
  </si>
  <si>
    <t>Созданы новые места в образовательных организациях различных типов для реализации дополнительных общеразвивающих программ всех направленностей (нарастающим итогом), шт.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</si>
  <si>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</si>
  <si>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</si>
  <si>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10.4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</si>
  <si>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</si>
  <si>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>Основное мероприятие Е1. Федеральный проект "Современная школа" национального проекта "Образование"</t>
  </si>
  <si>
    <t>Основное мероприятие Р2. Федеральный проект "Содействие занятости" национального проекта "Демография"</t>
  </si>
  <si>
    <t>Проведены работы в муниципальных организациях дополнительного образования для обеспечения пожарной безопасности, шт.</t>
  </si>
  <si>
    <t>Основное мероприятие Е4. Федеральный проект "Цифровая образовательная среда" национального проекта "Образование"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</si>
  <si>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</si>
  <si>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01.23.                                                                            Профессиональная физическая охрана муниципальных учреждений в сфере общеобразовательных организаций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</si>
  <si>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</si>
  <si>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 xml:space="preserve">Мероприятие 01.08.                                                                                         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</si>
  <si>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 xml:space="preserve">Мероприятие 01.24.                                                                                         Организация питания обучающихся и воспитанников общеобразовательных организаций </t>
  </si>
  <si>
    <t>Мероприятие 01.25.                                                                                         Мероприятия в сфере образования</t>
  </si>
  <si>
    <t>Мероприятие 01.26.                                                                                           Оснащение и лицензирование медицинских кабинетов образовательных организаций</t>
  </si>
  <si>
    <t>2023</t>
  </si>
  <si>
    <t>2024</t>
  </si>
  <si>
    <t>10.2</t>
  </si>
  <si>
    <t>10.3</t>
  </si>
  <si>
    <t>12</t>
  </si>
  <si>
    <t>12.1</t>
  </si>
  <si>
    <t>12.2</t>
  </si>
  <si>
    <t>2.7</t>
  </si>
  <si>
    <t>4.3</t>
  </si>
  <si>
    <t>от «___» __________ 2024 № ______</t>
  </si>
  <si>
    <t>_______________</t>
  </si>
  <si>
    <t>13</t>
  </si>
  <si>
    <t>Мероприятие Y4.01. 
Оснащение муниципальных образовательных организаций, реализующих основные общеобразовательные программы, за исключением образовательных программ дошкольного образования, и дополнительные образовательные программы, оборудованием для реализации образовательных процессов в сфере разработки, производства и эксплуатации беспилотных авиационных систем</t>
  </si>
  <si>
    <t>Основное мероприятие Y4. Федеральный проект "Стимулирование спроса на отечественные беспилотные авиационные системы"</t>
  </si>
  <si>
    <t>13.1</t>
  </si>
  <si>
    <t>Оснащены муниципальные образовательные организации, реализующие основные общеобразовательные программы, за исключением образовательных программ дошкольного образования, и дополнительные образовательные программы, оборудованием для реализации образовательных процессов в сфере разработки, производства и эксплуатации беспилотных авиационных систем, шт.</t>
  </si>
  <si>
    <t>Основное мероприятие 03. "Обеспечение развития инновационной инфраструктуры общего образования"</t>
  </si>
  <si>
    <t xml:space="preserve">Приложение </t>
  </si>
  <si>
    <t xml:space="preserve">И.о.начальника Управления образования                                                                   </t>
  </si>
  <si>
    <t>О.В. Новожилова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</si>
</sst>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401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0" fontId="16" fillId="3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horizontal="center" vertical="top" wrapText="1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0" fontId="9" fillId="0" borderId="0" xfId="1" applyFont="1" applyBorder="1" applyAlignment="1">
      <alignment vertical="center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165" fontId="16" fillId="3" borderId="0" xfId="5" applyNumberFormat="1" applyFont="1" applyFill="1" applyBorder="1" applyAlignment="1" applyProtection="1">
      <alignment vertical="top"/>
    </xf>
    <xf numFmtId="165" fontId="9" fillId="3" borderId="0" xfId="5" applyNumberFormat="1" applyFont="1" applyFill="1" applyBorder="1" applyAlignment="1" applyProtection="1">
      <alignment horizontal="center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0" fontId="9" fillId="3" borderId="0" xfId="5" applyNumberFormat="1" applyFont="1" applyFill="1" applyBorder="1" applyAlignment="1" applyProtection="1">
      <alignment horizontal="center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9" fillId="0" borderId="0" xfId="0" applyFont="1" applyFill="1" applyBorder="1"/>
    <xf numFmtId="167" fontId="29" fillId="0" borderId="0" xfId="0" applyNumberFormat="1" applyFont="1" applyFill="1"/>
    <xf numFmtId="0" fontId="29" fillId="0" borderId="0" xfId="0" applyFont="1" applyFill="1"/>
    <xf numFmtId="0" fontId="29" fillId="3" borderId="0" xfId="0" applyFont="1" applyFill="1" applyBorder="1"/>
    <xf numFmtId="0" fontId="29" fillId="3" borderId="0" xfId="0" applyFont="1" applyFill="1"/>
    <xf numFmtId="4" fontId="29" fillId="3" borderId="0" xfId="0" applyNumberFormat="1" applyFont="1" applyFill="1"/>
    <xf numFmtId="17" fontId="6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49" fontId="8" fillId="6" borderId="2" xfId="2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167" fontId="8" fillId="5" borderId="0" xfId="5" applyNumberFormat="1" applyFont="1" applyFill="1" applyBorder="1" applyAlignment="1" applyProtection="1">
      <alignment horizontal="center" vertical="center"/>
    </xf>
    <xf numFmtId="167" fontId="16" fillId="5" borderId="0" xfId="5" applyNumberFormat="1" applyFont="1" applyFill="1" applyBorder="1" applyAlignment="1" applyProtection="1">
      <alignment vertical="top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0" xfId="5" applyNumberFormat="1" applyFont="1" applyFill="1" applyBorder="1" applyAlignment="1" applyProtection="1">
      <alignment horizontal="center" vertical="top"/>
    </xf>
    <xf numFmtId="0" fontId="9" fillId="5" borderId="0" xfId="5" applyNumberFormat="1" applyFont="1" applyFill="1" applyBorder="1" applyAlignment="1" applyProtection="1">
      <alignment horizontal="center" vertical="top" wrapText="1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3" fontId="32" fillId="0" borderId="2" xfId="1" applyNumberFormat="1" applyFont="1" applyFill="1" applyBorder="1" applyAlignment="1" applyProtection="1">
      <alignment horizontal="center" vertical="center" wrapText="1"/>
    </xf>
    <xf numFmtId="3" fontId="33" fillId="0" borderId="2" xfId="1" applyNumberFormat="1" applyFont="1" applyFill="1" applyBorder="1" applyAlignment="1">
      <alignment horizontal="center" vertical="center"/>
    </xf>
    <xf numFmtId="0" fontId="34" fillId="6" borderId="2" xfId="1" applyFont="1" applyFill="1" applyBorder="1" applyAlignment="1">
      <alignment horizontal="center" vertical="center"/>
    </xf>
    <xf numFmtId="167" fontId="34" fillId="6" borderId="2" xfId="1" applyNumberFormat="1" applyFont="1" applyFill="1" applyBorder="1" applyAlignment="1">
      <alignment horizontal="center" vertical="center"/>
    </xf>
    <xf numFmtId="167" fontId="34" fillId="5" borderId="2" xfId="4" applyNumberFormat="1" applyFont="1" applyFill="1" applyBorder="1" applyAlignment="1" applyProtection="1">
      <alignment horizontal="center" vertical="center"/>
    </xf>
    <xf numFmtId="0" fontId="34" fillId="6" borderId="2" xfId="1" applyFont="1" applyFill="1" applyBorder="1" applyAlignment="1">
      <alignment horizontal="center" vertical="center" wrapText="1"/>
    </xf>
    <xf numFmtId="167" fontId="33" fillId="6" borderId="2" xfId="1" applyNumberFormat="1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167" fontId="33" fillId="0" borderId="2" xfId="1" applyNumberFormat="1" applyFont="1" applyFill="1" applyBorder="1" applyAlignment="1">
      <alignment horizontal="center" vertical="center" wrapText="1"/>
    </xf>
    <xf numFmtId="2" fontId="34" fillId="0" borderId="2" xfId="1" applyNumberFormat="1" applyFont="1" applyFill="1" applyBorder="1" applyAlignment="1" applyProtection="1">
      <alignment horizontal="center" vertical="center" wrapText="1"/>
    </xf>
    <xf numFmtId="167" fontId="34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 applyProtection="1">
      <alignment horizontal="center" vertical="center" wrapText="1"/>
    </xf>
    <xf numFmtId="49" fontId="33" fillId="0" borderId="2" xfId="1" applyNumberFormat="1" applyFont="1" applyFill="1" applyBorder="1" applyAlignment="1" applyProtection="1">
      <alignment horizontal="center" vertical="center" wrapText="1"/>
    </xf>
    <xf numFmtId="3" fontId="33" fillId="5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2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167" fontId="32" fillId="0" borderId="2" xfId="3" applyNumberFormat="1" applyFont="1" applyFill="1" applyBorder="1" applyAlignment="1" applyProtection="1">
      <alignment horizontal="center" vertical="center" wrapText="1"/>
    </xf>
    <xf numFmtId="3" fontId="32" fillId="0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left" vertical="top" wrapText="1"/>
    </xf>
    <xf numFmtId="0" fontId="9" fillId="0" borderId="2" xfId="1" applyNumberFormat="1" applyFont="1" applyFill="1" applyBorder="1" applyAlignment="1" applyProtection="1">
      <alignment horizontal="left" vertical="top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167" fontId="30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167" fontId="30" fillId="0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0" fontId="9" fillId="0" borderId="2" xfId="3" applyFont="1" applyFill="1" applyBorder="1" applyAlignment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167" fontId="9" fillId="0" borderId="2" xfId="4" applyNumberFormat="1" applyFont="1" applyFill="1" applyBorder="1" applyAlignment="1" applyProtection="1">
      <alignment horizontal="center" vertical="center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8" fillId="6" borderId="2" xfId="4" applyNumberFormat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8" fillId="0" borderId="2" xfId="4" applyNumberFormat="1" applyFont="1" applyFill="1" applyBorder="1" applyAlignment="1" applyProtection="1">
      <alignment horizontal="right" vertical="center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49" fontId="34" fillId="6" borderId="2" xfId="7" applyNumberFormat="1" applyFont="1" applyFill="1" applyBorder="1" applyAlignment="1" applyProtection="1">
      <alignment horizontal="center" vertical="top"/>
    </xf>
    <xf numFmtId="0" fontId="34" fillId="6" borderId="2" xfId="7" applyNumberFormat="1" applyFont="1" applyFill="1" applyBorder="1" applyAlignment="1" applyProtection="1">
      <alignment horizontal="center" vertical="center" wrapText="1"/>
    </xf>
    <xf numFmtId="0" fontId="34" fillId="6" borderId="2" xfId="1" applyFont="1" applyFill="1" applyBorder="1" applyAlignment="1">
      <alignment horizontal="center" vertical="center" wrapText="1"/>
    </xf>
    <xf numFmtId="167" fontId="34" fillId="6" borderId="2" xfId="1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167" fontId="32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 applyProtection="1">
      <alignment horizontal="center" vertical="top"/>
    </xf>
    <xf numFmtId="0" fontId="8" fillId="0" borderId="2" xfId="4" applyNumberFormat="1" applyFont="1" applyFill="1" applyBorder="1" applyAlignment="1" applyProtection="1">
      <alignment vertical="top" wrapText="1"/>
    </xf>
    <xf numFmtId="49" fontId="8" fillId="6" borderId="2" xfId="5" applyNumberFormat="1" applyFont="1" applyFill="1" applyBorder="1" applyAlignment="1" applyProtection="1">
      <alignment horizontal="center" vertical="top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49" fontId="8" fillId="6" borderId="2" xfId="7" applyNumberFormat="1" applyFont="1" applyFill="1" applyBorder="1" applyAlignment="1" applyProtection="1">
      <alignment horizontal="center" vertical="top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49" fontId="8" fillId="0" borderId="2" xfId="5" applyNumberFormat="1" applyFont="1" applyFill="1" applyBorder="1" applyAlignment="1" applyProtection="1">
      <alignment horizontal="center" vertical="top"/>
    </xf>
    <xf numFmtId="167" fontId="30" fillId="0" borderId="2" xfId="3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 wrapText="1"/>
    </xf>
    <xf numFmtId="167" fontId="31" fillId="0" borderId="2" xfId="1" applyNumberFormat="1" applyFont="1" applyFill="1" applyBorder="1" applyAlignment="1" applyProtection="1">
      <alignment horizontal="center" vertical="center" wrapText="1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49" fontId="8" fillId="0" borderId="7" xfId="7" applyNumberFormat="1" applyFont="1" applyFill="1" applyBorder="1" applyAlignment="1" applyProtection="1">
      <alignment horizontal="center" vertical="top" wrapText="1"/>
    </xf>
    <xf numFmtId="49" fontId="8" fillId="0" borderId="8" xfId="7" applyNumberFormat="1" applyFont="1" applyFill="1" applyBorder="1" applyAlignment="1" applyProtection="1">
      <alignment horizontal="center" vertical="top" wrapText="1"/>
    </xf>
    <xf numFmtId="49" fontId="8" fillId="0" borderId="6" xfId="7" applyNumberFormat="1" applyFont="1" applyFill="1" applyBorder="1" applyAlignment="1" applyProtection="1">
      <alignment horizontal="center" vertical="top" wrapText="1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49" fontId="33" fillId="6" borderId="2" xfId="1" applyNumberFormat="1" applyFont="1" applyFill="1" applyBorder="1" applyAlignment="1">
      <alignment horizontal="center" vertical="center" wrapText="1"/>
    </xf>
    <xf numFmtId="167" fontId="33" fillId="6" borderId="2" xfId="1" applyNumberFormat="1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 wrapText="1"/>
    </xf>
    <xf numFmtId="49" fontId="34" fillId="0" borderId="2" xfId="1" applyNumberFormat="1" applyFont="1" applyFill="1" applyBorder="1" applyAlignment="1" applyProtection="1">
      <alignment horizontal="center" vertical="top" wrapText="1"/>
    </xf>
    <xf numFmtId="0" fontId="34" fillId="0" borderId="2" xfId="1" applyNumberFormat="1" applyFont="1" applyFill="1" applyBorder="1" applyAlignment="1" applyProtection="1">
      <alignment horizontal="left" vertical="top" wrapText="1"/>
    </xf>
    <xf numFmtId="2" fontId="34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7" fontId="34" fillId="0" borderId="2" xfId="1" applyNumberFormat="1" applyFont="1" applyFill="1" applyBorder="1" applyAlignment="1" applyProtection="1">
      <alignment horizontal="center" vertical="center" wrapText="1"/>
    </xf>
    <xf numFmtId="0" fontId="33" fillId="0" borderId="2" xfId="1" applyNumberFormat="1" applyFont="1" applyFill="1" applyBorder="1" applyAlignment="1" applyProtection="1">
      <alignment horizontal="left" vertical="top" wrapText="1"/>
    </xf>
    <xf numFmtId="2" fontId="33" fillId="0" borderId="2" xfId="1" applyNumberFormat="1" applyFont="1" applyFill="1" applyBorder="1" applyAlignment="1" applyProtection="1">
      <alignment horizontal="center" vertical="center" wrapText="1"/>
    </xf>
    <xf numFmtId="167" fontId="33" fillId="5" borderId="2" xfId="1" applyNumberFormat="1" applyFont="1" applyFill="1" applyBorder="1" applyAlignment="1">
      <alignment horizontal="center" vertical="center"/>
    </xf>
    <xf numFmtId="49" fontId="33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 applyProtection="1">
      <alignment horizontal="center" vertical="center" wrapText="1"/>
    </xf>
    <xf numFmtId="49" fontId="33" fillId="0" borderId="2" xfId="1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0" fontId="9" fillId="6" borderId="2" xfId="1" applyFont="1" applyFill="1" applyBorder="1" applyAlignment="1">
      <alignment horizontal="center"/>
    </xf>
    <xf numFmtId="167" fontId="34" fillId="0" borderId="2" xfId="7" applyNumberFormat="1" applyFont="1" applyFill="1" applyBorder="1" applyAlignment="1" applyProtection="1">
      <alignment horizontal="center" vertical="center" wrapText="1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167" fontId="32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 wrapText="1"/>
    </xf>
    <xf numFmtId="3" fontId="32" fillId="5" borderId="2" xfId="1" applyNumberFormat="1" applyFont="1" applyFill="1" applyBorder="1" applyAlignment="1">
      <alignment horizontal="center" vertical="center"/>
    </xf>
  </cellXfs>
  <cellStyles count="12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6" xr:uid="{00000000-0005-0000-0000-000005000000}"/>
    <cellStyle name="Обычный 7" xfId="9" xr:uid="{00000000-0005-0000-0000-000006000000}"/>
    <cellStyle name="Обычный_Лист1" xfId="1" xr:uid="{00000000-0005-0000-0000-000007000000}"/>
    <cellStyle name="Обычный_Лист1_1" xfId="7" xr:uid="{00000000-0005-0000-0000-000008000000}"/>
    <cellStyle name="Обычный_Лист1_Лист2" xfId="11" xr:uid="{00000000-0005-0000-0000-000009000000}"/>
    <cellStyle name="Обычный_Лист2" xfId="10" xr:uid="{00000000-0005-0000-0000-00000A000000}"/>
    <cellStyle name="Процентный 2" xfId="8" xr:uid="{00000000-0005-0000-0000-00000B000000}"/>
  </cellStyles>
  <dxfs count="0"/>
  <tableStyles count="0" defaultTableStyle="TableStyleMedium2" defaultPivotStyle="PivotStyleLight16"/>
  <colors>
    <mruColors>
      <color rgb="FFCCFFCC"/>
      <color rgb="FFCCFFFF"/>
      <color rgb="FFCCECFF"/>
      <color rgb="FF99CCFF"/>
      <color rgb="FF00FFFF"/>
      <color rgb="FF99FF99"/>
      <color rgb="FFFFFFCC"/>
      <color rgb="FFFFCC00"/>
      <color rgb="FFFF99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92.168.10.10/&#1086;&#1073;&#1097;&#1072;&#1103;/2018%20&#1075;&#1086;&#1076;/4%20&#1074;&#1072;&#1088;&#1080;&#1072;&#1085;&#1090;%20&#1086;&#1090;%2024.07.2018%20&#8470;3423/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FFFF00"/>
  </sheetPr>
  <dimension ref="A1:U467"/>
  <sheetViews>
    <sheetView view="pageBreakPreview" zoomScale="89" zoomScaleNormal="80" zoomScaleSheetLayoutView="89" workbookViewId="0">
      <pane ySplit="14" topLeftCell="A432" activePane="bottomLeft" state="frozen"/>
      <selection pane="bottomLeft" activeCell="H410" sqref="H410:L411"/>
    </sheetView>
  </sheetViews>
  <sheetFormatPr baseColWidth="10" defaultColWidth="9.1640625" defaultRowHeight="15"/>
  <cols>
    <col min="1" max="1" width="9.1640625" style="87"/>
    <col min="2" max="2" width="75.5" style="87" customWidth="1"/>
    <col min="3" max="3" width="16.5" style="87" customWidth="1"/>
    <col min="4" max="4" width="30.83203125" style="87" customWidth="1"/>
    <col min="5" max="5" width="20.5" style="87" hidden="1" customWidth="1"/>
    <col min="6" max="6" width="22.1640625" style="181" customWidth="1"/>
    <col min="7" max="7" width="21.5" style="92" customWidth="1"/>
    <col min="8" max="12" width="8" style="87" customWidth="1"/>
    <col min="13" max="13" width="21.6640625" style="92" customWidth="1"/>
    <col min="14" max="14" width="21.83203125" style="87" customWidth="1"/>
    <col min="15" max="15" width="21.6640625" style="87" customWidth="1"/>
    <col min="16" max="16" width="23.5" style="87" customWidth="1"/>
    <col min="17" max="17" width="11.83203125" style="1" customWidth="1"/>
    <col min="18" max="18" width="12.5" style="1" bestFit="1" customWidth="1"/>
    <col min="19" max="19" width="9.1640625" style="1"/>
    <col min="20" max="20" width="14.6640625" style="1" customWidth="1"/>
    <col min="21" max="16384" width="9.1640625" style="1"/>
  </cols>
  <sheetData>
    <row r="1" spans="1:21" ht="18">
      <c r="A1" s="2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54"/>
      <c r="P1" s="76" t="s">
        <v>304</v>
      </c>
    </row>
    <row r="2" spans="1:21" ht="18">
      <c r="A2" s="2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4"/>
      <c r="P2" s="76" t="s">
        <v>68</v>
      </c>
    </row>
    <row r="3" spans="1:21" ht="18">
      <c r="A3" s="2"/>
      <c r="B3" s="43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54"/>
      <c r="P3" s="76" t="s">
        <v>69</v>
      </c>
    </row>
    <row r="4" spans="1:21" ht="18">
      <c r="A4" s="2"/>
      <c r="B4" s="68"/>
      <c r="C4" s="68"/>
      <c r="D4" s="68"/>
      <c r="E4" s="68"/>
      <c r="F4" s="68" t="s">
        <v>251</v>
      </c>
      <c r="G4" s="68"/>
      <c r="H4" s="68"/>
      <c r="I4" s="68"/>
      <c r="J4" s="68"/>
      <c r="K4" s="68"/>
      <c r="L4" s="68"/>
      <c r="M4" s="68"/>
      <c r="N4" s="68"/>
      <c r="O4" s="54"/>
      <c r="P4" s="76" t="s">
        <v>296</v>
      </c>
    </row>
    <row r="5" spans="1:21" ht="16">
      <c r="A5" s="2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54"/>
      <c r="P5" s="54"/>
    </row>
    <row r="6" spans="1:21" ht="18" customHeight="1">
      <c r="A6" s="39"/>
      <c r="B6" s="68"/>
      <c r="C6" s="70"/>
      <c r="D6" s="69"/>
      <c r="E6" s="300"/>
      <c r="F6" s="300"/>
      <c r="G6" s="300"/>
      <c r="H6" s="300"/>
      <c r="I6" s="300"/>
      <c r="J6" s="300"/>
      <c r="K6" s="300"/>
      <c r="L6" s="300"/>
      <c r="M6" s="41"/>
      <c r="N6" s="302" t="s">
        <v>229</v>
      </c>
      <c r="O6" s="302"/>
      <c r="P6" s="302"/>
    </row>
    <row r="7" spans="1:21" ht="18" customHeight="1">
      <c r="A7" s="39"/>
      <c r="B7" s="68"/>
      <c r="C7" s="70"/>
      <c r="D7" s="69"/>
      <c r="E7" s="142"/>
      <c r="F7" s="142"/>
      <c r="G7" s="142"/>
      <c r="H7" s="142"/>
      <c r="I7" s="142"/>
      <c r="J7" s="142"/>
      <c r="K7" s="142"/>
      <c r="L7" s="142"/>
      <c r="M7" s="41"/>
      <c r="N7" s="41"/>
      <c r="O7" s="98"/>
      <c r="P7" s="98"/>
    </row>
    <row r="8" spans="1:21" ht="18" customHeight="1">
      <c r="A8" s="71"/>
      <c r="B8" s="68"/>
      <c r="C8" s="70"/>
      <c r="D8" s="69"/>
      <c r="E8" s="142"/>
      <c r="F8" s="142"/>
      <c r="G8" s="142"/>
      <c r="H8" s="142"/>
      <c r="I8" s="142"/>
      <c r="J8" s="142"/>
      <c r="K8" s="142"/>
      <c r="L8" s="142"/>
      <c r="M8" s="41"/>
      <c r="N8" s="41"/>
      <c r="O8" s="98"/>
      <c r="P8" s="98"/>
    </row>
    <row r="9" spans="1:21" ht="40.5" customHeight="1">
      <c r="A9" s="3"/>
      <c r="B9" s="303" t="s">
        <v>88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120"/>
    </row>
    <row r="10" spans="1:21" ht="15.75" customHeight="1">
      <c r="A10" s="79"/>
      <c r="B10" s="182"/>
      <c r="C10" s="183"/>
      <c r="D10" s="184"/>
      <c r="E10" s="184"/>
      <c r="F10" s="184"/>
      <c r="G10" s="80"/>
      <c r="H10" s="80"/>
      <c r="I10" s="80"/>
      <c r="J10" s="80"/>
      <c r="K10" s="80"/>
      <c r="L10" s="80"/>
      <c r="M10" s="80"/>
      <c r="N10" s="80"/>
      <c r="O10" s="80"/>
      <c r="P10" s="185"/>
    </row>
    <row r="11" spans="1:21" ht="15" customHeight="1">
      <c r="A11" s="297" t="s">
        <v>4</v>
      </c>
      <c r="B11" s="297" t="s">
        <v>155</v>
      </c>
      <c r="C11" s="297" t="s">
        <v>51</v>
      </c>
      <c r="D11" s="297" t="s">
        <v>6</v>
      </c>
      <c r="E11" s="297" t="s">
        <v>45</v>
      </c>
      <c r="F11" s="307" t="s">
        <v>7</v>
      </c>
      <c r="G11" s="343" t="s">
        <v>17</v>
      </c>
      <c r="H11" s="343"/>
      <c r="I11" s="343"/>
      <c r="J11" s="343"/>
      <c r="K11" s="343"/>
      <c r="L11" s="343"/>
      <c r="M11" s="343"/>
      <c r="N11" s="343"/>
      <c r="O11" s="343"/>
      <c r="P11" s="301" t="s">
        <v>8</v>
      </c>
    </row>
    <row r="12" spans="1:21" ht="15" customHeight="1">
      <c r="A12" s="297"/>
      <c r="B12" s="297"/>
      <c r="C12" s="297"/>
      <c r="D12" s="297"/>
      <c r="E12" s="297"/>
      <c r="F12" s="307"/>
      <c r="G12" s="343"/>
      <c r="H12" s="343"/>
      <c r="I12" s="343"/>
      <c r="J12" s="343"/>
      <c r="K12" s="343"/>
      <c r="L12" s="343"/>
      <c r="M12" s="343"/>
      <c r="N12" s="343"/>
      <c r="O12" s="343"/>
      <c r="P12" s="301"/>
    </row>
    <row r="13" spans="1:21" ht="45.75" customHeight="1">
      <c r="A13" s="297"/>
      <c r="B13" s="297"/>
      <c r="C13" s="297"/>
      <c r="D13" s="297"/>
      <c r="E13" s="297"/>
      <c r="F13" s="307"/>
      <c r="G13" s="139" t="s">
        <v>46</v>
      </c>
      <c r="H13" s="304" t="s">
        <v>47</v>
      </c>
      <c r="I13" s="304"/>
      <c r="J13" s="304"/>
      <c r="K13" s="304"/>
      <c r="L13" s="304"/>
      <c r="M13" s="139" t="s">
        <v>85</v>
      </c>
      <c r="N13" s="139" t="s">
        <v>86</v>
      </c>
      <c r="O13" s="139" t="s">
        <v>87</v>
      </c>
      <c r="P13" s="301"/>
    </row>
    <row r="14" spans="1:21" ht="17.25" customHeight="1">
      <c r="A14" s="136" t="s">
        <v>14</v>
      </c>
      <c r="B14" s="136">
        <v>2</v>
      </c>
      <c r="C14" s="136" t="s">
        <v>9</v>
      </c>
      <c r="D14" s="136" t="s">
        <v>38</v>
      </c>
      <c r="E14" s="136" t="s">
        <v>10</v>
      </c>
      <c r="F14" s="172" t="s">
        <v>10</v>
      </c>
      <c r="G14" s="136" t="s">
        <v>36</v>
      </c>
      <c r="H14" s="305" t="s">
        <v>11</v>
      </c>
      <c r="I14" s="305"/>
      <c r="J14" s="305"/>
      <c r="K14" s="305"/>
      <c r="L14" s="305"/>
      <c r="M14" s="136" t="s">
        <v>37</v>
      </c>
      <c r="N14" s="136" t="s">
        <v>12</v>
      </c>
      <c r="O14" s="136" t="s">
        <v>13</v>
      </c>
      <c r="P14" s="136" t="s">
        <v>15</v>
      </c>
    </row>
    <row r="15" spans="1:21" s="10" customFormat="1" ht="25.5" customHeight="1">
      <c r="A15" s="306" t="s">
        <v>166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</row>
    <row r="16" spans="1:21" s="9" customFormat="1" ht="19">
      <c r="A16" s="309" t="s">
        <v>14</v>
      </c>
      <c r="B16" s="238" t="s">
        <v>77</v>
      </c>
      <c r="C16" s="238" t="s">
        <v>89</v>
      </c>
      <c r="D16" s="157" t="s">
        <v>2</v>
      </c>
      <c r="E16" s="158" t="e">
        <f>SUM(E18:E23)</f>
        <v>#REF!</v>
      </c>
      <c r="F16" s="173">
        <f>SUM(G16:O16)</f>
        <v>56210714.258699991</v>
      </c>
      <c r="G16" s="158">
        <f>G17+G18+G19+G21</f>
        <v>10467394.842740001</v>
      </c>
      <c r="H16" s="252">
        <f>H17+H18+H19+H21</f>
        <v>11660926.113669999</v>
      </c>
      <c r="I16" s="252"/>
      <c r="J16" s="252"/>
      <c r="K16" s="252"/>
      <c r="L16" s="252"/>
      <c r="M16" s="158">
        <f t="shared" ref="M16:O16" si="0">M17+M18+M19+M21</f>
        <v>11360797.567429999</v>
      </c>
      <c r="N16" s="158">
        <f t="shared" si="0"/>
        <v>11360798.167429999</v>
      </c>
      <c r="O16" s="158">
        <f t="shared" si="0"/>
        <v>11360797.567429999</v>
      </c>
      <c r="P16" s="262"/>
      <c r="T16" s="50"/>
      <c r="U16" s="50"/>
    </row>
    <row r="17" spans="1:21" s="9" customFormat="1" ht="39" customHeight="1">
      <c r="A17" s="309"/>
      <c r="B17" s="238"/>
      <c r="C17" s="238"/>
      <c r="D17" s="157" t="s">
        <v>41</v>
      </c>
      <c r="E17" s="159" t="e">
        <f>#REF!</f>
        <v>#REF!</v>
      </c>
      <c r="F17" s="173">
        <f t="shared" ref="F17:F27" si="1">SUM(G17:O17)</f>
        <v>829826</v>
      </c>
      <c r="G17" s="159">
        <f>G24+G31+G45+G52+G59+G103+G113+G120+G127+G134+G141+G73+G82+G89+G96</f>
        <v>155511</v>
      </c>
      <c r="H17" s="251">
        <f>H24+H31+H45+H52+H59+H103+H113+H120+H127+H134+H141+H73+H82+H89+H96</f>
        <v>178643</v>
      </c>
      <c r="I17" s="251"/>
      <c r="J17" s="251"/>
      <c r="K17" s="251"/>
      <c r="L17" s="251"/>
      <c r="M17" s="159">
        <f>M24+M31+M45+M52+M59+M103+M113+M120+M127+M134+M141+M73+M82+M89+M96</f>
        <v>165224</v>
      </c>
      <c r="N17" s="159">
        <f>N24+N31+N45+N52+N59+N103+N113+N120+N127+N134+N141+N73+N82+N89+N96</f>
        <v>165224</v>
      </c>
      <c r="O17" s="159">
        <f>O24+O31+O45+O52+O59+O103+O113+O120+O127+O134+O141+O73+O82+O89+O96</f>
        <v>165224</v>
      </c>
      <c r="P17" s="262"/>
      <c r="T17" s="50"/>
      <c r="U17" s="50"/>
    </row>
    <row r="18" spans="1:21" s="9" customFormat="1" ht="39.75" customHeight="1">
      <c r="A18" s="309"/>
      <c r="B18" s="238"/>
      <c r="C18" s="238"/>
      <c r="D18" s="157" t="s">
        <v>1</v>
      </c>
      <c r="E18" s="159" t="e">
        <f>E45+E53+#REF!+#REF!</f>
        <v>#REF!</v>
      </c>
      <c r="F18" s="173">
        <f t="shared" si="1"/>
        <v>36619494.098870002</v>
      </c>
      <c r="G18" s="159">
        <f>G25+G32+G46+G53+G60+G104+G114+G121+G128+G135+G142+G74+G83+G90+G97+G67</f>
        <v>6836602.4489599997</v>
      </c>
      <c r="H18" s="251">
        <f>H25+H32+H46+H53+H60+H104+H114+H121+H128+H135+H142+H74+H83+H90+H97+H67</f>
        <v>7457818.6499100002</v>
      </c>
      <c r="I18" s="251"/>
      <c r="J18" s="251"/>
      <c r="K18" s="251"/>
      <c r="L18" s="251"/>
      <c r="M18" s="159">
        <f>M25+M32+M46+M53+M60+M104+M114+M121+M128+M135+M142+M74+M83+M90+M97+M67</f>
        <v>7441691</v>
      </c>
      <c r="N18" s="159">
        <f>N25+N32+N46+N53+N60+N104+N114+N121+N128+N135+N142+N74+N83+N90+N97+N67</f>
        <v>7441691</v>
      </c>
      <c r="O18" s="159">
        <f>O25+O32+O46+O53+O60+O104+O114+O121+O128+O135+O142+O74+O83+O90+O97+O67</f>
        <v>7441691</v>
      </c>
      <c r="P18" s="262"/>
      <c r="T18" s="50"/>
      <c r="U18" s="50"/>
    </row>
    <row r="19" spans="1:21" s="9" customFormat="1" ht="58.5" customHeight="1">
      <c r="A19" s="309"/>
      <c r="B19" s="238"/>
      <c r="C19" s="238"/>
      <c r="D19" s="157" t="s">
        <v>49</v>
      </c>
      <c r="E19" s="159" t="e">
        <f>E105+E115+E122+E129+#REF!+#REF!+#REF!+#REF!</f>
        <v>#REF!</v>
      </c>
      <c r="F19" s="173">
        <f t="shared" si="1"/>
        <v>15737962.891429998</v>
      </c>
      <c r="G19" s="159">
        <f>G26+G33+G47+G54+G61+G105+G115+G122+G136+G143+G75+G84+G91+G98+G40</f>
        <v>2982149.6351000001</v>
      </c>
      <c r="H19" s="251">
        <f>H26+H33+H47+H54+H61+H105+H115+H122+H136+H143+H75+H84+H91+H98+H40</f>
        <v>3391889.5863299994</v>
      </c>
      <c r="I19" s="251"/>
      <c r="J19" s="251"/>
      <c r="K19" s="251"/>
      <c r="L19" s="251"/>
      <c r="M19" s="159">
        <f>M26+M33+M47+M54+M61+M105+M115+M122+M136+M143+M75+M84+M91+M98</f>
        <v>3121307.69</v>
      </c>
      <c r="N19" s="159">
        <f>N26+N33+N47+N54+N61+N105+N115+N122+N136+N143+N75+N84+N91+N98</f>
        <v>3121308.2899999996</v>
      </c>
      <c r="O19" s="159">
        <f>O26+O33+O47+O54+O61+O105+O115+O122+O136+O143+O75+O84+O91+O98</f>
        <v>3121307.69</v>
      </c>
      <c r="P19" s="262"/>
      <c r="T19" s="50"/>
      <c r="U19" s="50"/>
    </row>
    <row r="20" spans="1:21" s="9" customFormat="1" ht="77.25" customHeight="1">
      <c r="A20" s="309"/>
      <c r="B20" s="238"/>
      <c r="C20" s="238"/>
      <c r="D20" s="157" t="s">
        <v>61</v>
      </c>
      <c r="E20" s="159">
        <f>E106</f>
        <v>0</v>
      </c>
      <c r="F20" s="173">
        <f t="shared" si="1"/>
        <v>2529243</v>
      </c>
      <c r="G20" s="159">
        <f>G106+G76</f>
        <v>413035</v>
      </c>
      <c r="H20" s="251">
        <f>H106+H76</f>
        <v>529052</v>
      </c>
      <c r="I20" s="251"/>
      <c r="J20" s="251"/>
      <c r="K20" s="251"/>
      <c r="L20" s="251"/>
      <c r="M20" s="159">
        <f>M106+M76</f>
        <v>529052</v>
      </c>
      <c r="N20" s="159">
        <f>N106+N76</f>
        <v>529052</v>
      </c>
      <c r="O20" s="159">
        <f>O106+O76</f>
        <v>529052</v>
      </c>
      <c r="P20" s="262"/>
      <c r="T20" s="50"/>
      <c r="U20" s="50"/>
    </row>
    <row r="21" spans="1:21" s="9" customFormat="1" ht="19">
      <c r="A21" s="309"/>
      <c r="B21" s="238"/>
      <c r="C21" s="238"/>
      <c r="D21" s="157" t="s">
        <v>90</v>
      </c>
      <c r="E21" s="159"/>
      <c r="F21" s="173">
        <f t="shared" si="1"/>
        <v>3023431.2683999999</v>
      </c>
      <c r="G21" s="159">
        <f>G27+G34+G48+G55+G62+G107+G116+G123+G130+G137+G144+G77+G85+G92+G99</f>
        <v>493131.75868000003</v>
      </c>
      <c r="H21" s="251">
        <f>H27+H34+H48+H55+H62+H107+H116+H123+H130+H137+H144+H77+H85+H92+H99</f>
        <v>632574.87742999999</v>
      </c>
      <c r="I21" s="251"/>
      <c r="J21" s="251"/>
      <c r="K21" s="251"/>
      <c r="L21" s="251"/>
      <c r="M21" s="159">
        <f>M27+M34+M48+M55+M62+M107+M116+M123+M130+M137+M144+M77+M85+M92+M99</f>
        <v>632574.87742999999</v>
      </c>
      <c r="N21" s="159">
        <f>N27+N34+N48+N55+N62+N107+N116+N123+N130+N137+N144+N77+N85+N92+N99</f>
        <v>632574.87742999999</v>
      </c>
      <c r="O21" s="159">
        <f>O27+O34+O48+O55+O62+O107+O116+O123+O130+O137+O144+O77+O85+O92+O99</f>
        <v>632574.87742999999</v>
      </c>
      <c r="P21" s="262"/>
      <c r="T21" s="50"/>
      <c r="U21" s="50"/>
    </row>
    <row r="22" spans="1:21" s="9" customFormat="1" ht="93.75" customHeight="1">
      <c r="A22" s="309"/>
      <c r="B22" s="238"/>
      <c r="C22" s="238"/>
      <c r="D22" s="160" t="s">
        <v>91</v>
      </c>
      <c r="E22" s="161">
        <f>E108</f>
        <v>262352.43170000002</v>
      </c>
      <c r="F22" s="173">
        <f t="shared" si="1"/>
        <v>2901357.9304000004</v>
      </c>
      <c r="G22" s="161">
        <f>G108</f>
        <v>469940.35668000003</v>
      </c>
      <c r="H22" s="281">
        <f>H108</f>
        <v>607854.39343000005</v>
      </c>
      <c r="I22" s="281"/>
      <c r="J22" s="281"/>
      <c r="K22" s="281"/>
      <c r="L22" s="281"/>
      <c r="M22" s="161">
        <f>M108</f>
        <v>607854.39343000005</v>
      </c>
      <c r="N22" s="161">
        <f>N108</f>
        <v>607854.39343000005</v>
      </c>
      <c r="O22" s="161">
        <f>O108</f>
        <v>607854.39343000005</v>
      </c>
      <c r="P22" s="262"/>
      <c r="T22" s="50"/>
      <c r="U22" s="50"/>
    </row>
    <row r="23" spans="1:21" s="9" customFormat="1" ht="76">
      <c r="A23" s="309"/>
      <c r="B23" s="238"/>
      <c r="C23" s="238"/>
      <c r="D23" s="160" t="s">
        <v>92</v>
      </c>
      <c r="E23" s="161">
        <f>E109</f>
        <v>8751.5480000000007</v>
      </c>
      <c r="F23" s="173">
        <f t="shared" si="1"/>
        <v>122073.33799999999</v>
      </c>
      <c r="G23" s="161">
        <f>G109+G78</f>
        <v>23191.402000000002</v>
      </c>
      <c r="H23" s="281">
        <f>H109+H78</f>
        <v>24720.484</v>
      </c>
      <c r="I23" s="281"/>
      <c r="J23" s="281"/>
      <c r="K23" s="281"/>
      <c r="L23" s="281"/>
      <c r="M23" s="161">
        <f>M109+M78</f>
        <v>24720.484</v>
      </c>
      <c r="N23" s="161">
        <f>N109+N78</f>
        <v>24720.484</v>
      </c>
      <c r="O23" s="161">
        <f>O109+O78</f>
        <v>24720.484</v>
      </c>
      <c r="P23" s="262"/>
      <c r="T23" s="50"/>
      <c r="U23" s="50"/>
    </row>
    <row r="24" spans="1:21" s="43" customFormat="1" ht="36.75" customHeight="1">
      <c r="A24" s="286" t="s">
        <v>27</v>
      </c>
      <c r="B24" s="236" t="s">
        <v>139</v>
      </c>
      <c r="C24" s="271" t="s">
        <v>89</v>
      </c>
      <c r="D24" s="143" t="s">
        <v>41</v>
      </c>
      <c r="E24" s="144">
        <v>0</v>
      </c>
      <c r="F24" s="173">
        <f t="shared" si="1"/>
        <v>0</v>
      </c>
      <c r="G24" s="144">
        <v>0</v>
      </c>
      <c r="H24" s="261">
        <v>0</v>
      </c>
      <c r="I24" s="261"/>
      <c r="J24" s="261"/>
      <c r="K24" s="261"/>
      <c r="L24" s="261"/>
      <c r="M24" s="144">
        <v>0</v>
      </c>
      <c r="N24" s="144">
        <v>0</v>
      </c>
      <c r="O24" s="144">
        <v>0</v>
      </c>
      <c r="P24" s="257" t="s">
        <v>252</v>
      </c>
    </row>
    <row r="25" spans="1:21" s="43" customFormat="1" ht="38">
      <c r="A25" s="286"/>
      <c r="B25" s="236"/>
      <c r="C25" s="271"/>
      <c r="D25" s="143" t="s">
        <v>1</v>
      </c>
      <c r="E25" s="144"/>
      <c r="F25" s="173">
        <f t="shared" si="1"/>
        <v>0</v>
      </c>
      <c r="G25" s="144">
        <v>0</v>
      </c>
      <c r="H25" s="261">
        <v>0</v>
      </c>
      <c r="I25" s="261"/>
      <c r="J25" s="261"/>
      <c r="K25" s="261"/>
      <c r="L25" s="261"/>
      <c r="M25" s="144">
        <v>0</v>
      </c>
      <c r="N25" s="144">
        <v>0</v>
      </c>
      <c r="O25" s="144">
        <v>0</v>
      </c>
      <c r="P25" s="257"/>
    </row>
    <row r="26" spans="1:21" s="43" customFormat="1" ht="57">
      <c r="A26" s="286"/>
      <c r="B26" s="236"/>
      <c r="C26" s="271"/>
      <c r="D26" s="143" t="s">
        <v>49</v>
      </c>
      <c r="E26" s="144">
        <v>0</v>
      </c>
      <c r="F26" s="173">
        <f t="shared" si="1"/>
        <v>201567.54709000001</v>
      </c>
      <c r="G26" s="144">
        <v>201567.54709000001</v>
      </c>
      <c r="H26" s="331">
        <f>4921.09299-4921.09299</f>
        <v>0</v>
      </c>
      <c r="I26" s="331"/>
      <c r="J26" s="331"/>
      <c r="K26" s="331"/>
      <c r="L26" s="331"/>
      <c r="M26" s="144">
        <f>200000-200000</f>
        <v>0</v>
      </c>
      <c r="N26" s="144">
        <f>200000-200000</f>
        <v>0</v>
      </c>
      <c r="O26" s="144">
        <f>200000-200000</f>
        <v>0</v>
      </c>
      <c r="P26" s="257"/>
      <c r="Q26" s="44"/>
    </row>
    <row r="27" spans="1:21" s="43" customFormat="1" ht="42.75" customHeight="1">
      <c r="A27" s="286"/>
      <c r="B27" s="236"/>
      <c r="C27" s="271"/>
      <c r="D27" s="143" t="s">
        <v>90</v>
      </c>
      <c r="E27" s="144"/>
      <c r="F27" s="173">
        <f t="shared" si="1"/>
        <v>0</v>
      </c>
      <c r="G27" s="144">
        <v>0</v>
      </c>
      <c r="H27" s="261">
        <v>0</v>
      </c>
      <c r="I27" s="261"/>
      <c r="J27" s="261"/>
      <c r="K27" s="261"/>
      <c r="L27" s="261"/>
      <c r="M27" s="144">
        <v>0</v>
      </c>
      <c r="N27" s="144">
        <v>0</v>
      </c>
      <c r="O27" s="144">
        <v>0</v>
      </c>
      <c r="P27" s="257"/>
      <c r="Q27" s="44"/>
    </row>
    <row r="28" spans="1:21" s="43" customFormat="1" ht="30" customHeight="1">
      <c r="A28" s="286"/>
      <c r="B28" s="237" t="s">
        <v>230</v>
      </c>
      <c r="C28" s="234" t="s">
        <v>129</v>
      </c>
      <c r="D28" s="234" t="s">
        <v>129</v>
      </c>
      <c r="E28" s="145"/>
      <c r="F28" s="248" t="s">
        <v>130</v>
      </c>
      <c r="G28" s="146" t="s">
        <v>287</v>
      </c>
      <c r="H28" s="246" t="s">
        <v>288</v>
      </c>
      <c r="I28" s="247" t="s">
        <v>131</v>
      </c>
      <c r="J28" s="247"/>
      <c r="K28" s="247"/>
      <c r="L28" s="247"/>
      <c r="M28" s="146" t="s">
        <v>136</v>
      </c>
      <c r="N28" s="146" t="s">
        <v>137</v>
      </c>
      <c r="O28" s="146" t="s">
        <v>138</v>
      </c>
      <c r="P28" s="257" t="s">
        <v>129</v>
      </c>
      <c r="Q28" s="44"/>
    </row>
    <row r="29" spans="1:21" s="43" customFormat="1" ht="30" customHeight="1">
      <c r="A29" s="286"/>
      <c r="B29" s="237"/>
      <c r="C29" s="234"/>
      <c r="D29" s="234"/>
      <c r="E29" s="145"/>
      <c r="F29" s="248"/>
      <c r="G29" s="145"/>
      <c r="H29" s="246"/>
      <c r="I29" s="145" t="s">
        <v>132</v>
      </c>
      <c r="J29" s="145" t="s">
        <v>133</v>
      </c>
      <c r="K29" s="145" t="s">
        <v>134</v>
      </c>
      <c r="L29" s="145" t="s">
        <v>135</v>
      </c>
      <c r="M29" s="145"/>
      <c r="N29" s="145"/>
      <c r="O29" s="145"/>
      <c r="P29" s="257"/>
      <c r="Q29" s="44"/>
    </row>
    <row r="30" spans="1:21" s="43" customFormat="1" ht="42.75" customHeight="1">
      <c r="A30" s="286"/>
      <c r="B30" s="237"/>
      <c r="C30" s="234"/>
      <c r="D30" s="234"/>
      <c r="E30" s="145"/>
      <c r="F30" s="174">
        <f>H30+G30+M30+N30+O30</f>
        <v>1</v>
      </c>
      <c r="G30" s="148">
        <v>1</v>
      </c>
      <c r="H30" s="211">
        <v>0</v>
      </c>
      <c r="I30" s="211">
        <v>0</v>
      </c>
      <c r="J30" s="211">
        <v>0</v>
      </c>
      <c r="K30" s="211">
        <v>0</v>
      </c>
      <c r="L30" s="211">
        <v>0</v>
      </c>
      <c r="M30" s="148">
        <v>0</v>
      </c>
      <c r="N30" s="148">
        <v>0</v>
      </c>
      <c r="O30" s="148">
        <v>0</v>
      </c>
      <c r="P30" s="257"/>
      <c r="Q30" s="44"/>
    </row>
    <row r="31" spans="1:21" s="43" customFormat="1" ht="36.75" customHeight="1">
      <c r="A31" s="305" t="s">
        <v>28</v>
      </c>
      <c r="B31" s="241" t="s">
        <v>140</v>
      </c>
      <c r="C31" s="239" t="s">
        <v>89</v>
      </c>
      <c r="D31" s="99" t="s">
        <v>41</v>
      </c>
      <c r="E31" s="131">
        <v>750</v>
      </c>
      <c r="F31" s="173">
        <f>SUM(G31:O31)</f>
        <v>0</v>
      </c>
      <c r="G31" s="131">
        <v>0</v>
      </c>
      <c r="H31" s="250">
        <v>0</v>
      </c>
      <c r="I31" s="250"/>
      <c r="J31" s="250"/>
      <c r="K31" s="250"/>
      <c r="L31" s="250"/>
      <c r="M31" s="131">
        <v>0</v>
      </c>
      <c r="N31" s="131">
        <v>0</v>
      </c>
      <c r="O31" s="131">
        <v>0</v>
      </c>
      <c r="P31" s="253" t="s">
        <v>251</v>
      </c>
    </row>
    <row r="32" spans="1:21" s="43" customFormat="1" ht="38">
      <c r="A32" s="305"/>
      <c r="B32" s="241"/>
      <c r="C32" s="239"/>
      <c r="D32" s="99" t="s">
        <v>1</v>
      </c>
      <c r="E32" s="131"/>
      <c r="F32" s="173">
        <f t="shared" ref="F32:F34" si="2">SUM(G32:O32)</f>
        <v>0</v>
      </c>
      <c r="G32" s="131">
        <v>0</v>
      </c>
      <c r="H32" s="250">
        <v>0</v>
      </c>
      <c r="I32" s="250"/>
      <c r="J32" s="250"/>
      <c r="K32" s="250"/>
      <c r="L32" s="250"/>
      <c r="M32" s="131">
        <v>0</v>
      </c>
      <c r="N32" s="131">
        <v>0</v>
      </c>
      <c r="O32" s="131">
        <v>0</v>
      </c>
      <c r="P32" s="253"/>
    </row>
    <row r="33" spans="1:17" s="43" customFormat="1" ht="57">
      <c r="A33" s="305"/>
      <c r="B33" s="241"/>
      <c r="C33" s="239"/>
      <c r="D33" s="99" t="s">
        <v>49</v>
      </c>
      <c r="E33" s="131">
        <v>7541.03</v>
      </c>
      <c r="F33" s="173">
        <f>SUM(G33:O33)</f>
        <v>1205672.7434399999</v>
      </c>
      <c r="G33" s="131">
        <v>286365.54175999999</v>
      </c>
      <c r="H33" s="256">
        <f>214226-2596.21491+2596.21412+0.02247+62403.18</f>
        <v>276629.20168</v>
      </c>
      <c r="I33" s="256"/>
      <c r="J33" s="256"/>
      <c r="K33" s="256"/>
      <c r="L33" s="256"/>
      <c r="M33" s="131">
        <f t="shared" ref="M33:O33" si="3">297473.582-46436.582-36811</f>
        <v>214226</v>
      </c>
      <c r="N33" s="131">
        <f t="shared" si="3"/>
        <v>214226</v>
      </c>
      <c r="O33" s="131">
        <f t="shared" si="3"/>
        <v>214226</v>
      </c>
      <c r="P33" s="253"/>
    </row>
    <row r="34" spans="1:17" s="43" customFormat="1" ht="19">
      <c r="A34" s="305"/>
      <c r="B34" s="241"/>
      <c r="C34" s="239"/>
      <c r="D34" s="99" t="s">
        <v>90</v>
      </c>
      <c r="E34" s="131"/>
      <c r="F34" s="173">
        <f t="shared" si="2"/>
        <v>0</v>
      </c>
      <c r="G34" s="131">
        <v>0</v>
      </c>
      <c r="H34" s="250">
        <v>0</v>
      </c>
      <c r="I34" s="250"/>
      <c r="J34" s="250"/>
      <c r="K34" s="250"/>
      <c r="L34" s="250"/>
      <c r="M34" s="131">
        <v>0</v>
      </c>
      <c r="N34" s="131">
        <v>0</v>
      </c>
      <c r="O34" s="131">
        <v>0</v>
      </c>
      <c r="P34" s="253"/>
    </row>
    <row r="35" spans="1:17" s="43" customFormat="1" ht="26.25" customHeight="1">
      <c r="A35" s="305"/>
      <c r="B35" s="237" t="s">
        <v>221</v>
      </c>
      <c r="C35" s="234" t="s">
        <v>129</v>
      </c>
      <c r="D35" s="234" t="s">
        <v>129</v>
      </c>
      <c r="E35" s="145"/>
      <c r="F35" s="248" t="s">
        <v>130</v>
      </c>
      <c r="G35" s="146" t="s">
        <v>287</v>
      </c>
      <c r="H35" s="246" t="s">
        <v>288</v>
      </c>
      <c r="I35" s="247" t="s">
        <v>131</v>
      </c>
      <c r="J35" s="247"/>
      <c r="K35" s="247"/>
      <c r="L35" s="247"/>
      <c r="M35" s="146" t="s">
        <v>136</v>
      </c>
      <c r="N35" s="146" t="s">
        <v>137</v>
      </c>
      <c r="O35" s="146" t="s">
        <v>138</v>
      </c>
      <c r="P35" s="257" t="s">
        <v>129</v>
      </c>
      <c r="Q35" s="44"/>
    </row>
    <row r="36" spans="1:17" s="43" customFormat="1" ht="21" customHeight="1">
      <c r="A36" s="305"/>
      <c r="B36" s="237"/>
      <c r="C36" s="234"/>
      <c r="D36" s="234"/>
      <c r="E36" s="145"/>
      <c r="F36" s="248"/>
      <c r="G36" s="145"/>
      <c r="H36" s="246"/>
      <c r="I36" s="145" t="s">
        <v>132</v>
      </c>
      <c r="J36" s="145" t="s">
        <v>133</v>
      </c>
      <c r="K36" s="145" t="s">
        <v>134</v>
      </c>
      <c r="L36" s="145" t="s">
        <v>135</v>
      </c>
      <c r="M36" s="145"/>
      <c r="N36" s="145"/>
      <c r="O36" s="145"/>
      <c r="P36" s="257"/>
      <c r="Q36" s="44"/>
    </row>
    <row r="37" spans="1:17" s="43" customFormat="1" ht="30" customHeight="1">
      <c r="A37" s="305"/>
      <c r="B37" s="237"/>
      <c r="C37" s="234"/>
      <c r="D37" s="234"/>
      <c r="E37" s="145"/>
      <c r="F37" s="174">
        <v>100</v>
      </c>
      <c r="G37" s="148">
        <v>100</v>
      </c>
      <c r="H37" s="148">
        <v>100</v>
      </c>
      <c r="I37" s="148">
        <v>100</v>
      </c>
      <c r="J37" s="148">
        <v>100</v>
      </c>
      <c r="K37" s="148">
        <v>100</v>
      </c>
      <c r="L37" s="148">
        <v>100</v>
      </c>
      <c r="M37" s="148">
        <v>100</v>
      </c>
      <c r="N37" s="148">
        <v>100</v>
      </c>
      <c r="O37" s="148">
        <v>100</v>
      </c>
      <c r="P37" s="257"/>
      <c r="Q37" s="44"/>
    </row>
    <row r="38" spans="1:17" s="43" customFormat="1" ht="36.75" customHeight="1">
      <c r="A38" s="305" t="s">
        <v>29</v>
      </c>
      <c r="B38" s="241" t="s">
        <v>241</v>
      </c>
      <c r="C38" s="239" t="s">
        <v>89</v>
      </c>
      <c r="D38" s="99" t="s">
        <v>41</v>
      </c>
      <c r="E38" s="131">
        <v>750</v>
      </c>
      <c r="F38" s="173">
        <f>SUM(G38:O38)</f>
        <v>0</v>
      </c>
      <c r="G38" s="131">
        <v>0</v>
      </c>
      <c r="H38" s="250">
        <v>0</v>
      </c>
      <c r="I38" s="250"/>
      <c r="J38" s="250"/>
      <c r="K38" s="250"/>
      <c r="L38" s="250"/>
      <c r="M38" s="131">
        <v>0</v>
      </c>
      <c r="N38" s="131">
        <v>0</v>
      </c>
      <c r="O38" s="131">
        <v>0</v>
      </c>
      <c r="P38" s="253" t="s">
        <v>3</v>
      </c>
    </row>
    <row r="39" spans="1:17" s="43" customFormat="1" ht="38">
      <c r="A39" s="305"/>
      <c r="B39" s="241"/>
      <c r="C39" s="239"/>
      <c r="D39" s="99" t="s">
        <v>1</v>
      </c>
      <c r="E39" s="131"/>
      <c r="F39" s="173">
        <f t="shared" ref="F39:F41" si="4">SUM(G39:O39)</f>
        <v>0</v>
      </c>
      <c r="G39" s="131">
        <v>0</v>
      </c>
      <c r="H39" s="250">
        <v>0</v>
      </c>
      <c r="I39" s="250"/>
      <c r="J39" s="250"/>
      <c r="K39" s="250"/>
      <c r="L39" s="250"/>
      <c r="M39" s="131">
        <v>0</v>
      </c>
      <c r="N39" s="131">
        <v>0</v>
      </c>
      <c r="O39" s="131">
        <v>0</v>
      </c>
      <c r="P39" s="253"/>
    </row>
    <row r="40" spans="1:17" s="43" customFormat="1" ht="57">
      <c r="A40" s="305"/>
      <c r="B40" s="241"/>
      <c r="C40" s="239"/>
      <c r="D40" s="99" t="s">
        <v>49</v>
      </c>
      <c r="E40" s="131">
        <v>7541.03</v>
      </c>
      <c r="F40" s="173">
        <f t="shared" si="4"/>
        <v>8170.7688399999997</v>
      </c>
      <c r="G40" s="131">
        <v>8170.7688399999997</v>
      </c>
      <c r="H40" s="250">
        <v>0</v>
      </c>
      <c r="I40" s="250"/>
      <c r="J40" s="250"/>
      <c r="K40" s="250"/>
      <c r="L40" s="250"/>
      <c r="M40" s="131">
        <v>0</v>
      </c>
      <c r="N40" s="131">
        <v>0</v>
      </c>
      <c r="O40" s="131">
        <v>0</v>
      </c>
      <c r="P40" s="253"/>
    </row>
    <row r="41" spans="1:17" s="43" customFormat="1" ht="19">
      <c r="A41" s="305"/>
      <c r="B41" s="241"/>
      <c r="C41" s="239"/>
      <c r="D41" s="99" t="s">
        <v>90</v>
      </c>
      <c r="E41" s="131"/>
      <c r="F41" s="173">
        <f t="shared" si="4"/>
        <v>0</v>
      </c>
      <c r="G41" s="131">
        <v>0</v>
      </c>
      <c r="H41" s="250">
        <v>0</v>
      </c>
      <c r="I41" s="250"/>
      <c r="J41" s="250"/>
      <c r="K41" s="250"/>
      <c r="L41" s="250"/>
      <c r="M41" s="131">
        <v>0</v>
      </c>
      <c r="N41" s="131">
        <v>0</v>
      </c>
      <c r="O41" s="131">
        <v>0</v>
      </c>
      <c r="P41" s="253"/>
    </row>
    <row r="42" spans="1:17" s="43" customFormat="1" ht="26.25" customHeight="1">
      <c r="A42" s="305"/>
      <c r="B42" s="237" t="s">
        <v>243</v>
      </c>
      <c r="C42" s="234" t="s">
        <v>129</v>
      </c>
      <c r="D42" s="234" t="s">
        <v>129</v>
      </c>
      <c r="E42" s="145"/>
      <c r="F42" s="248" t="s">
        <v>130</v>
      </c>
      <c r="G42" s="146" t="s">
        <v>287</v>
      </c>
      <c r="H42" s="246" t="s">
        <v>288</v>
      </c>
      <c r="I42" s="247" t="s">
        <v>131</v>
      </c>
      <c r="J42" s="247"/>
      <c r="K42" s="247"/>
      <c r="L42" s="247"/>
      <c r="M42" s="146" t="s">
        <v>136</v>
      </c>
      <c r="N42" s="146" t="s">
        <v>137</v>
      </c>
      <c r="O42" s="146" t="s">
        <v>138</v>
      </c>
      <c r="P42" s="257" t="s">
        <v>129</v>
      </c>
      <c r="Q42" s="44"/>
    </row>
    <row r="43" spans="1:17" s="43" customFormat="1" ht="21" customHeight="1">
      <c r="A43" s="305"/>
      <c r="B43" s="237"/>
      <c r="C43" s="234"/>
      <c r="D43" s="234"/>
      <c r="E43" s="145"/>
      <c r="F43" s="248"/>
      <c r="G43" s="145"/>
      <c r="H43" s="246"/>
      <c r="I43" s="145" t="s">
        <v>132</v>
      </c>
      <c r="J43" s="145" t="s">
        <v>133</v>
      </c>
      <c r="K43" s="145" t="s">
        <v>134</v>
      </c>
      <c r="L43" s="145" t="s">
        <v>135</v>
      </c>
      <c r="M43" s="145"/>
      <c r="N43" s="145"/>
      <c r="O43" s="145"/>
      <c r="P43" s="257"/>
      <c r="Q43" s="44"/>
    </row>
    <row r="44" spans="1:17" s="43" customFormat="1" ht="30" customHeight="1">
      <c r="A44" s="305"/>
      <c r="B44" s="237"/>
      <c r="C44" s="234"/>
      <c r="D44" s="234"/>
      <c r="E44" s="145"/>
      <c r="F44" s="174">
        <f>H44+G44+M44+N44+O44</f>
        <v>5</v>
      </c>
      <c r="G44" s="148">
        <v>5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257"/>
      <c r="Q44" s="44"/>
    </row>
    <row r="45" spans="1:17" s="43" customFormat="1" ht="67.5" customHeight="1">
      <c r="A45" s="330" t="s">
        <v>30</v>
      </c>
      <c r="B45" s="254" t="s">
        <v>141</v>
      </c>
      <c r="C45" s="239" t="s">
        <v>89</v>
      </c>
      <c r="D45" s="99" t="s">
        <v>41</v>
      </c>
      <c r="E45" s="131">
        <v>2978099</v>
      </c>
      <c r="F45" s="173">
        <f>SUM(G45:O45)</f>
        <v>829826</v>
      </c>
      <c r="G45" s="131">
        <v>155511</v>
      </c>
      <c r="H45" s="255">
        <f>163609+15034</f>
        <v>178643</v>
      </c>
      <c r="I45" s="255"/>
      <c r="J45" s="255"/>
      <c r="K45" s="255"/>
      <c r="L45" s="255"/>
      <c r="M45" s="131">
        <f>147675+2936+11566+3047</f>
        <v>165224</v>
      </c>
      <c r="N45" s="131">
        <v>165224</v>
      </c>
      <c r="O45" s="131">
        <v>165224</v>
      </c>
      <c r="P45" s="253" t="s">
        <v>3</v>
      </c>
    </row>
    <row r="46" spans="1:17" s="43" customFormat="1" ht="67.5" customHeight="1">
      <c r="A46" s="330"/>
      <c r="B46" s="254"/>
      <c r="C46" s="239"/>
      <c r="D46" s="99" t="s">
        <v>1</v>
      </c>
      <c r="E46" s="131"/>
      <c r="F46" s="173">
        <f t="shared" ref="F46:F48" si="5">SUM(G46:O46)</f>
        <v>33484088.098870002</v>
      </c>
      <c r="G46" s="131">
        <v>6267494.4489599997</v>
      </c>
      <c r="H46" s="256">
        <f>6822774+3391.64991-3387.64991+3391.64991-77898</f>
        <v>6748271.6499100002</v>
      </c>
      <c r="I46" s="256"/>
      <c r="J46" s="256"/>
      <c r="K46" s="256"/>
      <c r="L46" s="256"/>
      <c r="M46" s="131">
        <v>6822774</v>
      </c>
      <c r="N46" s="131">
        <v>6822774</v>
      </c>
      <c r="O46" s="131">
        <v>6822774</v>
      </c>
      <c r="P46" s="253"/>
    </row>
    <row r="47" spans="1:17" s="43" customFormat="1" ht="57">
      <c r="A47" s="330"/>
      <c r="B47" s="254"/>
      <c r="C47" s="239"/>
      <c r="D47" s="99" t="s">
        <v>49</v>
      </c>
      <c r="E47" s="131"/>
      <c r="F47" s="173">
        <f t="shared" si="5"/>
        <v>0</v>
      </c>
      <c r="G47" s="131">
        <v>0</v>
      </c>
      <c r="H47" s="250">
        <v>0</v>
      </c>
      <c r="I47" s="250"/>
      <c r="J47" s="250"/>
      <c r="K47" s="250"/>
      <c r="L47" s="250"/>
      <c r="M47" s="131">
        <v>0</v>
      </c>
      <c r="N47" s="131">
        <v>0</v>
      </c>
      <c r="O47" s="131">
        <v>0</v>
      </c>
      <c r="P47" s="253"/>
    </row>
    <row r="48" spans="1:17" s="43" customFormat="1" ht="45" customHeight="1">
      <c r="A48" s="330"/>
      <c r="B48" s="254"/>
      <c r="C48" s="239"/>
      <c r="D48" s="99" t="s">
        <v>90</v>
      </c>
      <c r="E48" s="131"/>
      <c r="F48" s="173">
        <f t="shared" si="5"/>
        <v>0</v>
      </c>
      <c r="G48" s="131">
        <v>0</v>
      </c>
      <c r="H48" s="250">
        <v>0</v>
      </c>
      <c r="I48" s="250"/>
      <c r="J48" s="250"/>
      <c r="K48" s="250"/>
      <c r="L48" s="250"/>
      <c r="M48" s="131">
        <v>0</v>
      </c>
      <c r="N48" s="131">
        <v>0</v>
      </c>
      <c r="O48" s="131">
        <v>0</v>
      </c>
      <c r="P48" s="253"/>
    </row>
    <row r="49" spans="1:17" s="43" customFormat="1" ht="28.5" customHeight="1">
      <c r="A49" s="330"/>
      <c r="B49" s="237" t="s">
        <v>173</v>
      </c>
      <c r="C49" s="234" t="s">
        <v>129</v>
      </c>
      <c r="D49" s="234" t="s">
        <v>129</v>
      </c>
      <c r="E49" s="145"/>
      <c r="F49" s="248" t="s">
        <v>130</v>
      </c>
      <c r="G49" s="146" t="s">
        <v>287</v>
      </c>
      <c r="H49" s="246" t="s">
        <v>288</v>
      </c>
      <c r="I49" s="247" t="s">
        <v>131</v>
      </c>
      <c r="J49" s="247"/>
      <c r="K49" s="247"/>
      <c r="L49" s="247"/>
      <c r="M49" s="146" t="s">
        <v>136</v>
      </c>
      <c r="N49" s="146" t="s">
        <v>137</v>
      </c>
      <c r="O49" s="146" t="s">
        <v>138</v>
      </c>
      <c r="P49" s="257" t="s">
        <v>129</v>
      </c>
      <c r="Q49" s="44"/>
    </row>
    <row r="50" spans="1:17" s="43" customFormat="1" ht="28.5" customHeight="1">
      <c r="A50" s="330"/>
      <c r="B50" s="237"/>
      <c r="C50" s="234"/>
      <c r="D50" s="234"/>
      <c r="E50" s="145"/>
      <c r="F50" s="248"/>
      <c r="G50" s="145"/>
      <c r="H50" s="246"/>
      <c r="I50" s="145" t="s">
        <v>132</v>
      </c>
      <c r="J50" s="145" t="s">
        <v>133</v>
      </c>
      <c r="K50" s="145" t="s">
        <v>134</v>
      </c>
      <c r="L50" s="145" t="s">
        <v>135</v>
      </c>
      <c r="M50" s="145"/>
      <c r="N50" s="145"/>
      <c r="O50" s="145"/>
      <c r="P50" s="257"/>
      <c r="Q50" s="44"/>
    </row>
    <row r="51" spans="1:17" s="43" customFormat="1" ht="57.75" customHeight="1">
      <c r="A51" s="330"/>
      <c r="B51" s="237"/>
      <c r="C51" s="234"/>
      <c r="D51" s="234"/>
      <c r="E51" s="145"/>
      <c r="F51" s="174">
        <v>100</v>
      </c>
      <c r="G51" s="148">
        <v>100</v>
      </c>
      <c r="H51" s="148">
        <v>100</v>
      </c>
      <c r="I51" s="148">
        <v>100</v>
      </c>
      <c r="J51" s="148">
        <v>100</v>
      </c>
      <c r="K51" s="148">
        <v>100</v>
      </c>
      <c r="L51" s="148">
        <v>100</v>
      </c>
      <c r="M51" s="148">
        <v>100</v>
      </c>
      <c r="N51" s="148">
        <v>100</v>
      </c>
      <c r="O51" s="148">
        <v>100</v>
      </c>
      <c r="P51" s="257"/>
      <c r="Q51" s="44"/>
    </row>
    <row r="52" spans="1:17" s="43" customFormat="1" ht="44.25" customHeight="1">
      <c r="A52" s="305" t="s">
        <v>57</v>
      </c>
      <c r="B52" s="312" t="s">
        <v>283</v>
      </c>
      <c r="C52" s="239" t="s">
        <v>89</v>
      </c>
      <c r="D52" s="99" t="s">
        <v>41</v>
      </c>
      <c r="E52" s="131"/>
      <c r="F52" s="173">
        <f>SUM(G52:O52)</f>
        <v>0</v>
      </c>
      <c r="G52" s="131">
        <v>0</v>
      </c>
      <c r="H52" s="250">
        <v>0</v>
      </c>
      <c r="I52" s="250"/>
      <c r="J52" s="250"/>
      <c r="K52" s="250"/>
      <c r="L52" s="250"/>
      <c r="M52" s="131">
        <v>0</v>
      </c>
      <c r="N52" s="131">
        <v>0</v>
      </c>
      <c r="O52" s="131">
        <v>0</v>
      </c>
      <c r="P52" s="253" t="s">
        <v>3</v>
      </c>
    </row>
    <row r="53" spans="1:17" s="43" customFormat="1" ht="45.75" customHeight="1">
      <c r="A53" s="305"/>
      <c r="B53" s="312"/>
      <c r="C53" s="239"/>
      <c r="D53" s="99" t="s">
        <v>1</v>
      </c>
      <c r="E53" s="131">
        <v>264347</v>
      </c>
      <c r="F53" s="173">
        <f>SUM(G53:O53)</f>
        <v>2372996</v>
      </c>
      <c r="G53" s="131">
        <v>456194</v>
      </c>
      <c r="H53" s="255">
        <f>470543+34630</f>
        <v>505173</v>
      </c>
      <c r="I53" s="255"/>
      <c r="J53" s="255"/>
      <c r="K53" s="255"/>
      <c r="L53" s="255"/>
      <c r="M53" s="131">
        <f t="shared" ref="M53:O53" si="6">531256+7196-61171-6738</f>
        <v>470543</v>
      </c>
      <c r="N53" s="131">
        <f t="shared" si="6"/>
        <v>470543</v>
      </c>
      <c r="O53" s="131">
        <f t="shared" si="6"/>
        <v>470543</v>
      </c>
      <c r="P53" s="253"/>
    </row>
    <row r="54" spans="1:17" s="43" customFormat="1" ht="63" customHeight="1">
      <c r="A54" s="305"/>
      <c r="B54" s="312"/>
      <c r="C54" s="239"/>
      <c r="D54" s="99" t="s">
        <v>49</v>
      </c>
      <c r="E54" s="131"/>
      <c r="F54" s="173">
        <f t="shared" ref="F54:F55" si="7">SUM(G54:O54)</f>
        <v>0</v>
      </c>
      <c r="G54" s="131">
        <v>0</v>
      </c>
      <c r="H54" s="250">
        <v>0</v>
      </c>
      <c r="I54" s="250"/>
      <c r="J54" s="250"/>
      <c r="K54" s="250"/>
      <c r="L54" s="250"/>
      <c r="M54" s="131">
        <v>0</v>
      </c>
      <c r="N54" s="131">
        <v>0</v>
      </c>
      <c r="O54" s="131">
        <v>0</v>
      </c>
      <c r="P54" s="253"/>
    </row>
    <row r="55" spans="1:17" s="43" customFormat="1" ht="44.25" customHeight="1">
      <c r="A55" s="305"/>
      <c r="B55" s="312"/>
      <c r="C55" s="239"/>
      <c r="D55" s="99" t="s">
        <v>90</v>
      </c>
      <c r="E55" s="131"/>
      <c r="F55" s="173">
        <f t="shared" si="7"/>
        <v>0</v>
      </c>
      <c r="G55" s="131">
        <v>0</v>
      </c>
      <c r="H55" s="250">
        <v>0</v>
      </c>
      <c r="I55" s="250"/>
      <c r="J55" s="250"/>
      <c r="K55" s="250"/>
      <c r="L55" s="250"/>
      <c r="M55" s="131">
        <v>0</v>
      </c>
      <c r="N55" s="131">
        <v>0</v>
      </c>
      <c r="O55" s="131">
        <v>0</v>
      </c>
      <c r="P55" s="253"/>
    </row>
    <row r="56" spans="1:17" s="43" customFormat="1" ht="30.75" customHeight="1">
      <c r="A56" s="305"/>
      <c r="B56" s="237" t="s">
        <v>174</v>
      </c>
      <c r="C56" s="234" t="s">
        <v>129</v>
      </c>
      <c r="D56" s="234" t="s">
        <v>129</v>
      </c>
      <c r="E56" s="145"/>
      <c r="F56" s="248" t="s">
        <v>130</v>
      </c>
      <c r="G56" s="146" t="s">
        <v>287</v>
      </c>
      <c r="H56" s="246" t="s">
        <v>288</v>
      </c>
      <c r="I56" s="247" t="s">
        <v>131</v>
      </c>
      <c r="J56" s="247"/>
      <c r="K56" s="247"/>
      <c r="L56" s="247"/>
      <c r="M56" s="146" t="s">
        <v>136</v>
      </c>
      <c r="N56" s="146" t="s">
        <v>137</v>
      </c>
      <c r="O56" s="146" t="s">
        <v>138</v>
      </c>
      <c r="P56" s="257" t="s">
        <v>129</v>
      </c>
      <c r="Q56" s="44"/>
    </row>
    <row r="57" spans="1:17" s="43" customFormat="1" ht="30.75" customHeight="1">
      <c r="A57" s="305"/>
      <c r="B57" s="237"/>
      <c r="C57" s="234"/>
      <c r="D57" s="234"/>
      <c r="E57" s="145"/>
      <c r="F57" s="248"/>
      <c r="G57" s="145"/>
      <c r="H57" s="246"/>
      <c r="I57" s="145" t="s">
        <v>132</v>
      </c>
      <c r="J57" s="145" t="s">
        <v>133</v>
      </c>
      <c r="K57" s="145" t="s">
        <v>134</v>
      </c>
      <c r="L57" s="145" t="s">
        <v>135</v>
      </c>
      <c r="M57" s="145"/>
      <c r="N57" s="145"/>
      <c r="O57" s="145"/>
      <c r="P57" s="257"/>
      <c r="Q57" s="44"/>
    </row>
    <row r="58" spans="1:17" s="43" customFormat="1" ht="36.75" customHeight="1">
      <c r="A58" s="305"/>
      <c r="B58" s="237"/>
      <c r="C58" s="234"/>
      <c r="D58" s="234"/>
      <c r="E58" s="145"/>
      <c r="F58" s="174">
        <v>100</v>
      </c>
      <c r="G58" s="147">
        <v>100</v>
      </c>
      <c r="H58" s="147">
        <v>100</v>
      </c>
      <c r="I58" s="147">
        <v>100</v>
      </c>
      <c r="J58" s="147">
        <v>100</v>
      </c>
      <c r="K58" s="147">
        <v>100</v>
      </c>
      <c r="L58" s="147">
        <v>100</v>
      </c>
      <c r="M58" s="147">
        <v>100</v>
      </c>
      <c r="N58" s="147">
        <v>100</v>
      </c>
      <c r="O58" s="147">
        <v>100</v>
      </c>
      <c r="P58" s="257"/>
      <c r="Q58" s="44"/>
    </row>
    <row r="59" spans="1:17" s="43" customFormat="1" ht="37.5" customHeight="1">
      <c r="A59" s="335" t="s">
        <v>71</v>
      </c>
      <c r="B59" s="242" t="s">
        <v>142</v>
      </c>
      <c r="C59" s="243" t="s">
        <v>89</v>
      </c>
      <c r="D59" s="99" t="s">
        <v>41</v>
      </c>
      <c r="E59" s="131"/>
      <c r="F59" s="173">
        <f>SUM(G59:O59)</f>
        <v>0</v>
      </c>
      <c r="G59" s="131">
        <v>0</v>
      </c>
      <c r="H59" s="250">
        <v>0</v>
      </c>
      <c r="I59" s="250"/>
      <c r="J59" s="250"/>
      <c r="K59" s="250"/>
      <c r="L59" s="250"/>
      <c r="M59" s="131">
        <v>0</v>
      </c>
      <c r="N59" s="131">
        <v>0</v>
      </c>
      <c r="O59" s="131">
        <v>0</v>
      </c>
      <c r="P59" s="265" t="s">
        <v>126</v>
      </c>
    </row>
    <row r="60" spans="1:17" s="43" customFormat="1" ht="38">
      <c r="A60" s="335"/>
      <c r="B60" s="242"/>
      <c r="C60" s="243"/>
      <c r="D60" s="100" t="s">
        <v>1</v>
      </c>
      <c r="E60" s="149">
        <v>125047</v>
      </c>
      <c r="F60" s="173">
        <f t="shared" ref="F60:F62" si="8">SUM(G60:O60)</f>
        <v>673810</v>
      </c>
      <c r="G60" s="149">
        <v>112914</v>
      </c>
      <c r="H60" s="266">
        <f>140224</f>
        <v>140224</v>
      </c>
      <c r="I60" s="266"/>
      <c r="J60" s="266"/>
      <c r="K60" s="266"/>
      <c r="L60" s="266"/>
      <c r="M60" s="233">
        <f>138525+1699</f>
        <v>140224</v>
      </c>
      <c r="N60" s="233">
        <f>138525+1699</f>
        <v>140224</v>
      </c>
      <c r="O60" s="233">
        <f>138525+1699</f>
        <v>140224</v>
      </c>
      <c r="P60" s="265"/>
    </row>
    <row r="61" spans="1:17" s="43" customFormat="1" ht="57">
      <c r="A61" s="335"/>
      <c r="B61" s="242"/>
      <c r="C61" s="243"/>
      <c r="D61" s="100" t="s">
        <v>49</v>
      </c>
      <c r="E61" s="149"/>
      <c r="F61" s="173">
        <f t="shared" si="8"/>
        <v>0</v>
      </c>
      <c r="G61" s="149">
        <v>0</v>
      </c>
      <c r="H61" s="245">
        <v>0</v>
      </c>
      <c r="I61" s="245"/>
      <c r="J61" s="245"/>
      <c r="K61" s="245"/>
      <c r="L61" s="245"/>
      <c r="M61" s="149">
        <v>0</v>
      </c>
      <c r="N61" s="149">
        <v>0</v>
      </c>
      <c r="O61" s="149">
        <v>0</v>
      </c>
      <c r="P61" s="265"/>
    </row>
    <row r="62" spans="1:17" s="43" customFormat="1" ht="46.5" customHeight="1">
      <c r="A62" s="335"/>
      <c r="B62" s="242"/>
      <c r="C62" s="243"/>
      <c r="D62" s="100" t="s">
        <v>90</v>
      </c>
      <c r="E62" s="149"/>
      <c r="F62" s="173">
        <f t="shared" si="8"/>
        <v>0</v>
      </c>
      <c r="G62" s="149">
        <v>0</v>
      </c>
      <c r="H62" s="245">
        <v>0</v>
      </c>
      <c r="I62" s="245"/>
      <c r="J62" s="245"/>
      <c r="K62" s="245"/>
      <c r="L62" s="245"/>
      <c r="M62" s="149">
        <v>0</v>
      </c>
      <c r="N62" s="149">
        <v>0</v>
      </c>
      <c r="O62" s="149">
        <v>0</v>
      </c>
      <c r="P62" s="265"/>
    </row>
    <row r="63" spans="1:17" s="43" customFormat="1" ht="27" customHeight="1">
      <c r="A63" s="335"/>
      <c r="B63" s="237" t="s">
        <v>175</v>
      </c>
      <c r="C63" s="234" t="s">
        <v>129</v>
      </c>
      <c r="D63" s="234" t="s">
        <v>129</v>
      </c>
      <c r="E63" s="145"/>
      <c r="F63" s="248" t="s">
        <v>130</v>
      </c>
      <c r="G63" s="146" t="s">
        <v>287</v>
      </c>
      <c r="H63" s="246" t="s">
        <v>288</v>
      </c>
      <c r="I63" s="247" t="s">
        <v>131</v>
      </c>
      <c r="J63" s="247"/>
      <c r="K63" s="247"/>
      <c r="L63" s="247"/>
      <c r="M63" s="146" t="s">
        <v>136</v>
      </c>
      <c r="N63" s="146" t="s">
        <v>137</v>
      </c>
      <c r="O63" s="146" t="s">
        <v>138</v>
      </c>
      <c r="P63" s="257" t="s">
        <v>129</v>
      </c>
      <c r="Q63" s="44"/>
    </row>
    <row r="64" spans="1:17" s="43" customFormat="1" ht="27" customHeight="1">
      <c r="A64" s="335"/>
      <c r="B64" s="237"/>
      <c r="C64" s="234"/>
      <c r="D64" s="234"/>
      <c r="E64" s="145"/>
      <c r="F64" s="248"/>
      <c r="G64" s="145"/>
      <c r="H64" s="246"/>
      <c r="I64" s="145" t="s">
        <v>132</v>
      </c>
      <c r="J64" s="145" t="s">
        <v>133</v>
      </c>
      <c r="K64" s="145" t="s">
        <v>134</v>
      </c>
      <c r="L64" s="145" t="s">
        <v>135</v>
      </c>
      <c r="M64" s="145"/>
      <c r="N64" s="145"/>
      <c r="O64" s="145"/>
      <c r="P64" s="257"/>
      <c r="Q64" s="44"/>
    </row>
    <row r="65" spans="1:17" s="43" customFormat="1" ht="25.5" customHeight="1">
      <c r="A65" s="335"/>
      <c r="B65" s="237"/>
      <c r="C65" s="234"/>
      <c r="D65" s="234"/>
      <c r="E65" s="145"/>
      <c r="F65" s="174">
        <v>100</v>
      </c>
      <c r="G65" s="147">
        <v>100</v>
      </c>
      <c r="H65" s="147">
        <v>100</v>
      </c>
      <c r="I65" s="147">
        <v>100</v>
      </c>
      <c r="J65" s="147">
        <v>100</v>
      </c>
      <c r="K65" s="147">
        <v>100</v>
      </c>
      <c r="L65" s="147">
        <v>100</v>
      </c>
      <c r="M65" s="147">
        <v>100</v>
      </c>
      <c r="N65" s="147">
        <v>100</v>
      </c>
      <c r="O65" s="147">
        <v>100</v>
      </c>
      <c r="P65" s="257"/>
      <c r="Q65" s="44"/>
    </row>
    <row r="66" spans="1:17" s="43" customFormat="1" ht="39" customHeight="1">
      <c r="A66" s="305" t="s">
        <v>72</v>
      </c>
      <c r="B66" s="312" t="s">
        <v>258</v>
      </c>
      <c r="C66" s="239" t="s">
        <v>254</v>
      </c>
      <c r="D66" s="99" t="s">
        <v>41</v>
      </c>
      <c r="E66" s="131"/>
      <c r="F66" s="173">
        <f>SUM(G66:O66)</f>
        <v>0</v>
      </c>
      <c r="G66" s="131">
        <v>0</v>
      </c>
      <c r="H66" s="250">
        <v>0</v>
      </c>
      <c r="I66" s="250"/>
      <c r="J66" s="250"/>
      <c r="K66" s="250"/>
      <c r="L66" s="250"/>
      <c r="M66" s="131">
        <v>0</v>
      </c>
      <c r="N66" s="131">
        <v>0</v>
      </c>
      <c r="O66" s="131">
        <v>0</v>
      </c>
      <c r="P66" s="253" t="s">
        <v>3</v>
      </c>
    </row>
    <row r="67" spans="1:17" s="43" customFormat="1" ht="38">
      <c r="A67" s="305"/>
      <c r="B67" s="312"/>
      <c r="C67" s="239"/>
      <c r="D67" s="99" t="s">
        <v>1</v>
      </c>
      <c r="E67" s="131">
        <v>264347</v>
      </c>
      <c r="F67" s="173">
        <f t="shared" ref="F67:F69" si="9">SUM(G67:O67)</f>
        <v>32600</v>
      </c>
      <c r="G67" s="131">
        <v>0</v>
      </c>
      <c r="H67" s="250">
        <v>8150</v>
      </c>
      <c r="I67" s="250"/>
      <c r="J67" s="250"/>
      <c r="K67" s="250"/>
      <c r="L67" s="250"/>
      <c r="M67" s="131">
        <v>8150</v>
      </c>
      <c r="N67" s="131">
        <v>8150</v>
      </c>
      <c r="O67" s="131">
        <v>8150</v>
      </c>
      <c r="P67" s="253"/>
    </row>
    <row r="68" spans="1:17" s="43" customFormat="1" ht="57">
      <c r="A68" s="305"/>
      <c r="B68" s="312"/>
      <c r="C68" s="239"/>
      <c r="D68" s="99" t="s">
        <v>49</v>
      </c>
      <c r="E68" s="131"/>
      <c r="F68" s="173">
        <f t="shared" si="9"/>
        <v>0</v>
      </c>
      <c r="G68" s="131">
        <v>0</v>
      </c>
      <c r="H68" s="250">
        <v>0</v>
      </c>
      <c r="I68" s="250"/>
      <c r="J68" s="250"/>
      <c r="K68" s="250"/>
      <c r="L68" s="250"/>
      <c r="M68" s="131">
        <v>0</v>
      </c>
      <c r="N68" s="131">
        <v>0</v>
      </c>
      <c r="O68" s="131">
        <v>0</v>
      </c>
      <c r="P68" s="253"/>
    </row>
    <row r="69" spans="1:17" s="43" customFormat="1" ht="40.5" customHeight="1">
      <c r="A69" s="305"/>
      <c r="B69" s="312"/>
      <c r="C69" s="239"/>
      <c r="D69" s="99" t="s">
        <v>90</v>
      </c>
      <c r="E69" s="131"/>
      <c r="F69" s="173">
        <f t="shared" si="9"/>
        <v>0</v>
      </c>
      <c r="G69" s="131">
        <v>0</v>
      </c>
      <c r="H69" s="250">
        <v>0</v>
      </c>
      <c r="I69" s="250"/>
      <c r="J69" s="250"/>
      <c r="K69" s="250"/>
      <c r="L69" s="250"/>
      <c r="M69" s="131">
        <v>0</v>
      </c>
      <c r="N69" s="131">
        <v>0</v>
      </c>
      <c r="O69" s="131">
        <v>0</v>
      </c>
      <c r="P69" s="253"/>
    </row>
    <row r="70" spans="1:17" s="43" customFormat="1" ht="30" customHeight="1">
      <c r="A70" s="305"/>
      <c r="B70" s="237" t="s">
        <v>262</v>
      </c>
      <c r="C70" s="234" t="s">
        <v>129</v>
      </c>
      <c r="D70" s="234" t="s">
        <v>129</v>
      </c>
      <c r="E70" s="145"/>
      <c r="F70" s="248" t="s">
        <v>130</v>
      </c>
      <c r="G70" s="146" t="s">
        <v>287</v>
      </c>
      <c r="H70" s="246" t="s">
        <v>288</v>
      </c>
      <c r="I70" s="247" t="s">
        <v>131</v>
      </c>
      <c r="J70" s="247"/>
      <c r="K70" s="247"/>
      <c r="L70" s="247"/>
      <c r="M70" s="146" t="s">
        <v>136</v>
      </c>
      <c r="N70" s="146" t="s">
        <v>137</v>
      </c>
      <c r="O70" s="146" t="s">
        <v>138</v>
      </c>
      <c r="P70" s="257" t="s">
        <v>129</v>
      </c>
      <c r="Q70" s="44"/>
    </row>
    <row r="71" spans="1:17" s="43" customFormat="1" ht="30.75" customHeight="1">
      <c r="A71" s="305"/>
      <c r="B71" s="237"/>
      <c r="C71" s="234"/>
      <c r="D71" s="234"/>
      <c r="E71" s="145"/>
      <c r="F71" s="248"/>
      <c r="G71" s="145"/>
      <c r="H71" s="246"/>
      <c r="I71" s="145" t="s">
        <v>132</v>
      </c>
      <c r="J71" s="145" t="s">
        <v>133</v>
      </c>
      <c r="K71" s="145" t="s">
        <v>134</v>
      </c>
      <c r="L71" s="145" t="s">
        <v>135</v>
      </c>
      <c r="M71" s="145"/>
      <c r="N71" s="145"/>
      <c r="O71" s="145"/>
      <c r="P71" s="257"/>
      <c r="Q71" s="44"/>
    </row>
    <row r="72" spans="1:17" s="43" customFormat="1" ht="31.5" customHeight="1">
      <c r="A72" s="305"/>
      <c r="B72" s="237"/>
      <c r="C72" s="234"/>
      <c r="D72" s="234"/>
      <c r="E72" s="145"/>
      <c r="F72" s="174">
        <v>100</v>
      </c>
      <c r="G72" s="147">
        <v>0</v>
      </c>
      <c r="H72" s="147">
        <v>100</v>
      </c>
      <c r="I72" s="147">
        <v>100</v>
      </c>
      <c r="J72" s="147">
        <v>100</v>
      </c>
      <c r="K72" s="147">
        <v>100</v>
      </c>
      <c r="L72" s="147">
        <v>100</v>
      </c>
      <c r="M72" s="147">
        <v>100</v>
      </c>
      <c r="N72" s="147">
        <v>100</v>
      </c>
      <c r="O72" s="147">
        <v>100</v>
      </c>
      <c r="P72" s="257"/>
      <c r="Q72" s="44"/>
    </row>
    <row r="73" spans="1:17" s="43" customFormat="1" ht="38.25" customHeight="1">
      <c r="A73" s="311" t="s">
        <v>73</v>
      </c>
      <c r="B73" s="342" t="s">
        <v>146</v>
      </c>
      <c r="C73" s="310" t="s">
        <v>89</v>
      </c>
      <c r="D73" s="100" t="s">
        <v>41</v>
      </c>
      <c r="E73" s="149"/>
      <c r="F73" s="175">
        <f>SUM(G73:O73)</f>
        <v>0</v>
      </c>
      <c r="G73" s="149">
        <v>0</v>
      </c>
      <c r="H73" s="245">
        <v>0</v>
      </c>
      <c r="I73" s="245"/>
      <c r="J73" s="245"/>
      <c r="K73" s="245"/>
      <c r="L73" s="245"/>
      <c r="M73" s="149">
        <v>0</v>
      </c>
      <c r="N73" s="149">
        <v>0</v>
      </c>
      <c r="O73" s="149">
        <v>0</v>
      </c>
      <c r="P73" s="308" t="s">
        <v>62</v>
      </c>
    </row>
    <row r="74" spans="1:17" s="43" customFormat="1" ht="37.5" customHeight="1">
      <c r="A74" s="311"/>
      <c r="B74" s="342"/>
      <c r="C74" s="310"/>
      <c r="D74" s="100" t="s">
        <v>1</v>
      </c>
      <c r="E74" s="149">
        <f>943864.80836+E75</f>
        <v>1128859.5313599999</v>
      </c>
      <c r="F74" s="175">
        <f t="shared" ref="F74:F78" si="10">SUM(G74:O74)</f>
        <v>0</v>
      </c>
      <c r="G74" s="149">
        <v>0</v>
      </c>
      <c r="H74" s="245">
        <v>0</v>
      </c>
      <c r="I74" s="245"/>
      <c r="J74" s="245"/>
      <c r="K74" s="245"/>
      <c r="L74" s="245"/>
      <c r="M74" s="149">
        <v>0</v>
      </c>
      <c r="N74" s="149">
        <v>0</v>
      </c>
      <c r="O74" s="149">
        <v>0</v>
      </c>
      <c r="P74" s="308"/>
    </row>
    <row r="75" spans="1:17" s="43" customFormat="1" ht="58.5" customHeight="1">
      <c r="A75" s="311"/>
      <c r="B75" s="342"/>
      <c r="C75" s="310"/>
      <c r="D75" s="139" t="s">
        <v>48</v>
      </c>
      <c r="E75" s="149">
        <v>184994.723</v>
      </c>
      <c r="F75" s="175">
        <f t="shared" si="10"/>
        <v>132185.12875999999</v>
      </c>
      <c r="G75" s="149">
        <v>25761.32876</v>
      </c>
      <c r="H75" s="266">
        <f>26605.95</f>
        <v>26605.95</v>
      </c>
      <c r="I75" s="266"/>
      <c r="J75" s="266"/>
      <c r="K75" s="266"/>
      <c r="L75" s="266"/>
      <c r="M75" s="233">
        <f>24950.527+63.482+158.025+1433.916</f>
        <v>26605.95</v>
      </c>
      <c r="N75" s="233">
        <f>24950.527+63.482+158.025+1433.916</f>
        <v>26605.95</v>
      </c>
      <c r="O75" s="233">
        <f>24950.527+63.482+158.025+1433.916</f>
        <v>26605.95</v>
      </c>
      <c r="P75" s="308"/>
    </row>
    <row r="76" spans="1:17" s="43" customFormat="1" ht="76">
      <c r="A76" s="311"/>
      <c r="B76" s="342"/>
      <c r="C76" s="310"/>
      <c r="D76" s="139" t="s">
        <v>61</v>
      </c>
      <c r="E76" s="149">
        <v>56075.205379999999</v>
      </c>
      <c r="F76" s="175">
        <f t="shared" si="10"/>
        <v>2958.0839999999998</v>
      </c>
      <c r="G76" s="150">
        <v>526.08399999999995</v>
      </c>
      <c r="H76" s="299">
        <v>608</v>
      </c>
      <c r="I76" s="299"/>
      <c r="J76" s="299"/>
      <c r="K76" s="299"/>
      <c r="L76" s="299"/>
      <c r="M76" s="150">
        <f>526.084+81.916</f>
        <v>608</v>
      </c>
      <c r="N76" s="150">
        <f>526.084+81.916</f>
        <v>608</v>
      </c>
      <c r="O76" s="150">
        <f>526.084+81.916</f>
        <v>608</v>
      </c>
      <c r="P76" s="308"/>
    </row>
    <row r="77" spans="1:17" s="43" customFormat="1" ht="19">
      <c r="A77" s="311"/>
      <c r="B77" s="342"/>
      <c r="C77" s="310"/>
      <c r="D77" s="139" t="s">
        <v>90</v>
      </c>
      <c r="E77" s="149"/>
      <c r="F77" s="175">
        <f t="shared" si="10"/>
        <v>147.71200000000002</v>
      </c>
      <c r="G77" s="149">
        <f t="shared" ref="G77" si="11">G78</f>
        <v>35.840000000000003</v>
      </c>
      <c r="H77" s="245">
        <f>H78</f>
        <v>27.968</v>
      </c>
      <c r="I77" s="245"/>
      <c r="J77" s="245"/>
      <c r="K77" s="245"/>
      <c r="L77" s="245"/>
      <c r="M77" s="149">
        <f t="shared" ref="M77:O77" si="12">M78</f>
        <v>27.968</v>
      </c>
      <c r="N77" s="149">
        <f t="shared" si="12"/>
        <v>27.968</v>
      </c>
      <c r="O77" s="149">
        <f t="shared" si="12"/>
        <v>27.968</v>
      </c>
      <c r="P77" s="308"/>
    </row>
    <row r="78" spans="1:17" s="43" customFormat="1" ht="76">
      <c r="A78" s="311"/>
      <c r="B78" s="342"/>
      <c r="C78" s="310"/>
      <c r="D78" s="139" t="s">
        <v>92</v>
      </c>
      <c r="E78" s="149">
        <v>219815.44200000001</v>
      </c>
      <c r="F78" s="175">
        <f t="shared" si="10"/>
        <v>147.71200000000002</v>
      </c>
      <c r="G78" s="150">
        <v>35.840000000000003</v>
      </c>
      <c r="H78" s="299">
        <v>27.968</v>
      </c>
      <c r="I78" s="299"/>
      <c r="J78" s="299"/>
      <c r="K78" s="299"/>
      <c r="L78" s="299"/>
      <c r="M78" s="150">
        <v>27.968</v>
      </c>
      <c r="N78" s="150">
        <v>27.968</v>
      </c>
      <c r="O78" s="150">
        <v>27.968</v>
      </c>
      <c r="P78" s="308"/>
    </row>
    <row r="79" spans="1:17" s="43" customFormat="1" ht="27" customHeight="1">
      <c r="A79" s="311"/>
      <c r="B79" s="237" t="s">
        <v>182</v>
      </c>
      <c r="C79" s="234" t="s">
        <v>129</v>
      </c>
      <c r="D79" s="234" t="s">
        <v>129</v>
      </c>
      <c r="E79" s="145"/>
      <c r="F79" s="248" t="s">
        <v>130</v>
      </c>
      <c r="G79" s="146" t="s">
        <v>287</v>
      </c>
      <c r="H79" s="246" t="s">
        <v>288</v>
      </c>
      <c r="I79" s="247" t="s">
        <v>131</v>
      </c>
      <c r="J79" s="247"/>
      <c r="K79" s="247"/>
      <c r="L79" s="247"/>
      <c r="M79" s="146" t="s">
        <v>136</v>
      </c>
      <c r="N79" s="146" t="s">
        <v>137</v>
      </c>
      <c r="O79" s="146" t="s">
        <v>138</v>
      </c>
      <c r="P79" s="257" t="s">
        <v>129</v>
      </c>
      <c r="Q79" s="44"/>
    </row>
    <row r="80" spans="1:17" s="43" customFormat="1" ht="22.5" customHeight="1">
      <c r="A80" s="311"/>
      <c r="B80" s="237"/>
      <c r="C80" s="234"/>
      <c r="D80" s="234"/>
      <c r="E80" s="145"/>
      <c r="F80" s="248"/>
      <c r="G80" s="145"/>
      <c r="H80" s="246"/>
      <c r="I80" s="145" t="s">
        <v>132</v>
      </c>
      <c r="J80" s="145" t="s">
        <v>133</v>
      </c>
      <c r="K80" s="145" t="s">
        <v>134</v>
      </c>
      <c r="L80" s="145" t="s">
        <v>135</v>
      </c>
      <c r="M80" s="145"/>
      <c r="N80" s="145"/>
      <c r="O80" s="145"/>
      <c r="P80" s="257"/>
      <c r="Q80" s="44"/>
    </row>
    <row r="81" spans="1:17" s="43" customFormat="1" ht="27" customHeight="1">
      <c r="A81" s="311"/>
      <c r="B81" s="237"/>
      <c r="C81" s="234"/>
      <c r="D81" s="234"/>
      <c r="E81" s="145"/>
      <c r="F81" s="174">
        <v>1</v>
      </c>
      <c r="G81" s="147">
        <v>1</v>
      </c>
      <c r="H81" s="147">
        <v>1</v>
      </c>
      <c r="I81" s="147">
        <v>1</v>
      </c>
      <c r="J81" s="147">
        <v>1</v>
      </c>
      <c r="K81" s="147">
        <v>1</v>
      </c>
      <c r="L81" s="147">
        <v>1</v>
      </c>
      <c r="M81" s="147">
        <v>1</v>
      </c>
      <c r="N81" s="147">
        <v>1</v>
      </c>
      <c r="O81" s="147">
        <v>1</v>
      </c>
      <c r="P81" s="257"/>
      <c r="Q81" s="44"/>
    </row>
    <row r="82" spans="1:17" s="43" customFormat="1" ht="39" customHeight="1">
      <c r="A82" s="335" t="s">
        <v>74</v>
      </c>
      <c r="B82" s="242" t="s">
        <v>147</v>
      </c>
      <c r="C82" s="243" t="s">
        <v>89</v>
      </c>
      <c r="D82" s="100" t="s">
        <v>41</v>
      </c>
      <c r="E82" s="149"/>
      <c r="F82" s="175">
        <f>SUM(G82:O82)</f>
        <v>0</v>
      </c>
      <c r="G82" s="149">
        <v>0</v>
      </c>
      <c r="H82" s="245">
        <v>0</v>
      </c>
      <c r="I82" s="245"/>
      <c r="J82" s="245"/>
      <c r="K82" s="245"/>
      <c r="L82" s="245"/>
      <c r="M82" s="149">
        <v>0</v>
      </c>
      <c r="N82" s="149">
        <v>0</v>
      </c>
      <c r="O82" s="149">
        <v>0</v>
      </c>
      <c r="P82" s="265" t="s">
        <v>3</v>
      </c>
    </row>
    <row r="83" spans="1:17" s="43" customFormat="1" ht="38">
      <c r="A83" s="335"/>
      <c r="B83" s="242"/>
      <c r="C83" s="243"/>
      <c r="D83" s="100" t="s">
        <v>1</v>
      </c>
      <c r="E83" s="149"/>
      <c r="F83" s="175">
        <f>SUM(H83:O83)</f>
        <v>0</v>
      </c>
      <c r="G83" s="149">
        <v>0</v>
      </c>
      <c r="H83" s="245">
        <v>0</v>
      </c>
      <c r="I83" s="245"/>
      <c r="J83" s="245"/>
      <c r="K83" s="245"/>
      <c r="L83" s="245"/>
      <c r="M83" s="149">
        <v>0</v>
      </c>
      <c r="N83" s="149">
        <v>0</v>
      </c>
      <c r="O83" s="149">
        <v>0</v>
      </c>
      <c r="P83" s="265"/>
    </row>
    <row r="84" spans="1:17" s="43" customFormat="1" ht="57">
      <c r="A84" s="335"/>
      <c r="B84" s="242"/>
      <c r="C84" s="243"/>
      <c r="D84" s="100" t="s">
        <v>48</v>
      </c>
      <c r="E84" s="149">
        <v>0</v>
      </c>
      <c r="F84" s="175">
        <f>SUM(H84:O84)</f>
        <v>0</v>
      </c>
      <c r="G84" s="149">
        <v>0</v>
      </c>
      <c r="H84" s="245">
        <v>0</v>
      </c>
      <c r="I84" s="245"/>
      <c r="J84" s="245"/>
      <c r="K84" s="245"/>
      <c r="L84" s="245"/>
      <c r="M84" s="149">
        <f t="shared" ref="M84:O85" si="13">50000-50000</f>
        <v>0</v>
      </c>
      <c r="N84" s="149">
        <f t="shared" si="13"/>
        <v>0</v>
      </c>
      <c r="O84" s="149">
        <f t="shared" si="13"/>
        <v>0</v>
      </c>
      <c r="P84" s="265"/>
    </row>
    <row r="85" spans="1:17" s="43" customFormat="1" ht="19">
      <c r="A85" s="335"/>
      <c r="B85" s="242"/>
      <c r="C85" s="243"/>
      <c r="D85" s="100" t="s">
        <v>90</v>
      </c>
      <c r="E85" s="149"/>
      <c r="F85" s="175">
        <f>SUM(H85:O85)</f>
        <v>0</v>
      </c>
      <c r="G85" s="149">
        <v>0</v>
      </c>
      <c r="H85" s="245">
        <v>0</v>
      </c>
      <c r="I85" s="245"/>
      <c r="J85" s="245"/>
      <c r="K85" s="245"/>
      <c r="L85" s="245"/>
      <c r="M85" s="149">
        <f t="shared" si="13"/>
        <v>0</v>
      </c>
      <c r="N85" s="149">
        <f t="shared" si="13"/>
        <v>0</v>
      </c>
      <c r="O85" s="149">
        <f t="shared" si="13"/>
        <v>0</v>
      </c>
      <c r="P85" s="265"/>
    </row>
    <row r="86" spans="1:17" s="43" customFormat="1" ht="27.75" customHeight="1">
      <c r="A86" s="335"/>
      <c r="B86" s="237" t="s">
        <v>183</v>
      </c>
      <c r="C86" s="234" t="s">
        <v>129</v>
      </c>
      <c r="D86" s="234" t="s">
        <v>129</v>
      </c>
      <c r="E86" s="145"/>
      <c r="F86" s="248" t="s">
        <v>130</v>
      </c>
      <c r="G86" s="146" t="s">
        <v>287</v>
      </c>
      <c r="H86" s="246" t="s">
        <v>288</v>
      </c>
      <c r="I86" s="247" t="s">
        <v>131</v>
      </c>
      <c r="J86" s="247"/>
      <c r="K86" s="247"/>
      <c r="L86" s="247"/>
      <c r="M86" s="146" t="s">
        <v>136</v>
      </c>
      <c r="N86" s="146" t="s">
        <v>137</v>
      </c>
      <c r="O86" s="146" t="s">
        <v>138</v>
      </c>
      <c r="P86" s="257" t="s">
        <v>129</v>
      </c>
      <c r="Q86" s="44"/>
    </row>
    <row r="87" spans="1:17" s="43" customFormat="1" ht="21" customHeight="1">
      <c r="A87" s="335"/>
      <c r="B87" s="237"/>
      <c r="C87" s="234"/>
      <c r="D87" s="234"/>
      <c r="E87" s="145"/>
      <c r="F87" s="248"/>
      <c r="G87" s="145"/>
      <c r="H87" s="246"/>
      <c r="I87" s="145" t="s">
        <v>132</v>
      </c>
      <c r="J87" s="145" t="s">
        <v>133</v>
      </c>
      <c r="K87" s="145" t="s">
        <v>134</v>
      </c>
      <c r="L87" s="145" t="s">
        <v>135</v>
      </c>
      <c r="M87" s="145"/>
      <c r="N87" s="145"/>
      <c r="O87" s="145"/>
      <c r="P87" s="257"/>
      <c r="Q87" s="44"/>
    </row>
    <row r="88" spans="1:17" s="43" customFormat="1" ht="31.5" customHeight="1">
      <c r="A88" s="335"/>
      <c r="B88" s="237"/>
      <c r="C88" s="234"/>
      <c r="D88" s="234"/>
      <c r="E88" s="145"/>
      <c r="F88" s="174">
        <v>0</v>
      </c>
      <c r="G88" s="147">
        <v>0</v>
      </c>
      <c r="H88" s="147">
        <v>0</v>
      </c>
      <c r="I88" s="147">
        <v>0</v>
      </c>
      <c r="J88" s="147">
        <v>0</v>
      </c>
      <c r="K88" s="147">
        <v>0</v>
      </c>
      <c r="L88" s="147">
        <v>0</v>
      </c>
      <c r="M88" s="147">
        <v>0</v>
      </c>
      <c r="N88" s="147">
        <v>0</v>
      </c>
      <c r="O88" s="147">
        <v>0</v>
      </c>
      <c r="P88" s="257"/>
      <c r="Q88" s="44"/>
    </row>
    <row r="89" spans="1:17" s="43" customFormat="1" ht="33.75" customHeight="1">
      <c r="A89" s="335" t="s">
        <v>75</v>
      </c>
      <c r="B89" s="242" t="s">
        <v>148</v>
      </c>
      <c r="C89" s="243" t="s">
        <v>89</v>
      </c>
      <c r="D89" s="99" t="s">
        <v>41</v>
      </c>
      <c r="E89" s="149"/>
      <c r="F89" s="175">
        <f>SUM(G89:O89)</f>
        <v>0</v>
      </c>
      <c r="G89" s="149">
        <v>0</v>
      </c>
      <c r="H89" s="245">
        <v>0</v>
      </c>
      <c r="I89" s="245"/>
      <c r="J89" s="245"/>
      <c r="K89" s="245"/>
      <c r="L89" s="245"/>
      <c r="M89" s="149">
        <v>0</v>
      </c>
      <c r="N89" s="149">
        <v>0</v>
      </c>
      <c r="O89" s="149">
        <v>0</v>
      </c>
      <c r="P89" s="265" t="s">
        <v>3</v>
      </c>
    </row>
    <row r="90" spans="1:17" s="43" customFormat="1" ht="38">
      <c r="A90" s="335"/>
      <c r="B90" s="242"/>
      <c r="C90" s="243"/>
      <c r="D90" s="99" t="s">
        <v>1</v>
      </c>
      <c r="E90" s="149"/>
      <c r="F90" s="175">
        <f t="shared" ref="F90:F92" si="14">SUM(G90:O90)</f>
        <v>0</v>
      </c>
      <c r="G90" s="149">
        <v>0</v>
      </c>
      <c r="H90" s="245">
        <v>0</v>
      </c>
      <c r="I90" s="245"/>
      <c r="J90" s="245"/>
      <c r="K90" s="245"/>
      <c r="L90" s="245"/>
      <c r="M90" s="149">
        <v>0</v>
      </c>
      <c r="N90" s="149">
        <v>0</v>
      </c>
      <c r="O90" s="149">
        <v>0</v>
      </c>
      <c r="P90" s="265"/>
    </row>
    <row r="91" spans="1:17" s="43" customFormat="1" ht="57">
      <c r="A91" s="335"/>
      <c r="B91" s="242"/>
      <c r="C91" s="243"/>
      <c r="D91" s="100" t="s">
        <v>48</v>
      </c>
      <c r="E91" s="149">
        <v>0</v>
      </c>
      <c r="F91" s="175">
        <f t="shared" si="14"/>
        <v>16062.016</v>
      </c>
      <c r="G91" s="149">
        <v>2802.8159999999998</v>
      </c>
      <c r="H91" s="245">
        <v>3314.8</v>
      </c>
      <c r="I91" s="245"/>
      <c r="J91" s="245"/>
      <c r="K91" s="245"/>
      <c r="L91" s="245"/>
      <c r="M91" s="149">
        <f t="shared" ref="M91:O91" si="15">2803.2-153.6+0.4+664.8</f>
        <v>3314.8</v>
      </c>
      <c r="N91" s="149">
        <f t="shared" si="15"/>
        <v>3314.8</v>
      </c>
      <c r="O91" s="149">
        <f t="shared" si="15"/>
        <v>3314.8</v>
      </c>
      <c r="P91" s="265"/>
    </row>
    <row r="92" spans="1:17" s="43" customFormat="1" ht="19">
      <c r="A92" s="335"/>
      <c r="B92" s="242"/>
      <c r="C92" s="243"/>
      <c r="D92" s="100" t="s">
        <v>90</v>
      </c>
      <c r="E92" s="149"/>
      <c r="F92" s="175">
        <f t="shared" si="14"/>
        <v>0</v>
      </c>
      <c r="G92" s="149">
        <v>0</v>
      </c>
      <c r="H92" s="245">
        <v>0</v>
      </c>
      <c r="I92" s="245"/>
      <c r="J92" s="245"/>
      <c r="K92" s="245"/>
      <c r="L92" s="245"/>
      <c r="M92" s="149">
        <v>0</v>
      </c>
      <c r="N92" s="149">
        <v>0</v>
      </c>
      <c r="O92" s="149">
        <v>0</v>
      </c>
      <c r="P92" s="265"/>
    </row>
    <row r="93" spans="1:17" s="43" customFormat="1" ht="27" customHeight="1">
      <c r="A93" s="335"/>
      <c r="B93" s="237" t="s">
        <v>184</v>
      </c>
      <c r="C93" s="234" t="s">
        <v>129</v>
      </c>
      <c r="D93" s="234" t="s">
        <v>129</v>
      </c>
      <c r="E93" s="145"/>
      <c r="F93" s="248" t="s">
        <v>130</v>
      </c>
      <c r="G93" s="146" t="s">
        <v>287</v>
      </c>
      <c r="H93" s="246" t="s">
        <v>288</v>
      </c>
      <c r="I93" s="247" t="s">
        <v>131</v>
      </c>
      <c r="J93" s="247"/>
      <c r="K93" s="247"/>
      <c r="L93" s="247"/>
      <c r="M93" s="146" t="s">
        <v>136</v>
      </c>
      <c r="N93" s="146" t="s">
        <v>137</v>
      </c>
      <c r="O93" s="146" t="s">
        <v>138</v>
      </c>
      <c r="P93" s="257" t="s">
        <v>129</v>
      </c>
      <c r="Q93" s="44"/>
    </row>
    <row r="94" spans="1:17" s="43" customFormat="1" ht="22.5" customHeight="1">
      <c r="A94" s="335"/>
      <c r="B94" s="237"/>
      <c r="C94" s="234"/>
      <c r="D94" s="234"/>
      <c r="E94" s="145"/>
      <c r="F94" s="248"/>
      <c r="G94" s="145"/>
      <c r="H94" s="246"/>
      <c r="I94" s="145" t="s">
        <v>132</v>
      </c>
      <c r="J94" s="145" t="s">
        <v>133</v>
      </c>
      <c r="K94" s="145" t="s">
        <v>134</v>
      </c>
      <c r="L94" s="145" t="s">
        <v>135</v>
      </c>
      <c r="M94" s="145"/>
      <c r="N94" s="145"/>
      <c r="O94" s="145"/>
      <c r="P94" s="257"/>
      <c r="Q94" s="44"/>
    </row>
    <row r="95" spans="1:17" s="43" customFormat="1" ht="26.25" customHeight="1">
      <c r="A95" s="335"/>
      <c r="B95" s="237"/>
      <c r="C95" s="234"/>
      <c r="D95" s="234"/>
      <c r="E95" s="145"/>
      <c r="F95" s="174">
        <v>100</v>
      </c>
      <c r="G95" s="147">
        <v>100</v>
      </c>
      <c r="H95" s="147">
        <v>100</v>
      </c>
      <c r="I95" s="147">
        <v>100</v>
      </c>
      <c r="J95" s="147">
        <v>100</v>
      </c>
      <c r="K95" s="147">
        <v>100</v>
      </c>
      <c r="L95" s="147">
        <v>100</v>
      </c>
      <c r="M95" s="147">
        <v>100</v>
      </c>
      <c r="N95" s="147">
        <v>100</v>
      </c>
      <c r="O95" s="147">
        <v>100</v>
      </c>
      <c r="P95" s="257"/>
      <c r="Q95" s="44"/>
    </row>
    <row r="96" spans="1:17" s="43" customFormat="1" ht="33.75" customHeight="1">
      <c r="A96" s="335" t="s">
        <v>80</v>
      </c>
      <c r="B96" s="242" t="s">
        <v>149</v>
      </c>
      <c r="C96" s="243" t="s">
        <v>89</v>
      </c>
      <c r="D96" s="100" t="s">
        <v>41</v>
      </c>
      <c r="E96" s="149"/>
      <c r="F96" s="175">
        <f>SUM(G96:O96)</f>
        <v>0</v>
      </c>
      <c r="G96" s="149">
        <v>0</v>
      </c>
      <c r="H96" s="245">
        <v>0</v>
      </c>
      <c r="I96" s="245"/>
      <c r="J96" s="245"/>
      <c r="K96" s="245"/>
      <c r="L96" s="245"/>
      <c r="M96" s="149">
        <v>0</v>
      </c>
      <c r="N96" s="149">
        <v>0</v>
      </c>
      <c r="O96" s="149">
        <v>0</v>
      </c>
      <c r="P96" s="265" t="s">
        <v>3</v>
      </c>
    </row>
    <row r="97" spans="1:17" s="43" customFormat="1" ht="38">
      <c r="A97" s="335"/>
      <c r="B97" s="242"/>
      <c r="C97" s="243"/>
      <c r="D97" s="100" t="s">
        <v>1</v>
      </c>
      <c r="E97" s="149"/>
      <c r="F97" s="175">
        <f t="shared" ref="F97:F99" si="16">SUM(G97:O97)</f>
        <v>0</v>
      </c>
      <c r="G97" s="149">
        <v>0</v>
      </c>
      <c r="H97" s="245">
        <v>0</v>
      </c>
      <c r="I97" s="245"/>
      <c r="J97" s="245"/>
      <c r="K97" s="245"/>
      <c r="L97" s="245"/>
      <c r="M97" s="149">
        <v>0</v>
      </c>
      <c r="N97" s="149">
        <v>0</v>
      </c>
      <c r="O97" s="149">
        <v>0</v>
      </c>
      <c r="P97" s="265"/>
    </row>
    <row r="98" spans="1:17" s="43" customFormat="1" ht="57">
      <c r="A98" s="335"/>
      <c r="B98" s="242"/>
      <c r="C98" s="243"/>
      <c r="D98" s="100" t="s">
        <v>48</v>
      </c>
      <c r="E98" s="149">
        <v>0</v>
      </c>
      <c r="F98" s="175">
        <f t="shared" si="16"/>
        <v>0</v>
      </c>
      <c r="G98" s="149">
        <v>0</v>
      </c>
      <c r="H98" s="245">
        <v>0</v>
      </c>
      <c r="I98" s="245"/>
      <c r="J98" s="245"/>
      <c r="K98" s="245"/>
      <c r="L98" s="245"/>
      <c r="M98" s="149">
        <v>0</v>
      </c>
      <c r="N98" s="149">
        <v>0</v>
      </c>
      <c r="O98" s="149">
        <v>0</v>
      </c>
      <c r="P98" s="265"/>
    </row>
    <row r="99" spans="1:17" s="43" customFormat="1" ht="19">
      <c r="A99" s="335"/>
      <c r="B99" s="242"/>
      <c r="C99" s="243"/>
      <c r="D99" s="100" t="s">
        <v>90</v>
      </c>
      <c r="E99" s="149"/>
      <c r="F99" s="175">
        <f t="shared" si="16"/>
        <v>0</v>
      </c>
      <c r="G99" s="149">
        <v>0</v>
      </c>
      <c r="H99" s="245">
        <v>0</v>
      </c>
      <c r="I99" s="245"/>
      <c r="J99" s="245"/>
      <c r="K99" s="245"/>
      <c r="L99" s="245"/>
      <c r="M99" s="149">
        <v>0</v>
      </c>
      <c r="N99" s="149">
        <v>0</v>
      </c>
      <c r="O99" s="149">
        <v>0</v>
      </c>
      <c r="P99" s="265"/>
    </row>
    <row r="100" spans="1:17" s="43" customFormat="1" ht="27.75" customHeight="1">
      <c r="A100" s="335"/>
      <c r="B100" s="237" t="s">
        <v>185</v>
      </c>
      <c r="C100" s="234" t="s">
        <v>129</v>
      </c>
      <c r="D100" s="234" t="s">
        <v>129</v>
      </c>
      <c r="E100" s="145"/>
      <c r="F100" s="248" t="s">
        <v>130</v>
      </c>
      <c r="G100" s="146" t="s">
        <v>287</v>
      </c>
      <c r="H100" s="246" t="s">
        <v>288</v>
      </c>
      <c r="I100" s="247" t="s">
        <v>131</v>
      </c>
      <c r="J100" s="247"/>
      <c r="K100" s="247"/>
      <c r="L100" s="247"/>
      <c r="M100" s="146" t="s">
        <v>136</v>
      </c>
      <c r="N100" s="146" t="s">
        <v>137</v>
      </c>
      <c r="O100" s="146" t="s">
        <v>138</v>
      </c>
      <c r="P100" s="257" t="s">
        <v>129</v>
      </c>
      <c r="Q100" s="44"/>
    </row>
    <row r="101" spans="1:17" s="43" customFormat="1" ht="21" customHeight="1">
      <c r="A101" s="335"/>
      <c r="B101" s="237"/>
      <c r="C101" s="234"/>
      <c r="D101" s="234"/>
      <c r="E101" s="145"/>
      <c r="F101" s="248"/>
      <c r="G101" s="145"/>
      <c r="H101" s="246"/>
      <c r="I101" s="145" t="s">
        <v>132</v>
      </c>
      <c r="J101" s="145" t="s">
        <v>133</v>
      </c>
      <c r="K101" s="145" t="s">
        <v>134</v>
      </c>
      <c r="L101" s="145" t="s">
        <v>135</v>
      </c>
      <c r="M101" s="145"/>
      <c r="N101" s="145"/>
      <c r="O101" s="145"/>
      <c r="P101" s="257"/>
      <c r="Q101" s="44"/>
    </row>
    <row r="102" spans="1:17" s="43" customFormat="1" ht="22.5" customHeight="1">
      <c r="A102" s="335"/>
      <c r="B102" s="237"/>
      <c r="C102" s="234"/>
      <c r="D102" s="234"/>
      <c r="E102" s="145"/>
      <c r="F102" s="174">
        <v>0</v>
      </c>
      <c r="G102" s="147">
        <v>0</v>
      </c>
      <c r="H102" s="147">
        <v>0</v>
      </c>
      <c r="I102" s="147">
        <v>0</v>
      </c>
      <c r="J102" s="147">
        <v>0</v>
      </c>
      <c r="K102" s="147">
        <v>0</v>
      </c>
      <c r="L102" s="147">
        <v>0</v>
      </c>
      <c r="M102" s="147">
        <v>0</v>
      </c>
      <c r="N102" s="147">
        <v>0</v>
      </c>
      <c r="O102" s="147">
        <v>0</v>
      </c>
      <c r="P102" s="257"/>
      <c r="Q102" s="44"/>
    </row>
    <row r="103" spans="1:17" s="43" customFormat="1" ht="36.75" customHeight="1">
      <c r="A103" s="330" t="s">
        <v>81</v>
      </c>
      <c r="B103" s="241" t="s">
        <v>280</v>
      </c>
      <c r="C103" s="239" t="s">
        <v>89</v>
      </c>
      <c r="D103" s="99" t="s">
        <v>41</v>
      </c>
      <c r="E103" s="149"/>
      <c r="F103" s="173">
        <f>SUM(G103:O103)</f>
        <v>0</v>
      </c>
      <c r="G103" s="149">
        <v>0</v>
      </c>
      <c r="H103" s="245">
        <v>0</v>
      </c>
      <c r="I103" s="245"/>
      <c r="J103" s="245"/>
      <c r="K103" s="245"/>
      <c r="L103" s="245"/>
      <c r="M103" s="149">
        <v>0</v>
      </c>
      <c r="N103" s="149">
        <v>0</v>
      </c>
      <c r="O103" s="149">
        <v>0</v>
      </c>
      <c r="P103" s="253" t="s">
        <v>62</v>
      </c>
    </row>
    <row r="104" spans="1:17" s="43" customFormat="1" ht="37.5" customHeight="1">
      <c r="A104" s="330"/>
      <c r="B104" s="241"/>
      <c r="C104" s="239"/>
      <c r="D104" s="99" t="s">
        <v>1</v>
      </c>
      <c r="E104" s="131"/>
      <c r="F104" s="173">
        <f t="shared" ref="F104:F109" si="17">SUM(G104:O104)</f>
        <v>0</v>
      </c>
      <c r="G104" s="131">
        <v>0</v>
      </c>
      <c r="H104" s="250">
        <f>2449-2449</f>
        <v>0</v>
      </c>
      <c r="I104" s="250"/>
      <c r="J104" s="250"/>
      <c r="K104" s="250"/>
      <c r="L104" s="250"/>
      <c r="M104" s="131">
        <v>0</v>
      </c>
      <c r="N104" s="131">
        <v>0</v>
      </c>
      <c r="O104" s="131">
        <v>0</v>
      </c>
      <c r="P104" s="253"/>
    </row>
    <row r="105" spans="1:17" s="43" customFormat="1" ht="57">
      <c r="A105" s="330"/>
      <c r="B105" s="241"/>
      <c r="C105" s="239"/>
      <c r="D105" s="99" t="s">
        <v>49</v>
      </c>
      <c r="E105" s="131">
        <f>711549.13716</f>
        <v>711549.13716000004</v>
      </c>
      <c r="F105" s="173">
        <f t="shared" si="17"/>
        <v>11324891.652059998</v>
      </c>
      <c r="G105" s="131">
        <v>2050637.3603300001</v>
      </c>
      <c r="H105" s="256">
        <f>2319423.3-2640.637+64305.03148-20236.28+13706.86825+28143.509</f>
        <v>2402701.7917299997</v>
      </c>
      <c r="I105" s="256"/>
      <c r="J105" s="256"/>
      <c r="K105" s="256"/>
      <c r="L105" s="256"/>
      <c r="M105" s="210">
        <f>1897499.282+19341.952+15000+10000+10000-158.025+17911.2-2992.75+3000+6060.16+3939.84+6000+333821.641-28906</f>
        <v>2290517.2999999998</v>
      </c>
      <c r="N105" s="210">
        <f>1897499.282+19341.952+15000+10000+10000-158.025+17911.2-2992.75+3000+6060.16+3939.84+6000+333821.641+0.6-28906</f>
        <v>2290517.9</v>
      </c>
      <c r="O105" s="210">
        <f>1897499.282+19341.952+15000+10000+10000-158.025+17911.2-2992.75+3000+6060.16+3939.84+6000+333821.641-28906</f>
        <v>2290517.2999999998</v>
      </c>
      <c r="P105" s="253"/>
    </row>
    <row r="106" spans="1:17" s="43" customFormat="1" ht="78" customHeight="1">
      <c r="A106" s="330"/>
      <c r="B106" s="241"/>
      <c r="C106" s="239"/>
      <c r="D106" s="99" t="s">
        <v>61</v>
      </c>
      <c r="E106" s="131">
        <v>0</v>
      </c>
      <c r="F106" s="173">
        <f t="shared" si="17"/>
        <v>2526284.9160000002</v>
      </c>
      <c r="G106" s="134">
        <v>412508.91600000003</v>
      </c>
      <c r="H106" s="270">
        <v>528444</v>
      </c>
      <c r="I106" s="270"/>
      <c r="J106" s="270"/>
      <c r="K106" s="270"/>
      <c r="L106" s="270"/>
      <c r="M106" s="134">
        <f>446397.916+82046.084</f>
        <v>528444</v>
      </c>
      <c r="N106" s="134">
        <f>446397.916+82046.084</f>
        <v>528444</v>
      </c>
      <c r="O106" s="134">
        <f>446397.916+82046.084</f>
        <v>528444</v>
      </c>
      <c r="P106" s="253"/>
    </row>
    <row r="107" spans="1:17" s="43" customFormat="1" ht="39.75" customHeight="1">
      <c r="A107" s="330"/>
      <c r="B107" s="241"/>
      <c r="C107" s="239"/>
      <c r="D107" s="99" t="s">
        <v>90</v>
      </c>
      <c r="E107" s="131"/>
      <c r="F107" s="173">
        <f t="shared" si="17"/>
        <v>3023283.5564000001</v>
      </c>
      <c r="G107" s="131">
        <f t="shared" ref="G107" si="18">G108+G109</f>
        <v>493095.91868</v>
      </c>
      <c r="H107" s="255">
        <f>H108+H109</f>
        <v>632546.90943</v>
      </c>
      <c r="I107" s="255"/>
      <c r="J107" s="255"/>
      <c r="K107" s="255"/>
      <c r="L107" s="255"/>
      <c r="M107" s="227">
        <f t="shared" ref="M107:O107" si="19">M108+M109</f>
        <v>632546.90943</v>
      </c>
      <c r="N107" s="227">
        <f t="shared" si="19"/>
        <v>632546.90943</v>
      </c>
      <c r="O107" s="227">
        <f t="shared" si="19"/>
        <v>632546.90943</v>
      </c>
      <c r="P107" s="253"/>
    </row>
    <row r="108" spans="1:17" s="43" customFormat="1" ht="96" customHeight="1">
      <c r="A108" s="330"/>
      <c r="B108" s="241"/>
      <c r="C108" s="239"/>
      <c r="D108" s="139" t="s">
        <v>91</v>
      </c>
      <c r="E108" s="149">
        <v>262352.43170000002</v>
      </c>
      <c r="F108" s="173">
        <f t="shared" si="17"/>
        <v>2901357.9304000004</v>
      </c>
      <c r="G108" s="150">
        <v>469940.35668000003</v>
      </c>
      <c r="H108" s="298">
        <v>607854.39343000005</v>
      </c>
      <c r="I108" s="298"/>
      <c r="J108" s="298"/>
      <c r="K108" s="298"/>
      <c r="L108" s="298"/>
      <c r="M108" s="229">
        <v>607854.39343000005</v>
      </c>
      <c r="N108" s="229">
        <v>607854.39343000005</v>
      </c>
      <c r="O108" s="229">
        <v>607854.39343000005</v>
      </c>
      <c r="P108" s="253"/>
    </row>
    <row r="109" spans="1:17" s="43" customFormat="1" ht="77.25" customHeight="1">
      <c r="A109" s="330"/>
      <c r="B109" s="241"/>
      <c r="C109" s="239"/>
      <c r="D109" s="139" t="s">
        <v>92</v>
      </c>
      <c r="E109" s="149">
        <v>8751.5480000000007</v>
      </c>
      <c r="F109" s="173">
        <f t="shared" si="17"/>
        <v>121925.626</v>
      </c>
      <c r="G109" s="150">
        <v>23155.562000000002</v>
      </c>
      <c r="H109" s="299">
        <v>24692.516</v>
      </c>
      <c r="I109" s="299"/>
      <c r="J109" s="299"/>
      <c r="K109" s="299"/>
      <c r="L109" s="299"/>
      <c r="M109" s="150">
        <v>24692.516</v>
      </c>
      <c r="N109" s="150">
        <v>24692.516</v>
      </c>
      <c r="O109" s="150">
        <v>24692.516</v>
      </c>
      <c r="P109" s="253"/>
      <c r="Q109" s="55"/>
    </row>
    <row r="110" spans="1:17" s="43" customFormat="1" ht="27.75" customHeight="1">
      <c r="A110" s="330"/>
      <c r="B110" s="237" t="s">
        <v>176</v>
      </c>
      <c r="C110" s="234" t="s">
        <v>129</v>
      </c>
      <c r="D110" s="234" t="s">
        <v>129</v>
      </c>
      <c r="E110" s="145"/>
      <c r="F110" s="248" t="s">
        <v>130</v>
      </c>
      <c r="G110" s="146" t="s">
        <v>287</v>
      </c>
      <c r="H110" s="246" t="s">
        <v>288</v>
      </c>
      <c r="I110" s="247" t="s">
        <v>131</v>
      </c>
      <c r="J110" s="247"/>
      <c r="K110" s="247"/>
      <c r="L110" s="247"/>
      <c r="M110" s="146" t="s">
        <v>136</v>
      </c>
      <c r="N110" s="146" t="s">
        <v>137</v>
      </c>
      <c r="O110" s="146" t="s">
        <v>138</v>
      </c>
      <c r="P110" s="257" t="s">
        <v>129</v>
      </c>
      <c r="Q110" s="44"/>
    </row>
    <row r="111" spans="1:17" s="43" customFormat="1" ht="24" customHeight="1">
      <c r="A111" s="330"/>
      <c r="B111" s="237"/>
      <c r="C111" s="234"/>
      <c r="D111" s="234"/>
      <c r="E111" s="145"/>
      <c r="F111" s="248"/>
      <c r="G111" s="145"/>
      <c r="H111" s="246"/>
      <c r="I111" s="145" t="s">
        <v>132</v>
      </c>
      <c r="J111" s="145" t="s">
        <v>133</v>
      </c>
      <c r="K111" s="145" t="s">
        <v>134</v>
      </c>
      <c r="L111" s="145" t="s">
        <v>135</v>
      </c>
      <c r="M111" s="145"/>
      <c r="N111" s="145"/>
      <c r="O111" s="145"/>
      <c r="P111" s="257"/>
      <c r="Q111" s="44"/>
    </row>
    <row r="112" spans="1:17" s="43" customFormat="1" ht="29.25" customHeight="1">
      <c r="A112" s="330"/>
      <c r="B112" s="237"/>
      <c r="C112" s="234"/>
      <c r="D112" s="234"/>
      <c r="E112" s="145"/>
      <c r="F112" s="174">
        <v>39</v>
      </c>
      <c r="G112" s="147">
        <v>39</v>
      </c>
      <c r="H112" s="147">
        <v>39</v>
      </c>
      <c r="I112" s="147">
        <v>39</v>
      </c>
      <c r="J112" s="147">
        <v>39</v>
      </c>
      <c r="K112" s="147">
        <v>39</v>
      </c>
      <c r="L112" s="147">
        <v>39</v>
      </c>
      <c r="M112" s="147">
        <v>39</v>
      </c>
      <c r="N112" s="147">
        <v>39</v>
      </c>
      <c r="O112" s="147">
        <v>39</v>
      </c>
      <c r="P112" s="257"/>
      <c r="Q112" s="44"/>
    </row>
    <row r="113" spans="1:17" s="43" customFormat="1" ht="39" customHeight="1">
      <c r="A113" s="335" t="s">
        <v>82</v>
      </c>
      <c r="B113" s="242" t="s">
        <v>282</v>
      </c>
      <c r="C113" s="243" t="s">
        <v>89</v>
      </c>
      <c r="D113" s="139" t="s">
        <v>41</v>
      </c>
      <c r="E113" s="149"/>
      <c r="F113" s="175">
        <f>SUM(G113:O113)</f>
        <v>0</v>
      </c>
      <c r="G113" s="149">
        <v>0</v>
      </c>
      <c r="H113" s="245">
        <v>0</v>
      </c>
      <c r="I113" s="245"/>
      <c r="J113" s="245"/>
      <c r="K113" s="245"/>
      <c r="L113" s="245"/>
      <c r="M113" s="149">
        <v>0</v>
      </c>
      <c r="N113" s="149">
        <v>0</v>
      </c>
      <c r="O113" s="149">
        <v>0</v>
      </c>
      <c r="P113" s="265" t="s">
        <v>93</v>
      </c>
      <c r="Q113" s="55"/>
    </row>
    <row r="114" spans="1:17" s="43" customFormat="1" ht="38">
      <c r="A114" s="335"/>
      <c r="B114" s="242"/>
      <c r="C114" s="243"/>
      <c r="D114" s="139" t="s">
        <v>1</v>
      </c>
      <c r="E114" s="149"/>
      <c r="F114" s="175">
        <f t="shared" ref="F114:F116" si="20">SUM(G114:O114)</f>
        <v>56000</v>
      </c>
      <c r="G114" s="149">
        <v>0</v>
      </c>
      <c r="H114" s="266">
        <v>56000</v>
      </c>
      <c r="I114" s="266"/>
      <c r="J114" s="266"/>
      <c r="K114" s="266"/>
      <c r="L114" s="266"/>
      <c r="M114" s="149">
        <v>0</v>
      </c>
      <c r="N114" s="149">
        <v>0</v>
      </c>
      <c r="O114" s="149">
        <v>0</v>
      </c>
      <c r="P114" s="265"/>
      <c r="Q114" s="55"/>
    </row>
    <row r="115" spans="1:17" s="43" customFormat="1" ht="57">
      <c r="A115" s="335"/>
      <c r="B115" s="242"/>
      <c r="C115" s="243"/>
      <c r="D115" s="100" t="s">
        <v>48</v>
      </c>
      <c r="E115" s="149">
        <v>0</v>
      </c>
      <c r="F115" s="175">
        <f t="shared" si="20"/>
        <v>723351.75958999991</v>
      </c>
      <c r="G115" s="149">
        <v>46658.988669999999</v>
      </c>
      <c r="H115" s="266">
        <f>145735.24-70063.4421-4921.09299+73000+56000+18231.57317+2239.63942+19265.13342</f>
        <v>239487.05091999995</v>
      </c>
      <c r="I115" s="266"/>
      <c r="J115" s="266"/>
      <c r="K115" s="266"/>
      <c r="L115" s="266"/>
      <c r="M115" s="149">
        <f t="shared" ref="M115:O115" si="21">200000-54264.76</f>
        <v>145735.24</v>
      </c>
      <c r="N115" s="149">
        <f t="shared" si="21"/>
        <v>145735.24</v>
      </c>
      <c r="O115" s="149">
        <f t="shared" si="21"/>
        <v>145735.24</v>
      </c>
      <c r="P115" s="265"/>
    </row>
    <row r="116" spans="1:17" s="43" customFormat="1" ht="42" customHeight="1">
      <c r="A116" s="335"/>
      <c r="B116" s="242"/>
      <c r="C116" s="243"/>
      <c r="D116" s="99" t="s">
        <v>90</v>
      </c>
      <c r="E116" s="149"/>
      <c r="F116" s="175">
        <f t="shared" si="20"/>
        <v>0</v>
      </c>
      <c r="G116" s="149">
        <v>0</v>
      </c>
      <c r="H116" s="245">
        <v>0</v>
      </c>
      <c r="I116" s="245"/>
      <c r="J116" s="245"/>
      <c r="K116" s="245"/>
      <c r="L116" s="245"/>
      <c r="M116" s="149">
        <v>0</v>
      </c>
      <c r="N116" s="149">
        <v>0</v>
      </c>
      <c r="O116" s="149">
        <v>0</v>
      </c>
      <c r="P116" s="265"/>
    </row>
    <row r="117" spans="1:17" s="43" customFormat="1" ht="27" customHeight="1">
      <c r="A117" s="335"/>
      <c r="B117" s="237" t="s">
        <v>177</v>
      </c>
      <c r="C117" s="234" t="s">
        <v>129</v>
      </c>
      <c r="D117" s="234" t="s">
        <v>129</v>
      </c>
      <c r="E117" s="145"/>
      <c r="F117" s="248" t="s">
        <v>130</v>
      </c>
      <c r="G117" s="146" t="s">
        <v>287</v>
      </c>
      <c r="H117" s="246" t="s">
        <v>288</v>
      </c>
      <c r="I117" s="247" t="s">
        <v>131</v>
      </c>
      <c r="J117" s="247"/>
      <c r="K117" s="247"/>
      <c r="L117" s="247"/>
      <c r="M117" s="146" t="s">
        <v>136</v>
      </c>
      <c r="N117" s="146" t="s">
        <v>137</v>
      </c>
      <c r="O117" s="146" t="s">
        <v>138</v>
      </c>
      <c r="P117" s="257" t="s">
        <v>129</v>
      </c>
      <c r="Q117" s="44"/>
    </row>
    <row r="118" spans="1:17" s="43" customFormat="1" ht="21.75" customHeight="1">
      <c r="A118" s="335"/>
      <c r="B118" s="237"/>
      <c r="C118" s="234"/>
      <c r="D118" s="234"/>
      <c r="E118" s="145"/>
      <c r="F118" s="248"/>
      <c r="G118" s="145"/>
      <c r="H118" s="246"/>
      <c r="I118" s="145" t="s">
        <v>132</v>
      </c>
      <c r="J118" s="145" t="s">
        <v>133</v>
      </c>
      <c r="K118" s="145" t="s">
        <v>134</v>
      </c>
      <c r="L118" s="145" t="s">
        <v>135</v>
      </c>
      <c r="M118" s="145"/>
      <c r="N118" s="145"/>
      <c r="O118" s="145"/>
      <c r="P118" s="257"/>
      <c r="Q118" s="44"/>
    </row>
    <row r="119" spans="1:17" s="43" customFormat="1" ht="27.75" customHeight="1">
      <c r="A119" s="335"/>
      <c r="B119" s="237"/>
      <c r="C119" s="234"/>
      <c r="D119" s="234"/>
      <c r="E119" s="145"/>
      <c r="F119" s="174">
        <f>H119+G119+M119+N119+O119</f>
        <v>132</v>
      </c>
      <c r="G119" s="147">
        <v>16</v>
      </c>
      <c r="H119" s="147">
        <v>29</v>
      </c>
      <c r="I119" s="147">
        <v>0</v>
      </c>
      <c r="J119" s="147">
        <v>0</v>
      </c>
      <c r="K119" s="147">
        <v>0</v>
      </c>
      <c r="L119" s="147">
        <v>29</v>
      </c>
      <c r="M119" s="147">
        <v>29</v>
      </c>
      <c r="N119" s="147">
        <v>29</v>
      </c>
      <c r="O119" s="147">
        <v>29</v>
      </c>
      <c r="P119" s="257"/>
      <c r="Q119" s="44"/>
    </row>
    <row r="120" spans="1:17" s="43" customFormat="1" ht="40.5" customHeight="1">
      <c r="A120" s="335" t="s">
        <v>94</v>
      </c>
      <c r="B120" s="242" t="s">
        <v>281</v>
      </c>
      <c r="C120" s="243" t="s">
        <v>89</v>
      </c>
      <c r="D120" s="99" t="s">
        <v>41</v>
      </c>
      <c r="E120" s="149"/>
      <c r="F120" s="175">
        <f>SUM(G120:O120)</f>
        <v>0</v>
      </c>
      <c r="G120" s="149">
        <v>0</v>
      </c>
      <c r="H120" s="245">
        <v>0</v>
      </c>
      <c r="I120" s="245"/>
      <c r="J120" s="245"/>
      <c r="K120" s="245"/>
      <c r="L120" s="245"/>
      <c r="M120" s="149">
        <v>0</v>
      </c>
      <c r="N120" s="149">
        <v>0</v>
      </c>
      <c r="O120" s="149">
        <v>0</v>
      </c>
      <c r="P120" s="265" t="s">
        <v>3</v>
      </c>
      <c r="Q120" s="127"/>
    </row>
    <row r="121" spans="1:17" s="43" customFormat="1" ht="38">
      <c r="A121" s="335"/>
      <c r="B121" s="242"/>
      <c r="C121" s="243"/>
      <c r="D121" s="99" t="s">
        <v>1</v>
      </c>
      <c r="E121" s="149"/>
      <c r="F121" s="175">
        <f t="shared" ref="F121:F123" si="22">SUM(G121:O121)</f>
        <v>0</v>
      </c>
      <c r="G121" s="149">
        <v>0</v>
      </c>
      <c r="H121" s="245">
        <v>0</v>
      </c>
      <c r="I121" s="245"/>
      <c r="J121" s="245"/>
      <c r="K121" s="245"/>
      <c r="L121" s="245"/>
      <c r="M121" s="149">
        <v>0</v>
      </c>
      <c r="N121" s="149">
        <v>0</v>
      </c>
      <c r="O121" s="149">
        <v>0</v>
      </c>
      <c r="P121" s="265"/>
    </row>
    <row r="122" spans="1:17" s="43" customFormat="1" ht="57">
      <c r="A122" s="335"/>
      <c r="B122" s="242"/>
      <c r="C122" s="243"/>
      <c r="D122" s="100" t="s">
        <v>48</v>
      </c>
      <c r="E122" s="149">
        <v>0</v>
      </c>
      <c r="F122" s="175">
        <f t="shared" si="22"/>
        <v>2126061.2756499997</v>
      </c>
      <c r="G122" s="149">
        <v>360185.28365</v>
      </c>
      <c r="H122" s="249">
        <f>440908.4+2242.392</f>
        <v>443150.79200000002</v>
      </c>
      <c r="I122" s="249"/>
      <c r="J122" s="249"/>
      <c r="K122" s="249"/>
      <c r="L122" s="249"/>
      <c r="M122" s="149">
        <f t="shared" ref="M122:O122" si="23">340712.8+11088.8+687.36+1.04+88418.4</f>
        <v>440908.39999999991</v>
      </c>
      <c r="N122" s="149">
        <f t="shared" si="23"/>
        <v>440908.39999999991</v>
      </c>
      <c r="O122" s="149">
        <f t="shared" si="23"/>
        <v>440908.39999999991</v>
      </c>
      <c r="P122" s="265"/>
    </row>
    <row r="123" spans="1:17" s="43" customFormat="1" ht="19">
      <c r="A123" s="335"/>
      <c r="B123" s="242"/>
      <c r="C123" s="243"/>
      <c r="D123" s="100" t="s">
        <v>90</v>
      </c>
      <c r="E123" s="149"/>
      <c r="F123" s="175">
        <f t="shared" si="22"/>
        <v>0</v>
      </c>
      <c r="G123" s="149">
        <v>0</v>
      </c>
      <c r="H123" s="245">
        <v>0</v>
      </c>
      <c r="I123" s="245"/>
      <c r="J123" s="245"/>
      <c r="K123" s="245"/>
      <c r="L123" s="245"/>
      <c r="M123" s="149">
        <v>0</v>
      </c>
      <c r="N123" s="149">
        <v>0</v>
      </c>
      <c r="O123" s="149">
        <v>0</v>
      </c>
      <c r="P123" s="265"/>
    </row>
    <row r="124" spans="1:17" s="43" customFormat="1" ht="27" customHeight="1">
      <c r="A124" s="335"/>
      <c r="B124" s="237" t="s">
        <v>178</v>
      </c>
      <c r="C124" s="234" t="s">
        <v>129</v>
      </c>
      <c r="D124" s="234" t="s">
        <v>129</v>
      </c>
      <c r="E124" s="145"/>
      <c r="F124" s="248" t="s">
        <v>130</v>
      </c>
      <c r="G124" s="146" t="s">
        <v>287</v>
      </c>
      <c r="H124" s="246" t="s">
        <v>288</v>
      </c>
      <c r="I124" s="247" t="s">
        <v>131</v>
      </c>
      <c r="J124" s="247"/>
      <c r="K124" s="247"/>
      <c r="L124" s="247"/>
      <c r="M124" s="146" t="s">
        <v>136</v>
      </c>
      <c r="N124" s="146" t="s">
        <v>137</v>
      </c>
      <c r="O124" s="146" t="s">
        <v>138</v>
      </c>
      <c r="P124" s="257" t="s">
        <v>129</v>
      </c>
      <c r="Q124" s="44"/>
    </row>
    <row r="125" spans="1:17" s="43" customFormat="1" ht="22.5" customHeight="1">
      <c r="A125" s="335"/>
      <c r="B125" s="237"/>
      <c r="C125" s="234"/>
      <c r="D125" s="234"/>
      <c r="E125" s="145"/>
      <c r="F125" s="248"/>
      <c r="G125" s="145"/>
      <c r="H125" s="246"/>
      <c r="I125" s="145" t="s">
        <v>132</v>
      </c>
      <c r="J125" s="145" t="s">
        <v>133</v>
      </c>
      <c r="K125" s="145" t="s">
        <v>134</v>
      </c>
      <c r="L125" s="145" t="s">
        <v>135</v>
      </c>
      <c r="M125" s="145"/>
      <c r="N125" s="145"/>
      <c r="O125" s="145"/>
      <c r="P125" s="257"/>
      <c r="Q125" s="44"/>
    </row>
    <row r="126" spans="1:17" s="43" customFormat="1" ht="26.25" customHeight="1">
      <c r="A126" s="335"/>
      <c r="B126" s="237"/>
      <c r="C126" s="234"/>
      <c r="D126" s="234"/>
      <c r="E126" s="145"/>
      <c r="F126" s="174">
        <v>100</v>
      </c>
      <c r="G126" s="147">
        <v>100</v>
      </c>
      <c r="H126" s="147">
        <v>100</v>
      </c>
      <c r="I126" s="147">
        <v>100</v>
      </c>
      <c r="J126" s="147">
        <v>100</v>
      </c>
      <c r="K126" s="147">
        <v>100</v>
      </c>
      <c r="L126" s="147">
        <v>100</v>
      </c>
      <c r="M126" s="147">
        <v>100</v>
      </c>
      <c r="N126" s="147">
        <v>100</v>
      </c>
      <c r="O126" s="147">
        <v>100</v>
      </c>
      <c r="P126" s="257"/>
      <c r="Q126" s="44"/>
    </row>
    <row r="127" spans="1:17" s="43" customFormat="1" ht="33.75" customHeight="1">
      <c r="A127" s="335" t="s">
        <v>95</v>
      </c>
      <c r="B127" s="242" t="s">
        <v>284</v>
      </c>
      <c r="C127" s="243" t="s">
        <v>89</v>
      </c>
      <c r="D127" s="100" t="s">
        <v>41</v>
      </c>
      <c r="E127" s="149"/>
      <c r="F127" s="175">
        <f>SUM(G127:O127)</f>
        <v>0</v>
      </c>
      <c r="G127" s="149">
        <v>0</v>
      </c>
      <c r="H127" s="245">
        <v>0</v>
      </c>
      <c r="I127" s="245"/>
      <c r="J127" s="245"/>
      <c r="K127" s="245"/>
      <c r="L127" s="245"/>
      <c r="M127" s="149">
        <v>0</v>
      </c>
      <c r="N127" s="149">
        <v>0</v>
      </c>
      <c r="O127" s="149">
        <v>0</v>
      </c>
      <c r="P127" s="265" t="s">
        <v>3</v>
      </c>
    </row>
    <row r="128" spans="1:17" s="43" customFormat="1" ht="38">
      <c r="A128" s="335"/>
      <c r="B128" s="242"/>
      <c r="C128" s="243"/>
      <c r="D128" s="100" t="s">
        <v>1</v>
      </c>
      <c r="E128" s="149"/>
      <c r="F128" s="175">
        <f t="shared" ref="F128:F130" si="24">SUM(G128:O128)</f>
        <v>0</v>
      </c>
      <c r="G128" s="149">
        <v>0</v>
      </c>
      <c r="H128" s="245">
        <v>0</v>
      </c>
      <c r="I128" s="245"/>
      <c r="J128" s="245"/>
      <c r="K128" s="245"/>
      <c r="L128" s="245"/>
      <c r="M128" s="149">
        <v>0</v>
      </c>
      <c r="N128" s="149">
        <v>0</v>
      </c>
      <c r="O128" s="149">
        <v>0</v>
      </c>
      <c r="P128" s="265"/>
    </row>
    <row r="129" spans="1:17" s="43" customFormat="1" ht="57">
      <c r="A129" s="335"/>
      <c r="B129" s="242"/>
      <c r="C129" s="243"/>
      <c r="D129" s="100" t="s">
        <v>48</v>
      </c>
      <c r="E129" s="149">
        <v>0</v>
      </c>
      <c r="F129" s="175">
        <f t="shared" si="24"/>
        <v>0</v>
      </c>
      <c r="G129" s="149">
        <v>0</v>
      </c>
      <c r="H129" s="245">
        <v>0</v>
      </c>
      <c r="I129" s="245"/>
      <c r="J129" s="245"/>
      <c r="K129" s="245"/>
      <c r="L129" s="245"/>
      <c r="M129" s="149">
        <v>0</v>
      </c>
      <c r="N129" s="149">
        <v>0</v>
      </c>
      <c r="O129" s="149">
        <v>0</v>
      </c>
      <c r="P129" s="265"/>
    </row>
    <row r="130" spans="1:17" s="43" customFormat="1" ht="19">
      <c r="A130" s="335"/>
      <c r="B130" s="242"/>
      <c r="C130" s="243"/>
      <c r="D130" s="100" t="s">
        <v>90</v>
      </c>
      <c r="E130" s="149"/>
      <c r="F130" s="175">
        <f t="shared" si="24"/>
        <v>0</v>
      </c>
      <c r="G130" s="149">
        <v>0</v>
      </c>
      <c r="H130" s="245">
        <v>0</v>
      </c>
      <c r="I130" s="245"/>
      <c r="J130" s="245"/>
      <c r="K130" s="245"/>
      <c r="L130" s="245"/>
      <c r="M130" s="149">
        <v>0</v>
      </c>
      <c r="N130" s="149">
        <v>0</v>
      </c>
      <c r="O130" s="149">
        <v>0</v>
      </c>
      <c r="P130" s="265"/>
    </row>
    <row r="131" spans="1:17" s="43" customFormat="1" ht="25.5" customHeight="1">
      <c r="A131" s="335"/>
      <c r="B131" s="237" t="s">
        <v>179</v>
      </c>
      <c r="C131" s="234" t="s">
        <v>129</v>
      </c>
      <c r="D131" s="234" t="s">
        <v>129</v>
      </c>
      <c r="E131" s="145"/>
      <c r="F131" s="248" t="s">
        <v>130</v>
      </c>
      <c r="G131" s="146" t="s">
        <v>287</v>
      </c>
      <c r="H131" s="246" t="s">
        <v>288</v>
      </c>
      <c r="I131" s="247" t="s">
        <v>131</v>
      </c>
      <c r="J131" s="247"/>
      <c r="K131" s="247"/>
      <c r="L131" s="247"/>
      <c r="M131" s="146" t="s">
        <v>136</v>
      </c>
      <c r="N131" s="146" t="s">
        <v>137</v>
      </c>
      <c r="O131" s="146" t="s">
        <v>138</v>
      </c>
      <c r="P131" s="257" t="s">
        <v>129</v>
      </c>
      <c r="Q131" s="44"/>
    </row>
    <row r="132" spans="1:17" s="43" customFormat="1" ht="21" customHeight="1">
      <c r="A132" s="335"/>
      <c r="B132" s="237"/>
      <c r="C132" s="234"/>
      <c r="D132" s="234"/>
      <c r="E132" s="145"/>
      <c r="F132" s="248"/>
      <c r="G132" s="145"/>
      <c r="H132" s="246"/>
      <c r="I132" s="145" t="s">
        <v>132</v>
      </c>
      <c r="J132" s="145" t="s">
        <v>133</v>
      </c>
      <c r="K132" s="145" t="s">
        <v>134</v>
      </c>
      <c r="L132" s="145" t="s">
        <v>135</v>
      </c>
      <c r="M132" s="145"/>
      <c r="N132" s="145"/>
      <c r="O132" s="145"/>
      <c r="P132" s="257"/>
      <c r="Q132" s="44"/>
    </row>
    <row r="133" spans="1:17" s="43" customFormat="1" ht="27.75" customHeight="1">
      <c r="A133" s="335"/>
      <c r="B133" s="237"/>
      <c r="C133" s="234"/>
      <c r="D133" s="234"/>
      <c r="E133" s="145"/>
      <c r="F133" s="174">
        <v>100</v>
      </c>
      <c r="G133" s="147">
        <v>100</v>
      </c>
      <c r="H133" s="147">
        <v>100</v>
      </c>
      <c r="I133" s="147">
        <v>100</v>
      </c>
      <c r="J133" s="147">
        <v>100</v>
      </c>
      <c r="K133" s="147">
        <v>100</v>
      </c>
      <c r="L133" s="147">
        <v>100</v>
      </c>
      <c r="M133" s="147">
        <v>100</v>
      </c>
      <c r="N133" s="147">
        <v>100</v>
      </c>
      <c r="O133" s="147">
        <v>100</v>
      </c>
      <c r="P133" s="257"/>
      <c r="Q133" s="44"/>
    </row>
    <row r="134" spans="1:17" s="43" customFormat="1" ht="33.75" customHeight="1">
      <c r="A134" s="335" t="s">
        <v>242</v>
      </c>
      <c r="B134" s="242" t="s">
        <v>285</v>
      </c>
      <c r="C134" s="243" t="s">
        <v>89</v>
      </c>
      <c r="D134" s="100" t="s">
        <v>41</v>
      </c>
      <c r="E134" s="149"/>
      <c r="F134" s="175">
        <f>SUM(G134:O134)</f>
        <v>0</v>
      </c>
      <c r="G134" s="149">
        <v>0</v>
      </c>
      <c r="H134" s="245">
        <v>0</v>
      </c>
      <c r="I134" s="245"/>
      <c r="J134" s="245"/>
      <c r="K134" s="245"/>
      <c r="L134" s="245"/>
      <c r="M134" s="149">
        <v>0</v>
      </c>
      <c r="N134" s="149">
        <v>0</v>
      </c>
      <c r="O134" s="149">
        <v>0</v>
      </c>
      <c r="P134" s="265" t="s">
        <v>3</v>
      </c>
    </row>
    <row r="135" spans="1:17" s="43" customFormat="1" ht="38">
      <c r="A135" s="335"/>
      <c r="B135" s="242"/>
      <c r="C135" s="243"/>
      <c r="D135" s="100" t="s">
        <v>1</v>
      </c>
      <c r="E135" s="149"/>
      <c r="F135" s="175">
        <f t="shared" ref="F135:F137" si="25">SUM(G135:O135)</f>
        <v>0</v>
      </c>
      <c r="G135" s="149">
        <v>0</v>
      </c>
      <c r="H135" s="245">
        <v>0</v>
      </c>
      <c r="I135" s="245"/>
      <c r="J135" s="245"/>
      <c r="K135" s="245"/>
      <c r="L135" s="245"/>
      <c r="M135" s="149">
        <v>0</v>
      </c>
      <c r="N135" s="149">
        <v>0</v>
      </c>
      <c r="O135" s="149">
        <v>0</v>
      </c>
      <c r="P135" s="265"/>
    </row>
    <row r="136" spans="1:17" s="43" customFormat="1" ht="57">
      <c r="A136" s="335"/>
      <c r="B136" s="242"/>
      <c r="C136" s="243"/>
      <c r="D136" s="100" t="s">
        <v>48</v>
      </c>
      <c r="E136" s="149">
        <v>0</v>
      </c>
      <c r="F136" s="175">
        <f t="shared" si="25"/>
        <v>0</v>
      </c>
      <c r="G136" s="149">
        <v>0</v>
      </c>
      <c r="H136" s="245">
        <v>0</v>
      </c>
      <c r="I136" s="245"/>
      <c r="J136" s="245"/>
      <c r="K136" s="245"/>
      <c r="L136" s="245"/>
      <c r="M136" s="149">
        <v>0</v>
      </c>
      <c r="N136" s="149">
        <v>0</v>
      </c>
      <c r="O136" s="149">
        <v>0</v>
      </c>
      <c r="P136" s="265"/>
    </row>
    <row r="137" spans="1:17" s="43" customFormat="1" ht="19">
      <c r="A137" s="335"/>
      <c r="B137" s="242"/>
      <c r="C137" s="243"/>
      <c r="D137" s="100" t="s">
        <v>90</v>
      </c>
      <c r="E137" s="149"/>
      <c r="F137" s="175">
        <f t="shared" si="25"/>
        <v>0</v>
      </c>
      <c r="G137" s="149">
        <v>0</v>
      </c>
      <c r="H137" s="245">
        <v>0</v>
      </c>
      <c r="I137" s="245"/>
      <c r="J137" s="245"/>
      <c r="K137" s="245"/>
      <c r="L137" s="245"/>
      <c r="M137" s="149">
        <v>0</v>
      </c>
      <c r="N137" s="149">
        <v>0</v>
      </c>
      <c r="O137" s="149">
        <v>0</v>
      </c>
      <c r="P137" s="265"/>
    </row>
    <row r="138" spans="1:17" s="43" customFormat="1" ht="23.25" customHeight="1">
      <c r="A138" s="335"/>
      <c r="B138" s="237" t="s">
        <v>180</v>
      </c>
      <c r="C138" s="234" t="s">
        <v>129</v>
      </c>
      <c r="D138" s="234" t="s">
        <v>129</v>
      </c>
      <c r="E138" s="145"/>
      <c r="F138" s="248" t="s">
        <v>130</v>
      </c>
      <c r="G138" s="146" t="s">
        <v>287</v>
      </c>
      <c r="H138" s="246" t="s">
        <v>288</v>
      </c>
      <c r="I138" s="247" t="s">
        <v>131</v>
      </c>
      <c r="J138" s="247"/>
      <c r="K138" s="247"/>
      <c r="L138" s="247"/>
      <c r="M138" s="146" t="s">
        <v>136</v>
      </c>
      <c r="N138" s="146" t="s">
        <v>137</v>
      </c>
      <c r="O138" s="146" t="s">
        <v>138</v>
      </c>
      <c r="P138" s="257" t="s">
        <v>129</v>
      </c>
      <c r="Q138" s="44"/>
    </row>
    <row r="139" spans="1:17" s="43" customFormat="1" ht="21" customHeight="1">
      <c r="A139" s="335"/>
      <c r="B139" s="237"/>
      <c r="C139" s="234"/>
      <c r="D139" s="234"/>
      <c r="E139" s="145"/>
      <c r="F139" s="248"/>
      <c r="G139" s="145"/>
      <c r="H139" s="246"/>
      <c r="I139" s="145" t="s">
        <v>132</v>
      </c>
      <c r="J139" s="145" t="s">
        <v>133</v>
      </c>
      <c r="K139" s="145" t="s">
        <v>134</v>
      </c>
      <c r="L139" s="145" t="s">
        <v>135</v>
      </c>
      <c r="M139" s="145"/>
      <c r="N139" s="145"/>
      <c r="O139" s="145"/>
      <c r="P139" s="257"/>
      <c r="Q139" s="44"/>
    </row>
    <row r="140" spans="1:17" s="43" customFormat="1" ht="22.5" customHeight="1">
      <c r="A140" s="335"/>
      <c r="B140" s="237"/>
      <c r="C140" s="234"/>
      <c r="D140" s="234"/>
      <c r="E140" s="145"/>
      <c r="F140" s="174">
        <v>0</v>
      </c>
      <c r="G140" s="147">
        <v>0</v>
      </c>
      <c r="H140" s="147">
        <v>0</v>
      </c>
      <c r="I140" s="147">
        <v>0</v>
      </c>
      <c r="J140" s="147">
        <v>0</v>
      </c>
      <c r="K140" s="147">
        <v>0</v>
      </c>
      <c r="L140" s="147">
        <v>0</v>
      </c>
      <c r="M140" s="147">
        <v>0</v>
      </c>
      <c r="N140" s="147">
        <v>0</v>
      </c>
      <c r="O140" s="147">
        <v>0</v>
      </c>
      <c r="P140" s="257"/>
      <c r="Q140" s="44"/>
    </row>
    <row r="141" spans="1:17" s="43" customFormat="1" ht="33.75" customHeight="1">
      <c r="A141" s="335" t="s">
        <v>259</v>
      </c>
      <c r="B141" s="242" t="s">
        <v>286</v>
      </c>
      <c r="C141" s="243" t="s">
        <v>89</v>
      </c>
      <c r="D141" s="100" t="s">
        <v>41</v>
      </c>
      <c r="E141" s="149"/>
      <c r="F141" s="175">
        <f>SUM(G141:O141)</f>
        <v>0</v>
      </c>
      <c r="G141" s="149">
        <v>0</v>
      </c>
      <c r="H141" s="245">
        <v>0</v>
      </c>
      <c r="I141" s="245"/>
      <c r="J141" s="245"/>
      <c r="K141" s="245"/>
      <c r="L141" s="245"/>
      <c r="M141" s="149">
        <v>0</v>
      </c>
      <c r="N141" s="149">
        <v>0</v>
      </c>
      <c r="O141" s="149">
        <v>0</v>
      </c>
      <c r="P141" s="265" t="s">
        <v>3</v>
      </c>
    </row>
    <row r="142" spans="1:17" s="43" customFormat="1" ht="38">
      <c r="A142" s="335"/>
      <c r="B142" s="242"/>
      <c r="C142" s="243"/>
      <c r="D142" s="100" t="s">
        <v>1</v>
      </c>
      <c r="E142" s="149"/>
      <c r="F142" s="175">
        <f t="shared" ref="F142:F144" si="26">SUM(G142:O142)</f>
        <v>0</v>
      </c>
      <c r="G142" s="149">
        <v>0</v>
      </c>
      <c r="H142" s="245">
        <v>0</v>
      </c>
      <c r="I142" s="245"/>
      <c r="J142" s="245"/>
      <c r="K142" s="245"/>
      <c r="L142" s="245"/>
      <c r="M142" s="149">
        <v>0</v>
      </c>
      <c r="N142" s="149">
        <v>0</v>
      </c>
      <c r="O142" s="149">
        <v>0</v>
      </c>
      <c r="P142" s="265"/>
    </row>
    <row r="143" spans="1:17" s="43" customFormat="1" ht="57">
      <c r="A143" s="335"/>
      <c r="B143" s="242"/>
      <c r="C143" s="243"/>
      <c r="D143" s="100" t="s">
        <v>48</v>
      </c>
      <c r="E143" s="149">
        <v>0</v>
      </c>
      <c r="F143" s="175">
        <f t="shared" si="26"/>
        <v>0</v>
      </c>
      <c r="G143" s="149">
        <v>0</v>
      </c>
      <c r="H143" s="245">
        <v>0</v>
      </c>
      <c r="I143" s="245"/>
      <c r="J143" s="245"/>
      <c r="K143" s="245"/>
      <c r="L143" s="245"/>
      <c r="M143" s="149">
        <v>0</v>
      </c>
      <c r="N143" s="149">
        <v>0</v>
      </c>
      <c r="O143" s="149">
        <v>0</v>
      </c>
      <c r="P143" s="265"/>
    </row>
    <row r="144" spans="1:17" s="43" customFormat="1" ht="19">
      <c r="A144" s="335"/>
      <c r="B144" s="242"/>
      <c r="C144" s="243"/>
      <c r="D144" s="100" t="s">
        <v>90</v>
      </c>
      <c r="E144" s="149"/>
      <c r="F144" s="175">
        <f t="shared" si="26"/>
        <v>0</v>
      </c>
      <c r="G144" s="149">
        <v>0</v>
      </c>
      <c r="H144" s="245">
        <v>0</v>
      </c>
      <c r="I144" s="245"/>
      <c r="J144" s="245"/>
      <c r="K144" s="245"/>
      <c r="L144" s="245"/>
      <c r="M144" s="149">
        <v>0</v>
      </c>
      <c r="N144" s="149">
        <v>0</v>
      </c>
      <c r="O144" s="149">
        <v>0</v>
      </c>
      <c r="P144" s="265"/>
    </row>
    <row r="145" spans="1:21" s="43" customFormat="1" ht="24.75" customHeight="1">
      <c r="A145" s="335"/>
      <c r="B145" s="237" t="s">
        <v>181</v>
      </c>
      <c r="C145" s="234" t="s">
        <v>129</v>
      </c>
      <c r="D145" s="234" t="s">
        <v>129</v>
      </c>
      <c r="E145" s="145"/>
      <c r="F145" s="248" t="s">
        <v>130</v>
      </c>
      <c r="G145" s="146" t="s">
        <v>287</v>
      </c>
      <c r="H145" s="246" t="s">
        <v>288</v>
      </c>
      <c r="I145" s="247" t="s">
        <v>131</v>
      </c>
      <c r="J145" s="247"/>
      <c r="K145" s="247"/>
      <c r="L145" s="247"/>
      <c r="M145" s="146" t="s">
        <v>136</v>
      </c>
      <c r="N145" s="146" t="s">
        <v>137</v>
      </c>
      <c r="O145" s="146" t="s">
        <v>138</v>
      </c>
      <c r="P145" s="257" t="s">
        <v>129</v>
      </c>
      <c r="Q145" s="44"/>
    </row>
    <row r="146" spans="1:21" s="43" customFormat="1" ht="21" customHeight="1">
      <c r="A146" s="335"/>
      <c r="B146" s="237"/>
      <c r="C146" s="234"/>
      <c r="D146" s="234"/>
      <c r="E146" s="145"/>
      <c r="F146" s="248"/>
      <c r="G146" s="145"/>
      <c r="H146" s="246"/>
      <c r="I146" s="145" t="s">
        <v>132</v>
      </c>
      <c r="J146" s="145" t="s">
        <v>133</v>
      </c>
      <c r="K146" s="145" t="s">
        <v>134</v>
      </c>
      <c r="L146" s="145" t="s">
        <v>135</v>
      </c>
      <c r="M146" s="145"/>
      <c r="N146" s="145"/>
      <c r="O146" s="145"/>
      <c r="P146" s="257"/>
      <c r="Q146" s="44"/>
    </row>
    <row r="147" spans="1:21" s="43" customFormat="1" ht="22.5" customHeight="1">
      <c r="A147" s="335"/>
      <c r="B147" s="237"/>
      <c r="C147" s="234"/>
      <c r="D147" s="234"/>
      <c r="E147" s="145"/>
      <c r="F147" s="174">
        <v>0</v>
      </c>
      <c r="G147" s="147">
        <v>0</v>
      </c>
      <c r="H147" s="147">
        <v>0</v>
      </c>
      <c r="I147" s="147">
        <v>0</v>
      </c>
      <c r="J147" s="147">
        <v>0</v>
      </c>
      <c r="K147" s="147">
        <v>0</v>
      </c>
      <c r="L147" s="147">
        <v>0</v>
      </c>
      <c r="M147" s="147">
        <v>0</v>
      </c>
      <c r="N147" s="147">
        <v>0</v>
      </c>
      <c r="O147" s="147">
        <v>0</v>
      </c>
      <c r="P147" s="257"/>
      <c r="Q147" s="44"/>
    </row>
    <row r="148" spans="1:21" s="9" customFormat="1" ht="18.75" customHeight="1">
      <c r="A148" s="309" t="s">
        <v>76</v>
      </c>
      <c r="B148" s="238" t="s">
        <v>96</v>
      </c>
      <c r="C148" s="238" t="s">
        <v>89</v>
      </c>
      <c r="D148" s="157" t="s">
        <v>2</v>
      </c>
      <c r="E148" s="158" t="e">
        <f>E150+E151+E149</f>
        <v>#REF!</v>
      </c>
      <c r="F148" s="173">
        <f>SUM(G148:O148)</f>
        <v>3775998.9004699998</v>
      </c>
      <c r="G148" s="158">
        <f t="shared" ref="G148" si="27">G150+G151+G149+G152</f>
        <v>724828.87861999997</v>
      </c>
      <c r="H148" s="252">
        <f>H150+H151+H149+H152</f>
        <v>778854.9449</v>
      </c>
      <c r="I148" s="252"/>
      <c r="J148" s="252"/>
      <c r="K148" s="252"/>
      <c r="L148" s="252"/>
      <c r="M148" s="158">
        <f t="shared" ref="M148:O148" si="28">M150+M151+M149+M152</f>
        <v>761982.42262999993</v>
      </c>
      <c r="N148" s="158">
        <f t="shared" si="28"/>
        <v>758096.31432</v>
      </c>
      <c r="O148" s="158">
        <f t="shared" si="28"/>
        <v>752236.34</v>
      </c>
      <c r="P148" s="262"/>
      <c r="T148" s="50"/>
      <c r="U148" s="50"/>
    </row>
    <row r="149" spans="1:21" s="9" customFormat="1" ht="39.75" customHeight="1">
      <c r="A149" s="309"/>
      <c r="B149" s="238"/>
      <c r="C149" s="238"/>
      <c r="D149" s="157" t="s">
        <v>41</v>
      </c>
      <c r="E149" s="159">
        <f>E167</f>
        <v>0</v>
      </c>
      <c r="F149" s="173">
        <f t="shared" ref="F149:F156" si="29">SUM(G149:O149)</f>
        <v>924801.34943000006</v>
      </c>
      <c r="G149" s="159">
        <f t="shared" ref="G149" si="30">G153+G160+G167+G174+G181</f>
        <v>168810.5778</v>
      </c>
      <c r="H149" s="251">
        <f>H153+H160+H167+H174+H181</f>
        <v>194255.56570000001</v>
      </c>
      <c r="I149" s="251"/>
      <c r="J149" s="251"/>
      <c r="K149" s="251"/>
      <c r="L149" s="251"/>
      <c r="M149" s="159">
        <f t="shared" ref="M149" si="31">M153+M160+M167+M174+M181</f>
        <v>198418.90356000001</v>
      </c>
      <c r="N149" s="159">
        <f t="shared" ref="N149:O149" si="32">N153+N160+N167+N174+N181</f>
        <v>181658.15237</v>
      </c>
      <c r="O149" s="159">
        <f t="shared" si="32"/>
        <v>181658.15</v>
      </c>
      <c r="P149" s="262"/>
      <c r="T149" s="50"/>
      <c r="U149" s="50"/>
    </row>
    <row r="150" spans="1:21" s="9" customFormat="1" ht="39.75" customHeight="1">
      <c r="A150" s="309"/>
      <c r="B150" s="238"/>
      <c r="C150" s="238"/>
      <c r="D150" s="157" t="s">
        <v>1</v>
      </c>
      <c r="E150" s="159" t="e">
        <f>#REF!+E153+E154+E161+#REF!+#REF!+E168+E175</f>
        <v>#REF!</v>
      </c>
      <c r="F150" s="173">
        <f t="shared" si="29"/>
        <v>1190122.3571899999</v>
      </c>
      <c r="G150" s="159">
        <f>G154+G161+G168+G175+G182+G196+G189</f>
        <v>266250.13696999999</v>
      </c>
      <c r="H150" s="251">
        <f>H154+H161+H168+H175+H182+H189+H196</f>
        <v>326245.87919999997</v>
      </c>
      <c r="I150" s="251"/>
      <c r="J150" s="251"/>
      <c r="K150" s="251"/>
      <c r="L150" s="251"/>
      <c r="M150" s="159">
        <f t="shared" ref="M150:O150" si="33">M154+M161+M168+M175+M182+M196</f>
        <v>191945.26906999998</v>
      </c>
      <c r="N150" s="159">
        <f t="shared" si="33"/>
        <v>205184.52194999999</v>
      </c>
      <c r="O150" s="159">
        <f t="shared" si="33"/>
        <v>200496.55</v>
      </c>
      <c r="P150" s="262"/>
      <c r="T150" s="50"/>
      <c r="U150" s="50"/>
    </row>
    <row r="151" spans="1:21" s="9" customFormat="1" ht="58.5" customHeight="1">
      <c r="A151" s="309"/>
      <c r="B151" s="238"/>
      <c r="C151" s="238"/>
      <c r="D151" s="157" t="s">
        <v>49</v>
      </c>
      <c r="E151" s="159" t="e">
        <f>#REF!+E162+#REF!+#REF!+#REF!+E169+E176</f>
        <v>#REF!</v>
      </c>
      <c r="F151" s="173">
        <f t="shared" si="29"/>
        <v>1661075.1938499999</v>
      </c>
      <c r="G151" s="159">
        <f>G155+G162+G169+G176+G183</f>
        <v>289768.16385000001</v>
      </c>
      <c r="H151" s="251">
        <f>H155+H162+H169+H176+H183+H190</f>
        <v>258353.5</v>
      </c>
      <c r="I151" s="251"/>
      <c r="J151" s="251"/>
      <c r="K151" s="251"/>
      <c r="L151" s="251"/>
      <c r="M151" s="159">
        <f t="shared" ref="M151" si="34">M155+M162+M169+M176+M183</f>
        <v>371618.25</v>
      </c>
      <c r="N151" s="159">
        <f>N155+N162+N169+N176+N183</f>
        <v>371253.64</v>
      </c>
      <c r="O151" s="159">
        <f t="shared" ref="O151" si="35">O155+O162+O169+O176+O183</f>
        <v>370081.64</v>
      </c>
      <c r="P151" s="262"/>
      <c r="T151" s="50"/>
      <c r="U151" s="50"/>
    </row>
    <row r="152" spans="1:21" s="9" customFormat="1" ht="19">
      <c r="A152" s="309"/>
      <c r="B152" s="238"/>
      <c r="C152" s="238"/>
      <c r="D152" s="157" t="s">
        <v>90</v>
      </c>
      <c r="E152" s="159"/>
      <c r="F152" s="173">
        <f t="shared" si="29"/>
        <v>0</v>
      </c>
      <c r="G152" s="159">
        <f t="shared" ref="G152" si="36">G156+G163+G170+G177+G184</f>
        <v>0</v>
      </c>
      <c r="H152" s="251">
        <f>H156+H163+H170+H177+H184</f>
        <v>0</v>
      </c>
      <c r="I152" s="251"/>
      <c r="J152" s="251"/>
      <c r="K152" s="251"/>
      <c r="L152" s="251"/>
      <c r="M152" s="159">
        <f t="shared" ref="M152:O152" si="37">M156+M163+M170+M177+M184</f>
        <v>0</v>
      </c>
      <c r="N152" s="159">
        <f t="shared" si="37"/>
        <v>0</v>
      </c>
      <c r="O152" s="159">
        <f t="shared" si="37"/>
        <v>0</v>
      </c>
      <c r="P152" s="262"/>
      <c r="T152" s="50"/>
      <c r="U152" s="50"/>
    </row>
    <row r="153" spans="1:21" s="43" customFormat="1" ht="37.5" customHeight="1">
      <c r="A153" s="305" t="s">
        <v>31</v>
      </c>
      <c r="B153" s="241" t="s">
        <v>97</v>
      </c>
      <c r="C153" s="239" t="s">
        <v>89</v>
      </c>
      <c r="D153" s="100" t="s">
        <v>41</v>
      </c>
      <c r="E153" s="131">
        <v>200475</v>
      </c>
      <c r="F153" s="173">
        <f t="shared" si="29"/>
        <v>0</v>
      </c>
      <c r="G153" s="131">
        <v>0</v>
      </c>
      <c r="H153" s="250">
        <v>0</v>
      </c>
      <c r="I153" s="250"/>
      <c r="J153" s="250"/>
      <c r="K153" s="250"/>
      <c r="L153" s="250"/>
      <c r="M153" s="131">
        <f>202841-202841</f>
        <v>0</v>
      </c>
      <c r="N153" s="131">
        <v>0</v>
      </c>
      <c r="O153" s="131">
        <v>0</v>
      </c>
      <c r="P153" s="253" t="s">
        <v>3</v>
      </c>
    </row>
    <row r="154" spans="1:21" s="43" customFormat="1" ht="38">
      <c r="A154" s="305"/>
      <c r="B154" s="241"/>
      <c r="C154" s="239"/>
      <c r="D154" s="100" t="s">
        <v>1</v>
      </c>
      <c r="E154" s="131">
        <v>93</v>
      </c>
      <c r="F154" s="173">
        <f t="shared" si="29"/>
        <v>7</v>
      </c>
      <c r="G154" s="131">
        <v>7</v>
      </c>
      <c r="H154" s="250">
        <v>0</v>
      </c>
      <c r="I154" s="250"/>
      <c r="J154" s="250"/>
      <c r="K154" s="250"/>
      <c r="L154" s="250"/>
      <c r="M154" s="131">
        <f>15+1-16</f>
        <v>0</v>
      </c>
      <c r="N154" s="131">
        <f>15+1-16</f>
        <v>0</v>
      </c>
      <c r="O154" s="131">
        <f>15+1-16</f>
        <v>0</v>
      </c>
      <c r="P154" s="253"/>
    </row>
    <row r="155" spans="1:21" s="43" customFormat="1" ht="57">
      <c r="A155" s="305"/>
      <c r="B155" s="241"/>
      <c r="C155" s="239"/>
      <c r="D155" s="100" t="s">
        <v>48</v>
      </c>
      <c r="E155" s="131"/>
      <c r="F155" s="173">
        <f t="shared" si="29"/>
        <v>0</v>
      </c>
      <c r="G155" s="131">
        <v>0</v>
      </c>
      <c r="H155" s="250">
        <v>0</v>
      </c>
      <c r="I155" s="250"/>
      <c r="J155" s="250"/>
      <c r="K155" s="250"/>
      <c r="L155" s="250"/>
      <c r="M155" s="131">
        <v>0</v>
      </c>
      <c r="N155" s="131">
        <v>0</v>
      </c>
      <c r="O155" s="131">
        <v>0</v>
      </c>
      <c r="P155" s="253"/>
    </row>
    <row r="156" spans="1:21" s="43" customFormat="1" ht="19">
      <c r="A156" s="305"/>
      <c r="B156" s="241"/>
      <c r="C156" s="239"/>
      <c r="D156" s="100" t="s">
        <v>90</v>
      </c>
      <c r="E156" s="131"/>
      <c r="F156" s="173">
        <f t="shared" si="29"/>
        <v>0</v>
      </c>
      <c r="G156" s="131">
        <v>0</v>
      </c>
      <c r="H156" s="250">
        <v>0</v>
      </c>
      <c r="I156" s="250"/>
      <c r="J156" s="250"/>
      <c r="K156" s="250"/>
      <c r="L156" s="250"/>
      <c r="M156" s="131">
        <v>0</v>
      </c>
      <c r="N156" s="131">
        <v>0</v>
      </c>
      <c r="O156" s="131">
        <v>0</v>
      </c>
      <c r="P156" s="253"/>
    </row>
    <row r="157" spans="1:21" s="43" customFormat="1" ht="19.5" customHeight="1">
      <c r="A157" s="305"/>
      <c r="B157" s="237" t="s">
        <v>186</v>
      </c>
      <c r="C157" s="234" t="s">
        <v>129</v>
      </c>
      <c r="D157" s="234" t="s">
        <v>129</v>
      </c>
      <c r="E157" s="145"/>
      <c r="F157" s="248" t="s">
        <v>130</v>
      </c>
      <c r="G157" s="146" t="s">
        <v>287</v>
      </c>
      <c r="H157" s="246" t="s">
        <v>288</v>
      </c>
      <c r="I157" s="247" t="s">
        <v>131</v>
      </c>
      <c r="J157" s="247"/>
      <c r="K157" s="247"/>
      <c r="L157" s="247"/>
      <c r="M157" s="146" t="s">
        <v>136</v>
      </c>
      <c r="N157" s="146" t="s">
        <v>137</v>
      </c>
      <c r="O157" s="146" t="s">
        <v>138</v>
      </c>
      <c r="P157" s="257" t="s">
        <v>129</v>
      </c>
      <c r="Q157" s="44"/>
    </row>
    <row r="158" spans="1:21" s="43" customFormat="1" ht="22.5" customHeight="1">
      <c r="A158" s="305"/>
      <c r="B158" s="237"/>
      <c r="C158" s="234"/>
      <c r="D158" s="234"/>
      <c r="E158" s="145"/>
      <c r="F158" s="248"/>
      <c r="G158" s="145"/>
      <c r="H158" s="246"/>
      <c r="I158" s="145" t="s">
        <v>132</v>
      </c>
      <c r="J158" s="145" t="s">
        <v>133</v>
      </c>
      <c r="K158" s="145" t="s">
        <v>134</v>
      </c>
      <c r="L158" s="145" t="s">
        <v>135</v>
      </c>
      <c r="M158" s="145"/>
      <c r="N158" s="145"/>
      <c r="O158" s="145"/>
      <c r="P158" s="257"/>
      <c r="Q158" s="44"/>
    </row>
    <row r="159" spans="1:21" s="43" customFormat="1" ht="29.25" customHeight="1">
      <c r="A159" s="305"/>
      <c r="B159" s="237"/>
      <c r="C159" s="234"/>
      <c r="D159" s="234"/>
      <c r="E159" s="145"/>
      <c r="F159" s="174">
        <v>100</v>
      </c>
      <c r="G159" s="147">
        <v>100</v>
      </c>
      <c r="H159" s="147">
        <v>0</v>
      </c>
      <c r="I159" s="147">
        <v>0</v>
      </c>
      <c r="J159" s="147">
        <v>0</v>
      </c>
      <c r="K159" s="147">
        <v>0</v>
      </c>
      <c r="L159" s="147">
        <v>0</v>
      </c>
      <c r="M159" s="147">
        <v>0</v>
      </c>
      <c r="N159" s="147">
        <v>0</v>
      </c>
      <c r="O159" s="147">
        <v>0</v>
      </c>
      <c r="P159" s="257"/>
      <c r="Q159" s="44"/>
    </row>
    <row r="160" spans="1:21" s="43" customFormat="1" ht="33.75" customHeight="1">
      <c r="A160" s="305" t="s">
        <v>32</v>
      </c>
      <c r="B160" s="254" t="s">
        <v>143</v>
      </c>
      <c r="C160" s="239" t="s">
        <v>89</v>
      </c>
      <c r="D160" s="100" t="s">
        <v>41</v>
      </c>
      <c r="E160" s="131"/>
      <c r="F160" s="173">
        <f>SUM(G160:O160)</f>
        <v>0</v>
      </c>
      <c r="G160" s="131">
        <v>0</v>
      </c>
      <c r="H160" s="250">
        <v>0</v>
      </c>
      <c r="I160" s="250"/>
      <c r="J160" s="250"/>
      <c r="K160" s="250"/>
      <c r="L160" s="250"/>
      <c r="M160" s="131">
        <f>1680-1680</f>
        <v>0</v>
      </c>
      <c r="N160" s="131">
        <f>1680-1680</f>
        <v>0</v>
      </c>
      <c r="O160" s="131">
        <v>0</v>
      </c>
      <c r="P160" s="253" t="s">
        <v>3</v>
      </c>
    </row>
    <row r="161" spans="1:17" s="43" customFormat="1" ht="37.5" customHeight="1">
      <c r="A161" s="305"/>
      <c r="B161" s="254"/>
      <c r="C161" s="239"/>
      <c r="D161" s="100" t="s">
        <v>1</v>
      </c>
      <c r="E161" s="131">
        <v>1680</v>
      </c>
      <c r="F161" s="173">
        <f t="shared" ref="F161:F163" si="38">SUM(G161:O161)</f>
        <v>17696</v>
      </c>
      <c r="G161" s="131">
        <v>0</v>
      </c>
      <c r="H161" s="250">
        <v>8512</v>
      </c>
      <c r="I161" s="250"/>
      <c r="J161" s="250"/>
      <c r="K161" s="250"/>
      <c r="L161" s="250"/>
      <c r="M161" s="131">
        <v>4496</v>
      </c>
      <c r="N161" s="131">
        <v>4688</v>
      </c>
      <c r="O161" s="131">
        <v>0</v>
      </c>
      <c r="P161" s="253"/>
    </row>
    <row r="162" spans="1:17" s="43" customFormat="1" ht="57">
      <c r="A162" s="305"/>
      <c r="B162" s="254"/>
      <c r="C162" s="239"/>
      <c r="D162" s="100" t="s">
        <v>48</v>
      </c>
      <c r="E162" s="131">
        <v>420</v>
      </c>
      <c r="F162" s="173">
        <f t="shared" si="38"/>
        <v>4424</v>
      </c>
      <c r="G162" s="131">
        <v>0</v>
      </c>
      <c r="H162" s="250">
        <v>2128</v>
      </c>
      <c r="I162" s="250"/>
      <c r="J162" s="250"/>
      <c r="K162" s="250"/>
      <c r="L162" s="250"/>
      <c r="M162" s="131">
        <v>1124</v>
      </c>
      <c r="N162" s="131">
        <v>1172</v>
      </c>
      <c r="O162" s="131">
        <v>0</v>
      </c>
      <c r="P162" s="253"/>
    </row>
    <row r="163" spans="1:17" s="43" customFormat="1" ht="19">
      <c r="A163" s="305"/>
      <c r="B163" s="254"/>
      <c r="C163" s="239"/>
      <c r="D163" s="100" t="s">
        <v>90</v>
      </c>
      <c r="E163" s="131"/>
      <c r="F163" s="173">
        <f t="shared" si="38"/>
        <v>0</v>
      </c>
      <c r="G163" s="131">
        <v>0</v>
      </c>
      <c r="H163" s="250">
        <v>0</v>
      </c>
      <c r="I163" s="250"/>
      <c r="J163" s="250"/>
      <c r="K163" s="250"/>
      <c r="L163" s="250"/>
      <c r="M163" s="131">
        <v>0</v>
      </c>
      <c r="N163" s="131">
        <v>0</v>
      </c>
      <c r="O163" s="131">
        <v>0</v>
      </c>
      <c r="P163" s="253"/>
    </row>
    <row r="164" spans="1:17" s="43" customFormat="1" ht="24.75" customHeight="1">
      <c r="A164" s="305"/>
      <c r="B164" s="237" t="s">
        <v>187</v>
      </c>
      <c r="C164" s="234" t="s">
        <v>129</v>
      </c>
      <c r="D164" s="234" t="s">
        <v>129</v>
      </c>
      <c r="E164" s="145"/>
      <c r="F164" s="248" t="s">
        <v>130</v>
      </c>
      <c r="G164" s="146" t="s">
        <v>287</v>
      </c>
      <c r="H164" s="246" t="s">
        <v>288</v>
      </c>
      <c r="I164" s="247" t="s">
        <v>131</v>
      </c>
      <c r="J164" s="247"/>
      <c r="K164" s="247"/>
      <c r="L164" s="247"/>
      <c r="M164" s="146" t="s">
        <v>136</v>
      </c>
      <c r="N164" s="146" t="s">
        <v>137</v>
      </c>
      <c r="O164" s="146" t="s">
        <v>138</v>
      </c>
      <c r="P164" s="257" t="s">
        <v>129</v>
      </c>
      <c r="Q164" s="44"/>
    </row>
    <row r="165" spans="1:17" s="43" customFormat="1" ht="24.75" customHeight="1">
      <c r="A165" s="305"/>
      <c r="B165" s="237"/>
      <c r="C165" s="234"/>
      <c r="D165" s="234"/>
      <c r="E165" s="145"/>
      <c r="F165" s="248"/>
      <c r="G165" s="145"/>
      <c r="H165" s="246"/>
      <c r="I165" s="145" t="s">
        <v>132</v>
      </c>
      <c r="J165" s="145" t="s">
        <v>133</v>
      </c>
      <c r="K165" s="145" t="s">
        <v>134</v>
      </c>
      <c r="L165" s="145" t="s">
        <v>135</v>
      </c>
      <c r="M165" s="145"/>
      <c r="N165" s="145"/>
      <c r="O165" s="145"/>
      <c r="P165" s="257"/>
      <c r="Q165" s="44"/>
    </row>
    <row r="166" spans="1:17" s="43" customFormat="1" ht="32.25" customHeight="1">
      <c r="A166" s="305"/>
      <c r="B166" s="237"/>
      <c r="C166" s="234"/>
      <c r="D166" s="234"/>
      <c r="E166" s="145"/>
      <c r="F166" s="174">
        <f>H166+G166+M166+N166</f>
        <v>4</v>
      </c>
      <c r="G166" s="147">
        <v>0</v>
      </c>
      <c r="H166" s="147">
        <v>2</v>
      </c>
      <c r="I166" s="147">
        <v>0</v>
      </c>
      <c r="J166" s="147">
        <v>0</v>
      </c>
      <c r="K166" s="147">
        <v>0</v>
      </c>
      <c r="L166" s="147">
        <v>2</v>
      </c>
      <c r="M166" s="147">
        <v>1</v>
      </c>
      <c r="N166" s="147">
        <v>1</v>
      </c>
      <c r="O166" s="147">
        <v>0</v>
      </c>
      <c r="P166" s="257"/>
      <c r="Q166" s="44"/>
    </row>
    <row r="167" spans="1:17" s="43" customFormat="1" ht="36.75" customHeight="1">
      <c r="A167" s="318" t="s">
        <v>33</v>
      </c>
      <c r="B167" s="254" t="s">
        <v>144</v>
      </c>
      <c r="C167" s="239" t="s">
        <v>89</v>
      </c>
      <c r="D167" s="99" t="s">
        <v>41</v>
      </c>
      <c r="E167" s="131">
        <v>0</v>
      </c>
      <c r="F167" s="173">
        <f>SUM(G167:O167)</f>
        <v>924801.34943000006</v>
      </c>
      <c r="G167" s="131">
        <v>168810.5778</v>
      </c>
      <c r="H167" s="250">
        <f>194255.57-0.0043</f>
        <v>194255.56570000001</v>
      </c>
      <c r="I167" s="250"/>
      <c r="J167" s="250"/>
      <c r="K167" s="250"/>
      <c r="L167" s="250"/>
      <c r="M167" s="131">
        <f>179543.93-0.00394+0.00394+18874.97+0.00356</f>
        <v>198418.90356000001</v>
      </c>
      <c r="N167" s="131">
        <f>179543.93+457.1+1657.12+0.00237</f>
        <v>181658.15237</v>
      </c>
      <c r="O167" s="131">
        <f>179543.93+457.1+1657.12</f>
        <v>181658.15</v>
      </c>
      <c r="P167" s="253" t="s">
        <v>98</v>
      </c>
    </row>
    <row r="168" spans="1:17" s="43" customFormat="1" ht="38">
      <c r="A168" s="319"/>
      <c r="B168" s="254"/>
      <c r="C168" s="239"/>
      <c r="D168" s="99" t="s">
        <v>1</v>
      </c>
      <c r="E168" s="131">
        <v>0</v>
      </c>
      <c r="F168" s="173">
        <f t="shared" ref="F168:F170" si="39">SUM(G168:O168)</f>
        <v>643365.35718999989</v>
      </c>
      <c r="G168" s="131">
        <v>102492.13697000001</v>
      </c>
      <c r="H168" s="250">
        <f>117940.93-0.0508</f>
        <v>117940.8792</v>
      </c>
      <c r="I168" s="250"/>
      <c r="J168" s="250"/>
      <c r="K168" s="250"/>
      <c r="L168" s="250"/>
      <c r="M168" s="131">
        <f>119695.97-0.01885+0.01885+12583.33-0.03093</f>
        <v>132279.26906999998</v>
      </c>
      <c r="N168" s="131">
        <f>119695.97+24304.9+1325.68-0.02805</f>
        <v>145326.52194999999</v>
      </c>
      <c r="O168" s="131">
        <f>119695.97+24304.9+1325.68</f>
        <v>145326.54999999999</v>
      </c>
      <c r="P168" s="253"/>
    </row>
    <row r="169" spans="1:17" s="43" customFormat="1" ht="57">
      <c r="A169" s="319"/>
      <c r="B169" s="254"/>
      <c r="C169" s="239"/>
      <c r="D169" s="99" t="s">
        <v>49</v>
      </c>
      <c r="E169" s="131">
        <v>0</v>
      </c>
      <c r="F169" s="173">
        <f t="shared" si="39"/>
        <v>174240.75185</v>
      </c>
      <c r="G169" s="131">
        <v>30144.746090000001</v>
      </c>
      <c r="H169" s="250">
        <f>34688.5-0.00612</f>
        <v>34688.493880000002</v>
      </c>
      <c r="I169" s="250"/>
      <c r="J169" s="250"/>
      <c r="K169" s="250"/>
      <c r="L169" s="250"/>
      <c r="M169" s="131">
        <f>33248.88+3495.37-0.0086</f>
        <v>36744.241399999999</v>
      </c>
      <c r="N169" s="131">
        <f>33248.88+2751.33+331.43-0.00952</f>
        <v>36331.63048</v>
      </c>
      <c r="O169" s="131">
        <f>33248.88+2751.33+331.43</f>
        <v>36331.64</v>
      </c>
      <c r="P169" s="253"/>
    </row>
    <row r="170" spans="1:17" s="43" customFormat="1" ht="19">
      <c r="A170" s="319"/>
      <c r="B170" s="254"/>
      <c r="C170" s="239"/>
      <c r="D170" s="100" t="s">
        <v>90</v>
      </c>
      <c r="E170" s="131"/>
      <c r="F170" s="173">
        <f t="shared" si="39"/>
        <v>0</v>
      </c>
      <c r="G170" s="131">
        <v>0</v>
      </c>
      <c r="H170" s="250">
        <v>0</v>
      </c>
      <c r="I170" s="250"/>
      <c r="J170" s="250"/>
      <c r="K170" s="250"/>
      <c r="L170" s="250"/>
      <c r="M170" s="131">
        <v>0</v>
      </c>
      <c r="N170" s="131">
        <v>0</v>
      </c>
      <c r="O170" s="131">
        <v>0</v>
      </c>
      <c r="P170" s="253"/>
    </row>
    <row r="171" spans="1:17" s="43" customFormat="1" ht="27.75" customHeight="1">
      <c r="A171" s="319"/>
      <c r="B171" s="237" t="s">
        <v>188</v>
      </c>
      <c r="C171" s="234" t="s">
        <v>129</v>
      </c>
      <c r="D171" s="234" t="s">
        <v>129</v>
      </c>
      <c r="E171" s="145"/>
      <c r="F171" s="248" t="s">
        <v>130</v>
      </c>
      <c r="G171" s="146" t="s">
        <v>287</v>
      </c>
      <c r="H171" s="246" t="s">
        <v>288</v>
      </c>
      <c r="I171" s="247" t="s">
        <v>131</v>
      </c>
      <c r="J171" s="247"/>
      <c r="K171" s="247"/>
      <c r="L171" s="247"/>
      <c r="M171" s="146" t="s">
        <v>136</v>
      </c>
      <c r="N171" s="146" t="s">
        <v>137</v>
      </c>
      <c r="O171" s="146" t="s">
        <v>138</v>
      </c>
      <c r="P171" s="257" t="s">
        <v>129</v>
      </c>
      <c r="Q171" s="44"/>
    </row>
    <row r="172" spans="1:17" s="43" customFormat="1" ht="27.75" customHeight="1">
      <c r="A172" s="319"/>
      <c r="B172" s="237"/>
      <c r="C172" s="234"/>
      <c r="D172" s="234"/>
      <c r="E172" s="145"/>
      <c r="F172" s="248"/>
      <c r="G172" s="145"/>
      <c r="H172" s="246"/>
      <c r="I172" s="145" t="s">
        <v>132</v>
      </c>
      <c r="J172" s="145" t="s">
        <v>133</v>
      </c>
      <c r="K172" s="145" t="s">
        <v>134</v>
      </c>
      <c r="L172" s="145" t="s">
        <v>135</v>
      </c>
      <c r="M172" s="145"/>
      <c r="N172" s="145"/>
      <c r="O172" s="145"/>
      <c r="P172" s="257"/>
      <c r="Q172" s="44"/>
    </row>
    <row r="173" spans="1:17" s="43" customFormat="1" ht="42.75" customHeight="1">
      <c r="A173" s="320"/>
      <c r="B173" s="237"/>
      <c r="C173" s="234"/>
      <c r="D173" s="234"/>
      <c r="E173" s="145"/>
      <c r="F173" s="174">
        <v>100</v>
      </c>
      <c r="G173" s="147">
        <v>100</v>
      </c>
      <c r="H173" s="147">
        <v>100</v>
      </c>
      <c r="I173" s="147">
        <v>100</v>
      </c>
      <c r="J173" s="147">
        <v>100</v>
      </c>
      <c r="K173" s="147">
        <v>100</v>
      </c>
      <c r="L173" s="147">
        <v>100</v>
      </c>
      <c r="M173" s="147">
        <v>100</v>
      </c>
      <c r="N173" s="147">
        <v>100</v>
      </c>
      <c r="O173" s="147">
        <v>100</v>
      </c>
      <c r="P173" s="257"/>
      <c r="Q173" s="44"/>
    </row>
    <row r="174" spans="1:17" s="43" customFormat="1" ht="35.25" customHeight="1">
      <c r="A174" s="305" t="s">
        <v>34</v>
      </c>
      <c r="B174" s="254" t="s">
        <v>145</v>
      </c>
      <c r="C174" s="239" t="s">
        <v>89</v>
      </c>
      <c r="D174" s="99" t="s">
        <v>41</v>
      </c>
      <c r="E174" s="131"/>
      <c r="F174" s="173">
        <f>SUM(G174:O174)</f>
        <v>0</v>
      </c>
      <c r="G174" s="131">
        <v>0</v>
      </c>
      <c r="H174" s="250">
        <v>0</v>
      </c>
      <c r="I174" s="250"/>
      <c r="J174" s="250"/>
      <c r="K174" s="250"/>
      <c r="L174" s="250"/>
      <c r="M174" s="131">
        <v>0</v>
      </c>
      <c r="N174" s="131">
        <v>0</v>
      </c>
      <c r="O174" s="131">
        <v>0</v>
      </c>
      <c r="P174" s="253" t="s">
        <v>98</v>
      </c>
    </row>
    <row r="175" spans="1:17" s="43" customFormat="1" ht="38">
      <c r="A175" s="305"/>
      <c r="B175" s="254"/>
      <c r="C175" s="239"/>
      <c r="D175" s="99" t="s">
        <v>1</v>
      </c>
      <c r="E175" s="131">
        <v>0</v>
      </c>
      <c r="F175" s="173">
        <f t="shared" ref="F175:F177" si="40">SUM(G175:O175)</f>
        <v>235279</v>
      </c>
      <c r="G175" s="131">
        <v>115501</v>
      </c>
      <c r="H175" s="255">
        <f>114359+3132+2287</f>
        <v>119778</v>
      </c>
      <c r="I175" s="255"/>
      <c r="J175" s="255"/>
      <c r="K175" s="255"/>
      <c r="L175" s="255"/>
      <c r="M175" s="131">
        <f>106081-726-105355</f>
        <v>0</v>
      </c>
      <c r="N175" s="131">
        <f t="shared" ref="N175:O175" si="41">106081-726-105355</f>
        <v>0</v>
      </c>
      <c r="O175" s="131">
        <f t="shared" si="41"/>
        <v>0</v>
      </c>
      <c r="P175" s="253"/>
    </row>
    <row r="176" spans="1:17" s="43" customFormat="1" ht="57">
      <c r="A176" s="305"/>
      <c r="B176" s="254"/>
      <c r="C176" s="239"/>
      <c r="D176" s="99" t="s">
        <v>49</v>
      </c>
      <c r="E176" s="131">
        <v>0</v>
      </c>
      <c r="F176" s="173">
        <f t="shared" si="40"/>
        <v>1348986.7284200001</v>
      </c>
      <c r="G176" s="131">
        <v>223675.70418</v>
      </c>
      <c r="H176" s="255">
        <f>194290+0.00612+1378+1500</f>
        <v>197168.00612000001</v>
      </c>
      <c r="I176" s="255"/>
      <c r="J176" s="255"/>
      <c r="K176" s="255"/>
      <c r="L176" s="255"/>
      <c r="M176" s="131">
        <f>67254-461+151046+91542+0.0086</f>
        <v>309381.0086</v>
      </c>
      <c r="N176" s="131">
        <f>67254-461+151046+91542+0.00952</f>
        <v>309381.00952000002</v>
      </c>
      <c r="O176" s="131">
        <f>67254-461+151046+91542</f>
        <v>309381</v>
      </c>
      <c r="P176" s="253"/>
    </row>
    <row r="177" spans="1:17" s="43" customFormat="1" ht="19">
      <c r="A177" s="305"/>
      <c r="B177" s="254"/>
      <c r="C177" s="239"/>
      <c r="D177" s="100" t="s">
        <v>90</v>
      </c>
      <c r="E177" s="131"/>
      <c r="F177" s="173">
        <f t="shared" si="40"/>
        <v>0</v>
      </c>
      <c r="G177" s="131">
        <v>0</v>
      </c>
      <c r="H177" s="250">
        <v>0</v>
      </c>
      <c r="I177" s="250"/>
      <c r="J177" s="250"/>
      <c r="K177" s="250"/>
      <c r="L177" s="250"/>
      <c r="M177" s="131">
        <v>0</v>
      </c>
      <c r="N177" s="131">
        <v>0</v>
      </c>
      <c r="O177" s="131">
        <v>0</v>
      </c>
      <c r="P177" s="253"/>
    </row>
    <row r="178" spans="1:17" s="43" customFormat="1" ht="35.25" customHeight="1">
      <c r="A178" s="305"/>
      <c r="B178" s="237" t="s">
        <v>189</v>
      </c>
      <c r="C178" s="234" t="s">
        <v>129</v>
      </c>
      <c r="D178" s="234" t="s">
        <v>129</v>
      </c>
      <c r="E178" s="145"/>
      <c r="F178" s="248" t="s">
        <v>130</v>
      </c>
      <c r="G178" s="146" t="s">
        <v>287</v>
      </c>
      <c r="H178" s="246" t="s">
        <v>288</v>
      </c>
      <c r="I178" s="247" t="s">
        <v>131</v>
      </c>
      <c r="J178" s="247"/>
      <c r="K178" s="247"/>
      <c r="L178" s="247"/>
      <c r="M178" s="146" t="s">
        <v>136</v>
      </c>
      <c r="N178" s="146" t="s">
        <v>137</v>
      </c>
      <c r="O178" s="146" t="s">
        <v>138</v>
      </c>
      <c r="P178" s="257" t="s">
        <v>129</v>
      </c>
      <c r="Q178" s="44"/>
    </row>
    <row r="179" spans="1:17" s="43" customFormat="1" ht="35.25" customHeight="1">
      <c r="A179" s="305"/>
      <c r="B179" s="237"/>
      <c r="C179" s="234"/>
      <c r="D179" s="234"/>
      <c r="E179" s="145"/>
      <c r="F179" s="248"/>
      <c r="G179" s="145"/>
      <c r="H179" s="246"/>
      <c r="I179" s="145" t="s">
        <v>132</v>
      </c>
      <c r="J179" s="145" t="s">
        <v>133</v>
      </c>
      <c r="K179" s="145" t="s">
        <v>134</v>
      </c>
      <c r="L179" s="145" t="s">
        <v>135</v>
      </c>
      <c r="M179" s="145"/>
      <c r="N179" s="145"/>
      <c r="O179" s="145"/>
      <c r="P179" s="257"/>
      <c r="Q179" s="44"/>
    </row>
    <row r="180" spans="1:17" s="43" customFormat="1" ht="47.25" customHeight="1">
      <c r="A180" s="305"/>
      <c r="B180" s="237"/>
      <c r="C180" s="234"/>
      <c r="D180" s="234"/>
      <c r="E180" s="145"/>
      <c r="F180" s="174">
        <v>100</v>
      </c>
      <c r="G180" s="147">
        <v>100</v>
      </c>
      <c r="H180" s="147">
        <v>100</v>
      </c>
      <c r="I180" s="147">
        <v>100</v>
      </c>
      <c r="J180" s="147">
        <v>100</v>
      </c>
      <c r="K180" s="147">
        <v>100</v>
      </c>
      <c r="L180" s="147">
        <v>100</v>
      </c>
      <c r="M180" s="147">
        <v>100</v>
      </c>
      <c r="N180" s="147">
        <v>100</v>
      </c>
      <c r="O180" s="147">
        <v>100</v>
      </c>
      <c r="P180" s="257"/>
      <c r="Q180" s="44"/>
    </row>
    <row r="181" spans="1:17" s="43" customFormat="1" ht="39" customHeight="1">
      <c r="A181" s="335" t="s">
        <v>70</v>
      </c>
      <c r="B181" s="242" t="s">
        <v>150</v>
      </c>
      <c r="C181" s="243" t="s">
        <v>89</v>
      </c>
      <c r="D181" s="99" t="s">
        <v>41</v>
      </c>
      <c r="E181" s="131"/>
      <c r="F181" s="173">
        <f>SUM(G181:O181)</f>
        <v>0</v>
      </c>
      <c r="G181" s="131">
        <v>0</v>
      </c>
      <c r="H181" s="250">
        <v>0</v>
      </c>
      <c r="I181" s="250"/>
      <c r="J181" s="250"/>
      <c r="K181" s="250"/>
      <c r="L181" s="250"/>
      <c r="M181" s="131">
        <v>0</v>
      </c>
      <c r="N181" s="131">
        <v>0</v>
      </c>
      <c r="O181" s="131">
        <v>0</v>
      </c>
      <c r="P181" s="265" t="s">
        <v>3</v>
      </c>
    </row>
    <row r="182" spans="1:17" s="43" customFormat="1" ht="38">
      <c r="A182" s="335"/>
      <c r="B182" s="242"/>
      <c r="C182" s="243"/>
      <c r="D182" s="99" t="s">
        <v>1</v>
      </c>
      <c r="E182" s="149">
        <v>0</v>
      </c>
      <c r="F182" s="173">
        <f t="shared" ref="F182:F184" si="42">SUM(G182:O182)</f>
        <v>201093</v>
      </c>
      <c r="G182" s="149">
        <v>39329</v>
      </c>
      <c r="H182" s="245">
        <v>40441</v>
      </c>
      <c r="I182" s="245"/>
      <c r="J182" s="245"/>
      <c r="K182" s="245"/>
      <c r="L182" s="245"/>
      <c r="M182" s="149">
        <f t="shared" ref="M182:O182" si="43">38182+2259</f>
        <v>40441</v>
      </c>
      <c r="N182" s="149">
        <f t="shared" si="43"/>
        <v>40441</v>
      </c>
      <c r="O182" s="149">
        <f t="shared" si="43"/>
        <v>40441</v>
      </c>
      <c r="P182" s="265"/>
    </row>
    <row r="183" spans="1:17" s="43" customFormat="1" ht="57">
      <c r="A183" s="335"/>
      <c r="B183" s="242"/>
      <c r="C183" s="243"/>
      <c r="D183" s="99" t="s">
        <v>49</v>
      </c>
      <c r="E183" s="149">
        <v>0</v>
      </c>
      <c r="F183" s="173">
        <f t="shared" si="42"/>
        <v>133423.71358000001</v>
      </c>
      <c r="G183" s="149">
        <v>35947.713580000003</v>
      </c>
      <c r="H183" s="245">
        <v>24369</v>
      </c>
      <c r="I183" s="245"/>
      <c r="J183" s="245"/>
      <c r="K183" s="245"/>
      <c r="L183" s="245"/>
      <c r="M183" s="149">
        <f t="shared" ref="M183:O183" si="44">28428+24206-28428+163</f>
        <v>24369</v>
      </c>
      <c r="N183" s="149">
        <f t="shared" si="44"/>
        <v>24369</v>
      </c>
      <c r="O183" s="149">
        <f t="shared" si="44"/>
        <v>24369</v>
      </c>
      <c r="P183" s="265"/>
    </row>
    <row r="184" spans="1:17" s="43" customFormat="1" ht="19">
      <c r="A184" s="335"/>
      <c r="B184" s="242"/>
      <c r="C184" s="243"/>
      <c r="D184" s="100" t="s">
        <v>90</v>
      </c>
      <c r="E184" s="149"/>
      <c r="F184" s="173">
        <f t="shared" si="42"/>
        <v>0</v>
      </c>
      <c r="G184" s="149">
        <v>0</v>
      </c>
      <c r="H184" s="245">
        <v>0</v>
      </c>
      <c r="I184" s="245"/>
      <c r="J184" s="245"/>
      <c r="K184" s="245"/>
      <c r="L184" s="245"/>
      <c r="M184" s="149">
        <v>0</v>
      </c>
      <c r="N184" s="149">
        <v>0</v>
      </c>
      <c r="O184" s="149">
        <v>0</v>
      </c>
      <c r="P184" s="265"/>
    </row>
    <row r="185" spans="1:17" s="43" customFormat="1" ht="26.25" customHeight="1">
      <c r="A185" s="335"/>
      <c r="B185" s="237" t="s">
        <v>190</v>
      </c>
      <c r="C185" s="234" t="s">
        <v>129</v>
      </c>
      <c r="D185" s="234" t="s">
        <v>129</v>
      </c>
      <c r="E185" s="145"/>
      <c r="F185" s="248" t="s">
        <v>130</v>
      </c>
      <c r="G185" s="146" t="s">
        <v>287</v>
      </c>
      <c r="H185" s="246" t="s">
        <v>288</v>
      </c>
      <c r="I185" s="247" t="s">
        <v>131</v>
      </c>
      <c r="J185" s="247"/>
      <c r="K185" s="247"/>
      <c r="L185" s="247"/>
      <c r="M185" s="146" t="s">
        <v>136</v>
      </c>
      <c r="N185" s="146" t="s">
        <v>137</v>
      </c>
      <c r="O185" s="146" t="s">
        <v>138</v>
      </c>
      <c r="P185" s="257" t="s">
        <v>129</v>
      </c>
      <c r="Q185" s="44"/>
    </row>
    <row r="186" spans="1:17" s="43" customFormat="1" ht="19.5" customHeight="1">
      <c r="A186" s="335"/>
      <c r="B186" s="237"/>
      <c r="C186" s="234"/>
      <c r="D186" s="234"/>
      <c r="E186" s="145"/>
      <c r="F186" s="248"/>
      <c r="G186" s="145"/>
      <c r="H186" s="246"/>
      <c r="I186" s="145" t="s">
        <v>132</v>
      </c>
      <c r="J186" s="145" t="s">
        <v>133</v>
      </c>
      <c r="K186" s="145" t="s">
        <v>134</v>
      </c>
      <c r="L186" s="145" t="s">
        <v>135</v>
      </c>
      <c r="M186" s="145"/>
      <c r="N186" s="145"/>
      <c r="O186" s="145"/>
      <c r="P186" s="257"/>
      <c r="Q186" s="44"/>
    </row>
    <row r="187" spans="1:17" s="43" customFormat="1" ht="28.5" customHeight="1">
      <c r="A187" s="335"/>
      <c r="B187" s="237"/>
      <c r="C187" s="234"/>
      <c r="D187" s="234"/>
      <c r="E187" s="145"/>
      <c r="F187" s="174">
        <v>785</v>
      </c>
      <c r="G187" s="147">
        <v>785</v>
      </c>
      <c r="H187" s="147">
        <v>785</v>
      </c>
      <c r="I187" s="147">
        <v>785</v>
      </c>
      <c r="J187" s="147">
        <v>785</v>
      </c>
      <c r="K187" s="147">
        <v>785</v>
      </c>
      <c r="L187" s="147">
        <v>785</v>
      </c>
      <c r="M187" s="147">
        <v>785</v>
      </c>
      <c r="N187" s="147">
        <v>785</v>
      </c>
      <c r="O187" s="147">
        <v>785</v>
      </c>
      <c r="P187" s="257"/>
      <c r="Q187" s="44"/>
    </row>
    <row r="188" spans="1:17" s="125" customFormat="1" ht="39" customHeight="1">
      <c r="A188" s="335" t="s">
        <v>244</v>
      </c>
      <c r="B188" s="242" t="s">
        <v>245</v>
      </c>
      <c r="C188" s="243" t="s">
        <v>89</v>
      </c>
      <c r="D188" s="99" t="s">
        <v>41</v>
      </c>
      <c r="E188" s="131"/>
      <c r="F188" s="173">
        <f>SUM(G188:O188)</f>
        <v>0</v>
      </c>
      <c r="G188" s="131">
        <v>0</v>
      </c>
      <c r="H188" s="250">
        <v>0</v>
      </c>
      <c r="I188" s="250"/>
      <c r="J188" s="250"/>
      <c r="K188" s="250"/>
      <c r="L188" s="250"/>
      <c r="M188" s="131">
        <v>0</v>
      </c>
      <c r="N188" s="131">
        <v>0</v>
      </c>
      <c r="O188" s="131">
        <v>0</v>
      </c>
      <c r="P188" s="265" t="s">
        <v>3</v>
      </c>
    </row>
    <row r="189" spans="1:17" s="125" customFormat="1" ht="38">
      <c r="A189" s="335"/>
      <c r="B189" s="242"/>
      <c r="C189" s="243"/>
      <c r="D189" s="99" t="s">
        <v>1</v>
      </c>
      <c r="E189" s="149">
        <v>0</v>
      </c>
      <c r="F189" s="173">
        <f t="shared" ref="F189:F191" si="45">SUM(G189:O189)</f>
        <v>33506</v>
      </c>
      <c r="G189" s="149">
        <v>8921</v>
      </c>
      <c r="H189" s="245">
        <v>24585</v>
      </c>
      <c r="I189" s="245"/>
      <c r="J189" s="245"/>
      <c r="K189" s="245"/>
      <c r="L189" s="245"/>
      <c r="M189" s="149">
        <v>0</v>
      </c>
      <c r="N189" s="149">
        <v>0</v>
      </c>
      <c r="O189" s="149">
        <v>0</v>
      </c>
      <c r="P189" s="265"/>
    </row>
    <row r="190" spans="1:17" s="125" customFormat="1" ht="57">
      <c r="A190" s="335"/>
      <c r="B190" s="242"/>
      <c r="C190" s="243"/>
      <c r="D190" s="99" t="s">
        <v>49</v>
      </c>
      <c r="E190" s="149">
        <v>0</v>
      </c>
      <c r="F190" s="173">
        <f t="shared" si="45"/>
        <v>0</v>
      </c>
      <c r="G190" s="149">
        <v>0</v>
      </c>
      <c r="H190" s="245">
        <v>0</v>
      </c>
      <c r="I190" s="245"/>
      <c r="J190" s="245"/>
      <c r="K190" s="245"/>
      <c r="L190" s="245"/>
      <c r="M190" s="149">
        <v>0</v>
      </c>
      <c r="N190" s="149">
        <v>0</v>
      </c>
      <c r="O190" s="149">
        <v>0</v>
      </c>
      <c r="P190" s="265"/>
    </row>
    <row r="191" spans="1:17" s="125" customFormat="1" ht="19">
      <c r="A191" s="335"/>
      <c r="B191" s="242"/>
      <c r="C191" s="243"/>
      <c r="D191" s="100" t="s">
        <v>90</v>
      </c>
      <c r="E191" s="149"/>
      <c r="F191" s="173">
        <f t="shared" si="45"/>
        <v>0</v>
      </c>
      <c r="G191" s="149">
        <v>0</v>
      </c>
      <c r="H191" s="245">
        <v>0</v>
      </c>
      <c r="I191" s="245"/>
      <c r="J191" s="245"/>
      <c r="K191" s="245"/>
      <c r="L191" s="245"/>
      <c r="M191" s="149">
        <v>0</v>
      </c>
      <c r="N191" s="149">
        <v>0</v>
      </c>
      <c r="O191" s="149">
        <v>0</v>
      </c>
      <c r="P191" s="265"/>
    </row>
    <row r="192" spans="1:17" s="125" customFormat="1" ht="26.25" customHeight="1">
      <c r="A192" s="335"/>
      <c r="B192" s="237" t="s">
        <v>246</v>
      </c>
      <c r="C192" s="234" t="s">
        <v>129</v>
      </c>
      <c r="D192" s="234" t="s">
        <v>129</v>
      </c>
      <c r="E192" s="145"/>
      <c r="F192" s="248" t="s">
        <v>130</v>
      </c>
      <c r="G192" s="146" t="s">
        <v>287</v>
      </c>
      <c r="H192" s="246" t="s">
        <v>288</v>
      </c>
      <c r="I192" s="247" t="s">
        <v>131</v>
      </c>
      <c r="J192" s="247"/>
      <c r="K192" s="247"/>
      <c r="L192" s="247"/>
      <c r="M192" s="146" t="s">
        <v>136</v>
      </c>
      <c r="N192" s="146" t="s">
        <v>137</v>
      </c>
      <c r="O192" s="146" t="s">
        <v>138</v>
      </c>
      <c r="P192" s="257" t="s">
        <v>129</v>
      </c>
      <c r="Q192" s="126"/>
    </row>
    <row r="193" spans="1:21" s="125" customFormat="1" ht="19.5" customHeight="1">
      <c r="A193" s="335"/>
      <c r="B193" s="237"/>
      <c r="C193" s="234"/>
      <c r="D193" s="234"/>
      <c r="E193" s="145"/>
      <c r="F193" s="248"/>
      <c r="G193" s="145"/>
      <c r="H193" s="246"/>
      <c r="I193" s="145" t="s">
        <v>132</v>
      </c>
      <c r="J193" s="145" t="s">
        <v>133</v>
      </c>
      <c r="K193" s="145" t="s">
        <v>134</v>
      </c>
      <c r="L193" s="145" t="s">
        <v>135</v>
      </c>
      <c r="M193" s="145"/>
      <c r="N193" s="145"/>
      <c r="O193" s="145"/>
      <c r="P193" s="257"/>
      <c r="Q193" s="126"/>
    </row>
    <row r="194" spans="1:21" s="125" customFormat="1" ht="28.5" customHeight="1">
      <c r="A194" s="335"/>
      <c r="B194" s="237"/>
      <c r="C194" s="234"/>
      <c r="D194" s="234"/>
      <c r="E194" s="145"/>
      <c r="F194" s="174">
        <v>100</v>
      </c>
      <c r="G194" s="147">
        <v>100</v>
      </c>
      <c r="H194" s="147">
        <v>100</v>
      </c>
      <c r="I194" s="147">
        <v>100</v>
      </c>
      <c r="J194" s="147">
        <v>100</v>
      </c>
      <c r="K194" s="147">
        <v>100</v>
      </c>
      <c r="L194" s="147">
        <v>100</v>
      </c>
      <c r="M194" s="147">
        <v>100</v>
      </c>
      <c r="N194" s="147">
        <v>100</v>
      </c>
      <c r="O194" s="147">
        <v>100</v>
      </c>
      <c r="P194" s="257"/>
      <c r="Q194" s="126"/>
    </row>
    <row r="195" spans="1:21" s="43" customFormat="1" ht="39" customHeight="1">
      <c r="A195" s="336" t="s">
        <v>294</v>
      </c>
      <c r="B195" s="242" t="s">
        <v>260</v>
      </c>
      <c r="C195" s="243" t="s">
        <v>254</v>
      </c>
      <c r="D195" s="99" t="s">
        <v>41</v>
      </c>
      <c r="E195" s="131"/>
      <c r="F195" s="173">
        <f>SUM(G195:O195)</f>
        <v>0</v>
      </c>
      <c r="G195" s="131">
        <v>0</v>
      </c>
      <c r="H195" s="250">
        <v>0</v>
      </c>
      <c r="I195" s="250"/>
      <c r="J195" s="250"/>
      <c r="K195" s="250"/>
      <c r="L195" s="250"/>
      <c r="M195" s="131">
        <v>0</v>
      </c>
      <c r="N195" s="131">
        <v>0</v>
      </c>
      <c r="O195" s="131">
        <v>0</v>
      </c>
      <c r="P195" s="265" t="s">
        <v>3</v>
      </c>
    </row>
    <row r="196" spans="1:21" s="43" customFormat="1" ht="38">
      <c r="A196" s="337"/>
      <c r="B196" s="242"/>
      <c r="C196" s="243"/>
      <c r="D196" s="99" t="s">
        <v>1</v>
      </c>
      <c r="E196" s="149">
        <v>0</v>
      </c>
      <c r="F196" s="173">
        <f t="shared" ref="F196:F198" si="46">SUM(G196:O196)</f>
        <v>59176</v>
      </c>
      <c r="G196" s="149">
        <v>0</v>
      </c>
      <c r="H196" s="266">
        <f>14729+260</f>
        <v>14989</v>
      </c>
      <c r="I196" s="266"/>
      <c r="J196" s="266"/>
      <c r="K196" s="266"/>
      <c r="L196" s="266"/>
      <c r="M196" s="149">
        <v>14729</v>
      </c>
      <c r="N196" s="149">
        <v>14729</v>
      </c>
      <c r="O196" s="149">
        <v>14729</v>
      </c>
      <c r="P196" s="265"/>
    </row>
    <row r="197" spans="1:21" s="43" customFormat="1" ht="57">
      <c r="A197" s="337"/>
      <c r="B197" s="242"/>
      <c r="C197" s="243"/>
      <c r="D197" s="99" t="s">
        <v>49</v>
      </c>
      <c r="E197" s="149">
        <v>0</v>
      </c>
      <c r="F197" s="173">
        <f t="shared" si="46"/>
        <v>0</v>
      </c>
      <c r="G197" s="149">
        <v>0</v>
      </c>
      <c r="H197" s="245">
        <v>0</v>
      </c>
      <c r="I197" s="245"/>
      <c r="J197" s="245"/>
      <c r="K197" s="245"/>
      <c r="L197" s="245"/>
      <c r="M197" s="149">
        <v>0</v>
      </c>
      <c r="N197" s="149">
        <v>0</v>
      </c>
      <c r="O197" s="149">
        <v>0</v>
      </c>
      <c r="P197" s="265"/>
    </row>
    <row r="198" spans="1:21" s="43" customFormat="1" ht="19">
      <c r="A198" s="337"/>
      <c r="B198" s="242"/>
      <c r="C198" s="243"/>
      <c r="D198" s="100" t="s">
        <v>90</v>
      </c>
      <c r="E198" s="149"/>
      <c r="F198" s="173">
        <f t="shared" si="46"/>
        <v>0</v>
      </c>
      <c r="G198" s="149">
        <v>0</v>
      </c>
      <c r="H198" s="245">
        <v>0</v>
      </c>
      <c r="I198" s="245"/>
      <c r="J198" s="245"/>
      <c r="K198" s="245"/>
      <c r="L198" s="245"/>
      <c r="M198" s="149">
        <v>0</v>
      </c>
      <c r="N198" s="149">
        <v>0</v>
      </c>
      <c r="O198" s="149">
        <v>0</v>
      </c>
      <c r="P198" s="265"/>
    </row>
    <row r="199" spans="1:21" s="43" customFormat="1" ht="31.5" customHeight="1">
      <c r="A199" s="337"/>
      <c r="B199" s="237" t="s">
        <v>263</v>
      </c>
      <c r="C199" s="234" t="s">
        <v>129</v>
      </c>
      <c r="D199" s="234" t="s">
        <v>129</v>
      </c>
      <c r="E199" s="145"/>
      <c r="F199" s="248" t="s">
        <v>130</v>
      </c>
      <c r="G199" s="146" t="s">
        <v>287</v>
      </c>
      <c r="H199" s="246" t="s">
        <v>288</v>
      </c>
      <c r="I199" s="247" t="s">
        <v>131</v>
      </c>
      <c r="J199" s="247"/>
      <c r="K199" s="247"/>
      <c r="L199" s="247"/>
      <c r="M199" s="146" t="s">
        <v>136</v>
      </c>
      <c r="N199" s="146" t="s">
        <v>137</v>
      </c>
      <c r="O199" s="146" t="s">
        <v>138</v>
      </c>
      <c r="P199" s="257" t="s">
        <v>129</v>
      </c>
      <c r="Q199" s="44"/>
    </row>
    <row r="200" spans="1:21" s="43" customFormat="1" ht="29.25" customHeight="1">
      <c r="A200" s="337"/>
      <c r="B200" s="237"/>
      <c r="C200" s="234"/>
      <c r="D200" s="234"/>
      <c r="E200" s="145"/>
      <c r="F200" s="248"/>
      <c r="G200" s="145"/>
      <c r="H200" s="246"/>
      <c r="I200" s="145" t="s">
        <v>132</v>
      </c>
      <c r="J200" s="145" t="s">
        <v>133</v>
      </c>
      <c r="K200" s="145" t="s">
        <v>134</v>
      </c>
      <c r="L200" s="145" t="s">
        <v>135</v>
      </c>
      <c r="M200" s="145"/>
      <c r="N200" s="145"/>
      <c r="O200" s="145"/>
      <c r="P200" s="257"/>
      <c r="Q200" s="44"/>
    </row>
    <row r="201" spans="1:21" s="43" customFormat="1" ht="30.75" customHeight="1">
      <c r="A201" s="338"/>
      <c r="B201" s="237"/>
      <c r="C201" s="234"/>
      <c r="D201" s="234"/>
      <c r="E201" s="145"/>
      <c r="F201" s="174">
        <v>100</v>
      </c>
      <c r="G201" s="147">
        <v>0</v>
      </c>
      <c r="H201" s="147">
        <v>100</v>
      </c>
      <c r="I201" s="147">
        <v>100</v>
      </c>
      <c r="J201" s="147">
        <v>100</v>
      </c>
      <c r="K201" s="147">
        <v>100</v>
      </c>
      <c r="L201" s="147">
        <v>100</v>
      </c>
      <c r="M201" s="147">
        <v>100</v>
      </c>
      <c r="N201" s="147">
        <v>100</v>
      </c>
      <c r="O201" s="147">
        <v>100</v>
      </c>
      <c r="P201" s="257"/>
      <c r="Q201" s="44"/>
    </row>
    <row r="202" spans="1:21" s="9" customFormat="1" ht="18.75" customHeight="1">
      <c r="A202" s="309" t="s">
        <v>9</v>
      </c>
      <c r="B202" s="238" t="s">
        <v>99</v>
      </c>
      <c r="C202" s="238" t="s">
        <v>89</v>
      </c>
      <c r="D202" s="157" t="s">
        <v>2</v>
      </c>
      <c r="E202" s="158" t="e">
        <f>E204+E205+E203</f>
        <v>#REF!</v>
      </c>
      <c r="F202" s="173">
        <f>SUM(G202:O202)</f>
        <v>0</v>
      </c>
      <c r="G202" s="158">
        <f t="shared" ref="G202" si="47">G203+G204+G205+G206</f>
        <v>0</v>
      </c>
      <c r="H202" s="252">
        <f>H203+H204+H205+H206</f>
        <v>0</v>
      </c>
      <c r="I202" s="252"/>
      <c r="J202" s="252"/>
      <c r="K202" s="252"/>
      <c r="L202" s="252"/>
      <c r="M202" s="158">
        <f t="shared" ref="M202:O202" si="48">M203+M204+M205+M206</f>
        <v>0</v>
      </c>
      <c r="N202" s="158">
        <f t="shared" si="48"/>
        <v>0</v>
      </c>
      <c r="O202" s="158">
        <f t="shared" si="48"/>
        <v>0</v>
      </c>
      <c r="P202" s="262"/>
      <c r="T202" s="50"/>
      <c r="U202" s="50"/>
    </row>
    <row r="203" spans="1:21" s="9" customFormat="1" ht="39.75" customHeight="1">
      <c r="A203" s="309"/>
      <c r="B203" s="238"/>
      <c r="C203" s="238"/>
      <c r="D203" s="157" t="s">
        <v>41</v>
      </c>
      <c r="E203" s="159">
        <f>E272</f>
        <v>0</v>
      </c>
      <c r="F203" s="173">
        <f t="shared" ref="F203:F210" si="49">SUM(G203:O203)</f>
        <v>0</v>
      </c>
      <c r="G203" s="159">
        <f t="shared" ref="G203" si="50">G207</f>
        <v>0</v>
      </c>
      <c r="H203" s="251">
        <f>H207</f>
        <v>0</v>
      </c>
      <c r="I203" s="251"/>
      <c r="J203" s="251"/>
      <c r="K203" s="251"/>
      <c r="L203" s="251"/>
      <c r="M203" s="159">
        <f t="shared" ref="M203:O203" si="51">M207</f>
        <v>0</v>
      </c>
      <c r="N203" s="159">
        <f t="shared" si="51"/>
        <v>0</v>
      </c>
      <c r="O203" s="159">
        <f t="shared" si="51"/>
        <v>0</v>
      </c>
      <c r="P203" s="262"/>
      <c r="T203" s="50"/>
      <c r="U203" s="50"/>
    </row>
    <row r="204" spans="1:21" s="9" customFormat="1" ht="39.75" customHeight="1">
      <c r="A204" s="309"/>
      <c r="B204" s="238"/>
      <c r="C204" s="238"/>
      <c r="D204" s="157" t="s">
        <v>1</v>
      </c>
      <c r="E204" s="159" t="e">
        <f>#REF!+E207+E208+E217+#REF!+#REF!+E273+E278</f>
        <v>#REF!</v>
      </c>
      <c r="F204" s="173">
        <f t="shared" si="49"/>
        <v>0</v>
      </c>
      <c r="G204" s="159">
        <f t="shared" ref="G204" si="52">G208</f>
        <v>0</v>
      </c>
      <c r="H204" s="251">
        <f>H208</f>
        <v>0</v>
      </c>
      <c r="I204" s="251"/>
      <c r="J204" s="251"/>
      <c r="K204" s="251"/>
      <c r="L204" s="251"/>
      <c r="M204" s="159">
        <f t="shared" ref="M204:O204" si="53">M208</f>
        <v>0</v>
      </c>
      <c r="N204" s="159">
        <f t="shared" si="53"/>
        <v>0</v>
      </c>
      <c r="O204" s="159">
        <f t="shared" si="53"/>
        <v>0</v>
      </c>
      <c r="P204" s="262"/>
      <c r="T204" s="50"/>
      <c r="U204" s="50"/>
    </row>
    <row r="205" spans="1:21" s="9" customFormat="1" ht="58.5" customHeight="1">
      <c r="A205" s="309"/>
      <c r="B205" s="238"/>
      <c r="C205" s="238"/>
      <c r="D205" s="157" t="s">
        <v>49</v>
      </c>
      <c r="E205" s="159" t="e">
        <f>#REF!+E221+#REF!+#REF!+#REF!+E274+E286</f>
        <v>#REF!</v>
      </c>
      <c r="F205" s="173">
        <f t="shared" si="49"/>
        <v>0</v>
      </c>
      <c r="G205" s="159">
        <f t="shared" ref="G205" si="54">G209</f>
        <v>0</v>
      </c>
      <c r="H205" s="251">
        <f>H209</f>
        <v>0</v>
      </c>
      <c r="I205" s="251"/>
      <c r="J205" s="251"/>
      <c r="K205" s="251"/>
      <c r="L205" s="251"/>
      <c r="M205" s="159">
        <f t="shared" ref="M205:O205" si="55">M209</f>
        <v>0</v>
      </c>
      <c r="N205" s="159">
        <f t="shared" si="55"/>
        <v>0</v>
      </c>
      <c r="O205" s="159">
        <f t="shared" si="55"/>
        <v>0</v>
      </c>
      <c r="P205" s="262"/>
      <c r="T205" s="50"/>
      <c r="U205" s="50"/>
    </row>
    <row r="206" spans="1:21" s="9" customFormat="1" ht="19">
      <c r="A206" s="309"/>
      <c r="B206" s="238"/>
      <c r="C206" s="238"/>
      <c r="D206" s="157" t="s">
        <v>90</v>
      </c>
      <c r="E206" s="159"/>
      <c r="F206" s="173">
        <f t="shared" si="49"/>
        <v>0</v>
      </c>
      <c r="G206" s="159">
        <f t="shared" ref="G206" si="56">G210</f>
        <v>0</v>
      </c>
      <c r="H206" s="251">
        <f>H210</f>
        <v>0</v>
      </c>
      <c r="I206" s="251"/>
      <c r="J206" s="251"/>
      <c r="K206" s="251"/>
      <c r="L206" s="251"/>
      <c r="M206" s="159">
        <f t="shared" ref="M206:O206" si="57">M210</f>
        <v>0</v>
      </c>
      <c r="N206" s="159">
        <f t="shared" si="57"/>
        <v>0</v>
      </c>
      <c r="O206" s="159">
        <f t="shared" si="57"/>
        <v>0</v>
      </c>
      <c r="P206" s="262"/>
      <c r="T206" s="50"/>
      <c r="U206" s="50"/>
    </row>
    <row r="207" spans="1:21" s="43" customFormat="1" ht="40.5" customHeight="1">
      <c r="A207" s="305" t="s">
        <v>35</v>
      </c>
      <c r="B207" s="241" t="s">
        <v>151</v>
      </c>
      <c r="C207" s="239" t="s">
        <v>89</v>
      </c>
      <c r="D207" s="100" t="s">
        <v>41</v>
      </c>
      <c r="E207" s="131">
        <v>200475</v>
      </c>
      <c r="F207" s="173">
        <f t="shared" si="49"/>
        <v>0</v>
      </c>
      <c r="G207" s="131">
        <v>0</v>
      </c>
      <c r="H207" s="250">
        <v>0</v>
      </c>
      <c r="I207" s="250"/>
      <c r="J207" s="250"/>
      <c r="K207" s="250"/>
      <c r="L207" s="250"/>
      <c r="M207" s="131">
        <f>202841-202841</f>
        <v>0</v>
      </c>
      <c r="N207" s="131">
        <v>0</v>
      </c>
      <c r="O207" s="131">
        <v>0</v>
      </c>
      <c r="P207" s="253" t="s">
        <v>3</v>
      </c>
    </row>
    <row r="208" spans="1:21" s="43" customFormat="1" ht="38">
      <c r="A208" s="305"/>
      <c r="B208" s="241"/>
      <c r="C208" s="239"/>
      <c r="D208" s="100" t="s">
        <v>1</v>
      </c>
      <c r="E208" s="131">
        <v>93</v>
      </c>
      <c r="F208" s="173">
        <f t="shared" si="49"/>
        <v>0</v>
      </c>
      <c r="G208" s="131">
        <v>0</v>
      </c>
      <c r="H208" s="250">
        <v>0</v>
      </c>
      <c r="I208" s="250"/>
      <c r="J208" s="250"/>
      <c r="K208" s="250"/>
      <c r="L208" s="250"/>
      <c r="M208" s="131">
        <v>0</v>
      </c>
      <c r="N208" s="131">
        <v>0</v>
      </c>
      <c r="O208" s="131">
        <v>0</v>
      </c>
      <c r="P208" s="253"/>
    </row>
    <row r="209" spans="1:21" s="43" customFormat="1" ht="57">
      <c r="A209" s="305"/>
      <c r="B209" s="241"/>
      <c r="C209" s="239"/>
      <c r="D209" s="100" t="s">
        <v>48</v>
      </c>
      <c r="E209" s="131"/>
      <c r="F209" s="173">
        <f t="shared" si="49"/>
        <v>0</v>
      </c>
      <c r="G209" s="131">
        <v>0</v>
      </c>
      <c r="H209" s="250">
        <v>0</v>
      </c>
      <c r="I209" s="250"/>
      <c r="J209" s="250"/>
      <c r="K209" s="250"/>
      <c r="L209" s="250"/>
      <c r="M209" s="131">
        <v>0</v>
      </c>
      <c r="N209" s="131">
        <v>0</v>
      </c>
      <c r="O209" s="131">
        <v>0</v>
      </c>
      <c r="P209" s="253"/>
    </row>
    <row r="210" spans="1:21" s="43" customFormat="1" ht="19">
      <c r="A210" s="305"/>
      <c r="B210" s="241"/>
      <c r="C210" s="239"/>
      <c r="D210" s="100" t="s">
        <v>90</v>
      </c>
      <c r="E210" s="131"/>
      <c r="F210" s="173">
        <f t="shared" si="49"/>
        <v>0</v>
      </c>
      <c r="G210" s="131">
        <v>0</v>
      </c>
      <c r="H210" s="250">
        <v>0</v>
      </c>
      <c r="I210" s="250"/>
      <c r="J210" s="250"/>
      <c r="K210" s="250"/>
      <c r="L210" s="250"/>
      <c r="M210" s="131">
        <v>0</v>
      </c>
      <c r="N210" s="131">
        <v>0</v>
      </c>
      <c r="O210" s="131">
        <v>0</v>
      </c>
      <c r="P210" s="253"/>
    </row>
    <row r="211" spans="1:21" s="43" customFormat="1" ht="24" customHeight="1">
      <c r="A211" s="305"/>
      <c r="B211" s="237" t="s">
        <v>191</v>
      </c>
      <c r="C211" s="234" t="s">
        <v>129</v>
      </c>
      <c r="D211" s="234" t="s">
        <v>129</v>
      </c>
      <c r="E211" s="145"/>
      <c r="F211" s="248" t="s">
        <v>130</v>
      </c>
      <c r="G211" s="146" t="s">
        <v>287</v>
      </c>
      <c r="H211" s="246" t="s">
        <v>288</v>
      </c>
      <c r="I211" s="247" t="s">
        <v>131</v>
      </c>
      <c r="J211" s="247"/>
      <c r="K211" s="247"/>
      <c r="L211" s="247"/>
      <c r="M211" s="146" t="s">
        <v>136</v>
      </c>
      <c r="N211" s="146" t="s">
        <v>137</v>
      </c>
      <c r="O211" s="146" t="s">
        <v>138</v>
      </c>
      <c r="P211" s="257" t="s">
        <v>129</v>
      </c>
      <c r="Q211" s="44"/>
    </row>
    <row r="212" spans="1:21" s="43" customFormat="1" ht="24" customHeight="1">
      <c r="A212" s="305"/>
      <c r="B212" s="237"/>
      <c r="C212" s="234"/>
      <c r="D212" s="234"/>
      <c r="E212" s="145"/>
      <c r="F212" s="248"/>
      <c r="G212" s="145"/>
      <c r="H212" s="246"/>
      <c r="I212" s="145" t="s">
        <v>132</v>
      </c>
      <c r="J212" s="145" t="s">
        <v>133</v>
      </c>
      <c r="K212" s="145" t="s">
        <v>134</v>
      </c>
      <c r="L212" s="145" t="s">
        <v>135</v>
      </c>
      <c r="M212" s="145"/>
      <c r="N212" s="145"/>
      <c r="O212" s="145"/>
      <c r="P212" s="257"/>
      <c r="Q212" s="44"/>
    </row>
    <row r="213" spans="1:21" s="43" customFormat="1" ht="31.5" customHeight="1">
      <c r="A213" s="305"/>
      <c r="B213" s="237"/>
      <c r="C213" s="234"/>
      <c r="D213" s="234"/>
      <c r="E213" s="145"/>
      <c r="F213" s="174">
        <v>1</v>
      </c>
      <c r="G213" s="147">
        <v>1</v>
      </c>
      <c r="H213" s="232">
        <v>0</v>
      </c>
      <c r="I213" s="147">
        <v>0</v>
      </c>
      <c r="J213" s="147">
        <v>0</v>
      </c>
      <c r="K213" s="147">
        <v>0</v>
      </c>
      <c r="L213" s="232">
        <v>0</v>
      </c>
      <c r="M213" s="147">
        <v>0</v>
      </c>
      <c r="N213" s="147">
        <v>0</v>
      </c>
      <c r="O213" s="147">
        <v>0</v>
      </c>
      <c r="P213" s="257"/>
      <c r="Q213" s="44"/>
    </row>
    <row r="214" spans="1:21" s="9" customFormat="1" ht="18.75" customHeight="1">
      <c r="A214" s="313" t="s">
        <v>38</v>
      </c>
      <c r="B214" s="235" t="s">
        <v>100</v>
      </c>
      <c r="C214" s="235" t="s">
        <v>89</v>
      </c>
      <c r="D214" s="162" t="s">
        <v>2</v>
      </c>
      <c r="E214" s="163">
        <f>E217</f>
        <v>9428.6200000000008</v>
      </c>
      <c r="F214" s="173">
        <f>SUM(G214:O214)</f>
        <v>182799.68885999999</v>
      </c>
      <c r="G214" s="163">
        <f t="shared" ref="G214" si="58">G215+G216+G217+G218</f>
        <v>16635.688859999998</v>
      </c>
      <c r="H214" s="267">
        <f>H215+H216+H217+H218</f>
        <v>43641</v>
      </c>
      <c r="I214" s="267"/>
      <c r="J214" s="267"/>
      <c r="K214" s="267"/>
      <c r="L214" s="267"/>
      <c r="M214" s="163">
        <f t="shared" ref="M214:O214" si="59">M215+M216+M217+M218</f>
        <v>40841</v>
      </c>
      <c r="N214" s="163">
        <f t="shared" si="59"/>
        <v>40841</v>
      </c>
      <c r="O214" s="163">
        <f t="shared" si="59"/>
        <v>40841</v>
      </c>
      <c r="P214" s="260"/>
      <c r="T214" s="50"/>
      <c r="U214" s="50"/>
    </row>
    <row r="215" spans="1:21" s="9" customFormat="1" ht="36" customHeight="1">
      <c r="A215" s="313"/>
      <c r="B215" s="235"/>
      <c r="C215" s="235"/>
      <c r="D215" s="162" t="s">
        <v>41</v>
      </c>
      <c r="E215" s="163"/>
      <c r="F215" s="173">
        <f t="shared" ref="F215:F222" si="60">SUM(G215:O215)</f>
        <v>0</v>
      </c>
      <c r="G215" s="164">
        <f t="shared" ref="G215" si="61">G219</f>
        <v>0</v>
      </c>
      <c r="H215" s="268">
        <f>H219</f>
        <v>0</v>
      </c>
      <c r="I215" s="268"/>
      <c r="J215" s="268"/>
      <c r="K215" s="268"/>
      <c r="L215" s="268"/>
      <c r="M215" s="164">
        <f t="shared" ref="M215:O215" si="62">M219</f>
        <v>0</v>
      </c>
      <c r="N215" s="164">
        <f t="shared" si="62"/>
        <v>0</v>
      </c>
      <c r="O215" s="164">
        <f t="shared" si="62"/>
        <v>0</v>
      </c>
      <c r="P215" s="260"/>
      <c r="T215" s="50"/>
      <c r="U215" s="50"/>
    </row>
    <row r="216" spans="1:21" s="9" customFormat="1" ht="38">
      <c r="A216" s="313"/>
      <c r="B216" s="235"/>
      <c r="C216" s="235"/>
      <c r="D216" s="162" t="s">
        <v>1</v>
      </c>
      <c r="E216" s="163"/>
      <c r="F216" s="173">
        <f t="shared" si="60"/>
        <v>111292</v>
      </c>
      <c r="G216" s="164">
        <f>G220+G227</f>
        <v>0</v>
      </c>
      <c r="H216" s="268">
        <f>H227</f>
        <v>29923</v>
      </c>
      <c r="I216" s="268"/>
      <c r="J216" s="268"/>
      <c r="K216" s="268"/>
      <c r="L216" s="268"/>
      <c r="M216" s="164">
        <f t="shared" ref="M216:O216" si="63">M220+M227</f>
        <v>27123</v>
      </c>
      <c r="N216" s="164">
        <f t="shared" si="63"/>
        <v>27123</v>
      </c>
      <c r="O216" s="164">
        <f t="shared" si="63"/>
        <v>27123</v>
      </c>
      <c r="P216" s="260"/>
      <c r="T216" s="50"/>
      <c r="U216" s="50"/>
    </row>
    <row r="217" spans="1:21" s="9" customFormat="1" ht="57">
      <c r="A217" s="313"/>
      <c r="B217" s="235"/>
      <c r="C217" s="235"/>
      <c r="D217" s="162" t="s">
        <v>48</v>
      </c>
      <c r="E217" s="165">
        <f>E221</f>
        <v>9428.6200000000008</v>
      </c>
      <c r="F217" s="173">
        <f t="shared" si="60"/>
        <v>71507.688859999995</v>
      </c>
      <c r="G217" s="165">
        <f t="shared" ref="G217" si="64">G221</f>
        <v>16635.688859999998</v>
      </c>
      <c r="H217" s="269">
        <f>H221</f>
        <v>13718</v>
      </c>
      <c r="I217" s="269"/>
      <c r="J217" s="269"/>
      <c r="K217" s="269"/>
      <c r="L217" s="269"/>
      <c r="M217" s="165">
        <f t="shared" ref="M217:O217" si="65">M221</f>
        <v>13718</v>
      </c>
      <c r="N217" s="165">
        <f t="shared" si="65"/>
        <v>13718</v>
      </c>
      <c r="O217" s="165">
        <f t="shared" si="65"/>
        <v>13718</v>
      </c>
      <c r="P217" s="260"/>
      <c r="T217" s="50"/>
      <c r="U217" s="50"/>
    </row>
    <row r="218" spans="1:21" s="9" customFormat="1" ht="19">
      <c r="A218" s="313"/>
      <c r="B218" s="235"/>
      <c r="C218" s="235"/>
      <c r="D218" s="162" t="s">
        <v>90</v>
      </c>
      <c r="E218" s="165"/>
      <c r="F218" s="173">
        <f t="shared" si="60"/>
        <v>0</v>
      </c>
      <c r="G218" s="165">
        <f t="shared" ref="G218" si="66">G222</f>
        <v>0</v>
      </c>
      <c r="H218" s="269">
        <f>H222</f>
        <v>0</v>
      </c>
      <c r="I218" s="269"/>
      <c r="J218" s="269"/>
      <c r="K218" s="269"/>
      <c r="L218" s="269"/>
      <c r="M218" s="165">
        <f t="shared" ref="M218:O218" si="67">M222</f>
        <v>0</v>
      </c>
      <c r="N218" s="165">
        <f t="shared" si="67"/>
        <v>0</v>
      </c>
      <c r="O218" s="165">
        <f t="shared" si="67"/>
        <v>0</v>
      </c>
      <c r="P218" s="260"/>
      <c r="T218" s="50"/>
      <c r="U218" s="50"/>
    </row>
    <row r="219" spans="1:21" s="9" customFormat="1" ht="36" customHeight="1">
      <c r="A219" s="314" t="s">
        <v>52</v>
      </c>
      <c r="B219" s="240" t="s">
        <v>101</v>
      </c>
      <c r="C219" s="244" t="s">
        <v>89</v>
      </c>
      <c r="D219" s="100" t="s">
        <v>41</v>
      </c>
      <c r="E219" s="78"/>
      <c r="F219" s="173">
        <f t="shared" si="60"/>
        <v>0</v>
      </c>
      <c r="G219" s="130">
        <v>0</v>
      </c>
      <c r="H219" s="264">
        <v>0</v>
      </c>
      <c r="I219" s="264"/>
      <c r="J219" s="264"/>
      <c r="K219" s="264"/>
      <c r="L219" s="264"/>
      <c r="M219" s="130">
        <v>0</v>
      </c>
      <c r="N219" s="130">
        <v>0</v>
      </c>
      <c r="O219" s="130">
        <v>0</v>
      </c>
      <c r="P219" s="263" t="s">
        <v>3</v>
      </c>
      <c r="T219" s="50"/>
      <c r="U219" s="50"/>
    </row>
    <row r="220" spans="1:21" s="9" customFormat="1" ht="38">
      <c r="A220" s="314"/>
      <c r="B220" s="240"/>
      <c r="C220" s="244"/>
      <c r="D220" s="100" t="s">
        <v>1</v>
      </c>
      <c r="E220" s="78"/>
      <c r="F220" s="173">
        <f t="shared" si="60"/>
        <v>0</v>
      </c>
      <c r="G220" s="130">
        <v>0</v>
      </c>
      <c r="H220" s="264">
        <v>0</v>
      </c>
      <c r="I220" s="264"/>
      <c r="J220" s="264"/>
      <c r="K220" s="264"/>
      <c r="L220" s="264"/>
      <c r="M220" s="130">
        <v>0</v>
      </c>
      <c r="N220" s="130">
        <v>0</v>
      </c>
      <c r="O220" s="130">
        <v>0</v>
      </c>
      <c r="P220" s="263"/>
      <c r="T220" s="50"/>
      <c r="U220" s="50"/>
    </row>
    <row r="221" spans="1:21" s="43" customFormat="1" ht="57">
      <c r="A221" s="314"/>
      <c r="B221" s="240"/>
      <c r="C221" s="244"/>
      <c r="D221" s="100" t="s">
        <v>48</v>
      </c>
      <c r="E221" s="130">
        <v>9428.6200000000008</v>
      </c>
      <c r="F221" s="173">
        <f t="shared" si="60"/>
        <v>71507.688859999995</v>
      </c>
      <c r="G221" s="130">
        <v>16635.688859999998</v>
      </c>
      <c r="H221" s="264">
        <v>13718</v>
      </c>
      <c r="I221" s="264"/>
      <c r="J221" s="264"/>
      <c r="K221" s="264"/>
      <c r="L221" s="264"/>
      <c r="M221" s="130">
        <f t="shared" ref="M221:O221" si="68">13165.995+552.005</f>
        <v>13718</v>
      </c>
      <c r="N221" s="130">
        <f t="shared" si="68"/>
        <v>13718</v>
      </c>
      <c r="O221" s="130">
        <f t="shared" si="68"/>
        <v>13718</v>
      </c>
      <c r="P221" s="263"/>
    </row>
    <row r="222" spans="1:21" s="43" customFormat="1" ht="19">
      <c r="A222" s="314"/>
      <c r="B222" s="240"/>
      <c r="C222" s="244"/>
      <c r="D222" s="100" t="s">
        <v>90</v>
      </c>
      <c r="E222" s="130"/>
      <c r="F222" s="173">
        <f t="shared" si="60"/>
        <v>0</v>
      </c>
      <c r="G222" s="130">
        <v>0</v>
      </c>
      <c r="H222" s="264">
        <v>0</v>
      </c>
      <c r="I222" s="264"/>
      <c r="J222" s="264"/>
      <c r="K222" s="264"/>
      <c r="L222" s="264"/>
      <c r="M222" s="130">
        <v>0</v>
      </c>
      <c r="N222" s="130">
        <v>0</v>
      </c>
      <c r="O222" s="130">
        <v>0</v>
      </c>
      <c r="P222" s="263"/>
    </row>
    <row r="223" spans="1:21" s="43" customFormat="1" ht="27.75" customHeight="1">
      <c r="A223" s="314"/>
      <c r="B223" s="237" t="s">
        <v>222</v>
      </c>
      <c r="C223" s="234" t="s">
        <v>129</v>
      </c>
      <c r="D223" s="234" t="s">
        <v>129</v>
      </c>
      <c r="E223" s="145"/>
      <c r="F223" s="248" t="s">
        <v>130</v>
      </c>
      <c r="G223" s="146" t="s">
        <v>287</v>
      </c>
      <c r="H223" s="246" t="s">
        <v>288</v>
      </c>
      <c r="I223" s="247" t="s">
        <v>131</v>
      </c>
      <c r="J223" s="247"/>
      <c r="K223" s="247"/>
      <c r="L223" s="247"/>
      <c r="M223" s="146" t="s">
        <v>136</v>
      </c>
      <c r="N223" s="146" t="s">
        <v>137</v>
      </c>
      <c r="O223" s="146" t="s">
        <v>138</v>
      </c>
      <c r="P223" s="257" t="s">
        <v>129</v>
      </c>
      <c r="Q223" s="44"/>
    </row>
    <row r="224" spans="1:21" s="43" customFormat="1" ht="29.25" customHeight="1">
      <c r="A224" s="314"/>
      <c r="B224" s="237"/>
      <c r="C224" s="234"/>
      <c r="D224" s="234"/>
      <c r="E224" s="145"/>
      <c r="F224" s="248"/>
      <c r="G224" s="145"/>
      <c r="H224" s="246"/>
      <c r="I224" s="145" t="s">
        <v>132</v>
      </c>
      <c r="J224" s="145" t="s">
        <v>133</v>
      </c>
      <c r="K224" s="145" t="s">
        <v>134</v>
      </c>
      <c r="L224" s="145" t="s">
        <v>135</v>
      </c>
      <c r="M224" s="145"/>
      <c r="N224" s="145"/>
      <c r="O224" s="145"/>
      <c r="P224" s="257"/>
      <c r="Q224" s="44"/>
    </row>
    <row r="225" spans="1:21" s="43" customFormat="1" ht="31.5" customHeight="1">
      <c r="A225" s="314"/>
      <c r="B225" s="237"/>
      <c r="C225" s="234"/>
      <c r="D225" s="234"/>
      <c r="E225" s="145"/>
      <c r="F225" s="174">
        <v>100</v>
      </c>
      <c r="G225" s="147">
        <v>100</v>
      </c>
      <c r="H225" s="147">
        <v>100</v>
      </c>
      <c r="I225" s="147">
        <v>100</v>
      </c>
      <c r="J225" s="147">
        <v>100</v>
      </c>
      <c r="K225" s="147">
        <v>100</v>
      </c>
      <c r="L225" s="147">
        <v>100</v>
      </c>
      <c r="M225" s="147">
        <v>100</v>
      </c>
      <c r="N225" s="147">
        <v>100</v>
      </c>
      <c r="O225" s="147">
        <v>100</v>
      </c>
      <c r="P225" s="257"/>
      <c r="Q225" s="44"/>
    </row>
    <row r="226" spans="1:21" s="9" customFormat="1" ht="36" customHeight="1">
      <c r="A226" s="339" t="s">
        <v>249</v>
      </c>
      <c r="B226" s="240" t="s">
        <v>261</v>
      </c>
      <c r="C226" s="244" t="s">
        <v>254</v>
      </c>
      <c r="D226" s="100" t="s">
        <v>41</v>
      </c>
      <c r="E226" s="78"/>
      <c r="F226" s="173">
        <f>SUM(G226:O226)</f>
        <v>0</v>
      </c>
      <c r="G226" s="130">
        <v>0</v>
      </c>
      <c r="H226" s="264">
        <v>0</v>
      </c>
      <c r="I226" s="264"/>
      <c r="J226" s="264"/>
      <c r="K226" s="264"/>
      <c r="L226" s="264"/>
      <c r="M226" s="130">
        <v>0</v>
      </c>
      <c r="N226" s="130">
        <v>0</v>
      </c>
      <c r="O226" s="130">
        <v>0</v>
      </c>
      <c r="P226" s="263" t="s">
        <v>3</v>
      </c>
      <c r="T226" s="50"/>
      <c r="U226" s="50"/>
    </row>
    <row r="227" spans="1:21" s="9" customFormat="1" ht="38">
      <c r="A227" s="340"/>
      <c r="B227" s="240"/>
      <c r="C227" s="244"/>
      <c r="D227" s="100" t="s">
        <v>1</v>
      </c>
      <c r="E227" s="78"/>
      <c r="F227" s="173">
        <f t="shared" ref="F227:F229" si="69">SUM(G227:O227)</f>
        <v>111292</v>
      </c>
      <c r="G227" s="130">
        <v>0</v>
      </c>
      <c r="H227" s="398">
        <f>27123+2800</f>
        <v>29923</v>
      </c>
      <c r="I227" s="398"/>
      <c r="J227" s="398"/>
      <c r="K227" s="398"/>
      <c r="L227" s="398"/>
      <c r="M227" s="130">
        <v>27123</v>
      </c>
      <c r="N227" s="130">
        <v>27123</v>
      </c>
      <c r="O227" s="130">
        <v>27123</v>
      </c>
      <c r="P227" s="263"/>
      <c r="T227" s="50"/>
      <c r="U227" s="50"/>
    </row>
    <row r="228" spans="1:21" s="43" customFormat="1" ht="57">
      <c r="A228" s="340"/>
      <c r="B228" s="240"/>
      <c r="C228" s="244"/>
      <c r="D228" s="100" t="s">
        <v>48</v>
      </c>
      <c r="E228" s="130">
        <v>9428.6200000000008</v>
      </c>
      <c r="F228" s="173">
        <f t="shared" si="69"/>
        <v>0</v>
      </c>
      <c r="G228" s="130">
        <v>0</v>
      </c>
      <c r="H228" s="264">
        <v>0</v>
      </c>
      <c r="I228" s="264"/>
      <c r="J228" s="264"/>
      <c r="K228" s="264"/>
      <c r="L228" s="264"/>
      <c r="M228" s="130">
        <v>0</v>
      </c>
      <c r="N228" s="130">
        <v>0</v>
      </c>
      <c r="O228" s="130">
        <v>0</v>
      </c>
      <c r="P228" s="263"/>
    </row>
    <row r="229" spans="1:21" s="43" customFormat="1" ht="19">
      <c r="A229" s="341"/>
      <c r="B229" s="240"/>
      <c r="C229" s="244"/>
      <c r="D229" s="100" t="s">
        <v>90</v>
      </c>
      <c r="E229" s="130"/>
      <c r="F229" s="173">
        <f t="shared" si="69"/>
        <v>0</v>
      </c>
      <c r="G229" s="130">
        <v>0</v>
      </c>
      <c r="H229" s="264">
        <v>0</v>
      </c>
      <c r="I229" s="264"/>
      <c r="J229" s="264"/>
      <c r="K229" s="264"/>
      <c r="L229" s="264"/>
      <c r="M229" s="130">
        <v>0</v>
      </c>
      <c r="N229" s="130">
        <v>0</v>
      </c>
      <c r="O229" s="130">
        <v>0</v>
      </c>
      <c r="P229" s="263"/>
    </row>
    <row r="230" spans="1:21" s="43" customFormat="1" ht="37.5" customHeight="1">
      <c r="A230" s="339"/>
      <c r="B230" s="237" t="s">
        <v>264</v>
      </c>
      <c r="C230" s="234" t="s">
        <v>129</v>
      </c>
      <c r="D230" s="234" t="s">
        <v>129</v>
      </c>
      <c r="E230" s="145"/>
      <c r="F230" s="248" t="s">
        <v>130</v>
      </c>
      <c r="G230" s="146" t="s">
        <v>287</v>
      </c>
      <c r="H230" s="246" t="s">
        <v>288</v>
      </c>
      <c r="I230" s="247" t="s">
        <v>131</v>
      </c>
      <c r="J230" s="247"/>
      <c r="K230" s="247"/>
      <c r="L230" s="247"/>
      <c r="M230" s="146" t="s">
        <v>136</v>
      </c>
      <c r="N230" s="146" t="s">
        <v>137</v>
      </c>
      <c r="O230" s="146" t="s">
        <v>138</v>
      </c>
      <c r="P230" s="257" t="s">
        <v>129</v>
      </c>
      <c r="Q230" s="44"/>
    </row>
    <row r="231" spans="1:21" s="43" customFormat="1" ht="37.5" customHeight="1">
      <c r="A231" s="340"/>
      <c r="B231" s="237"/>
      <c r="C231" s="234"/>
      <c r="D231" s="234"/>
      <c r="E231" s="145"/>
      <c r="F231" s="248"/>
      <c r="G231" s="145"/>
      <c r="H231" s="246"/>
      <c r="I231" s="145" t="s">
        <v>132</v>
      </c>
      <c r="J231" s="145" t="s">
        <v>133</v>
      </c>
      <c r="K231" s="145" t="s">
        <v>134</v>
      </c>
      <c r="L231" s="145" t="s">
        <v>135</v>
      </c>
      <c r="M231" s="145"/>
      <c r="N231" s="145"/>
      <c r="O231" s="145"/>
      <c r="P231" s="257"/>
      <c r="Q231" s="44"/>
    </row>
    <row r="232" spans="1:21" s="43" customFormat="1" ht="45" customHeight="1">
      <c r="A232" s="341"/>
      <c r="B232" s="237"/>
      <c r="C232" s="234"/>
      <c r="D232" s="234"/>
      <c r="E232" s="145"/>
      <c r="F232" s="174">
        <v>100</v>
      </c>
      <c r="G232" s="147">
        <v>0</v>
      </c>
      <c r="H232" s="147">
        <v>100</v>
      </c>
      <c r="I232" s="147">
        <v>0</v>
      </c>
      <c r="J232" s="147">
        <v>100</v>
      </c>
      <c r="K232" s="147">
        <v>100</v>
      </c>
      <c r="L232" s="147">
        <v>100</v>
      </c>
      <c r="M232" s="147">
        <v>100</v>
      </c>
      <c r="N232" s="147">
        <v>100</v>
      </c>
      <c r="O232" s="147">
        <v>100</v>
      </c>
      <c r="P232" s="257"/>
      <c r="Q232" s="44"/>
    </row>
    <row r="233" spans="1:21" s="9" customFormat="1" ht="18.75" customHeight="1">
      <c r="A233" s="313" t="s">
        <v>10</v>
      </c>
      <c r="B233" s="235" t="s">
        <v>231</v>
      </c>
      <c r="C233" s="235" t="s">
        <v>89</v>
      </c>
      <c r="D233" s="162" t="s">
        <v>2</v>
      </c>
      <c r="E233" s="163">
        <f>E236</f>
        <v>9428.6200000000008</v>
      </c>
      <c r="F233" s="173">
        <f>SUM(G233:O233)</f>
        <v>0</v>
      </c>
      <c r="G233" s="163">
        <f t="shared" ref="G233" si="70">G234+G235+G236+G237</f>
        <v>0</v>
      </c>
      <c r="H233" s="267">
        <f>H234+H235+H236+H237</f>
        <v>0</v>
      </c>
      <c r="I233" s="267"/>
      <c r="J233" s="267"/>
      <c r="K233" s="267"/>
      <c r="L233" s="267"/>
      <c r="M233" s="163">
        <f t="shared" ref="M233:O233" si="71">M234+M235+M236+M237</f>
        <v>0</v>
      </c>
      <c r="N233" s="163">
        <f t="shared" si="71"/>
        <v>0</v>
      </c>
      <c r="O233" s="163">
        <f t="shared" si="71"/>
        <v>0</v>
      </c>
      <c r="P233" s="260"/>
      <c r="T233" s="50"/>
      <c r="U233" s="50"/>
    </row>
    <row r="234" spans="1:21" s="9" customFormat="1" ht="36" customHeight="1">
      <c r="A234" s="313"/>
      <c r="B234" s="235"/>
      <c r="C234" s="235"/>
      <c r="D234" s="162" t="s">
        <v>41</v>
      </c>
      <c r="E234" s="163"/>
      <c r="F234" s="173">
        <f t="shared" ref="F234:F241" si="72">SUM(G234:O234)</f>
        <v>0</v>
      </c>
      <c r="G234" s="164">
        <f t="shared" ref="G234" si="73">G238</f>
        <v>0</v>
      </c>
      <c r="H234" s="268">
        <f>H238</f>
        <v>0</v>
      </c>
      <c r="I234" s="268"/>
      <c r="J234" s="268"/>
      <c r="K234" s="268"/>
      <c r="L234" s="268"/>
      <c r="M234" s="164">
        <f t="shared" ref="M234:O234" si="74">M238</f>
        <v>0</v>
      </c>
      <c r="N234" s="164">
        <f t="shared" si="74"/>
        <v>0</v>
      </c>
      <c r="O234" s="164">
        <f t="shared" si="74"/>
        <v>0</v>
      </c>
      <c r="P234" s="260"/>
      <c r="T234" s="50"/>
      <c r="U234" s="50"/>
    </row>
    <row r="235" spans="1:21" s="9" customFormat="1" ht="38">
      <c r="A235" s="313"/>
      <c r="B235" s="235"/>
      <c r="C235" s="235"/>
      <c r="D235" s="162" t="s">
        <v>1</v>
      </c>
      <c r="E235" s="163"/>
      <c r="F235" s="173">
        <f t="shared" si="72"/>
        <v>0</v>
      </c>
      <c r="G235" s="164">
        <f t="shared" ref="G235" si="75">G239</f>
        <v>0</v>
      </c>
      <c r="H235" s="268">
        <f>H239</f>
        <v>0</v>
      </c>
      <c r="I235" s="268"/>
      <c r="J235" s="268"/>
      <c r="K235" s="268"/>
      <c r="L235" s="268"/>
      <c r="M235" s="164">
        <f t="shared" ref="M235:O235" si="76">M239</f>
        <v>0</v>
      </c>
      <c r="N235" s="164">
        <f t="shared" si="76"/>
        <v>0</v>
      </c>
      <c r="O235" s="164">
        <f t="shared" si="76"/>
        <v>0</v>
      </c>
      <c r="P235" s="260"/>
      <c r="T235" s="50"/>
      <c r="U235" s="50"/>
    </row>
    <row r="236" spans="1:21" s="9" customFormat="1" ht="57">
      <c r="A236" s="313"/>
      <c r="B236" s="235"/>
      <c r="C236" s="235"/>
      <c r="D236" s="162" t="s">
        <v>48</v>
      </c>
      <c r="E236" s="165">
        <f>E240</f>
        <v>9428.6200000000008</v>
      </c>
      <c r="F236" s="173">
        <f t="shared" si="72"/>
        <v>0</v>
      </c>
      <c r="G236" s="165">
        <f t="shared" ref="G236" si="77">G240</f>
        <v>0</v>
      </c>
      <c r="H236" s="269">
        <f>H240</f>
        <v>0</v>
      </c>
      <c r="I236" s="269"/>
      <c r="J236" s="269"/>
      <c r="K236" s="269"/>
      <c r="L236" s="269"/>
      <c r="M236" s="165">
        <f t="shared" ref="M236:O236" si="78">M240</f>
        <v>0</v>
      </c>
      <c r="N236" s="165">
        <f t="shared" si="78"/>
        <v>0</v>
      </c>
      <c r="O236" s="165">
        <f t="shared" si="78"/>
        <v>0</v>
      </c>
      <c r="P236" s="260"/>
      <c r="T236" s="50"/>
      <c r="U236" s="50"/>
    </row>
    <row r="237" spans="1:21" s="9" customFormat="1" ht="19">
      <c r="A237" s="313"/>
      <c r="B237" s="235"/>
      <c r="C237" s="235"/>
      <c r="D237" s="162" t="s">
        <v>90</v>
      </c>
      <c r="E237" s="165"/>
      <c r="F237" s="173">
        <f t="shared" si="72"/>
        <v>0</v>
      </c>
      <c r="G237" s="165">
        <f t="shared" ref="G237" si="79">G241</f>
        <v>0</v>
      </c>
      <c r="H237" s="269">
        <f>H241</f>
        <v>0</v>
      </c>
      <c r="I237" s="269"/>
      <c r="J237" s="269"/>
      <c r="K237" s="269"/>
      <c r="L237" s="269"/>
      <c r="M237" s="165">
        <f t="shared" ref="M237:O237" si="80">M241</f>
        <v>0</v>
      </c>
      <c r="N237" s="165">
        <f t="shared" si="80"/>
        <v>0</v>
      </c>
      <c r="O237" s="165">
        <f t="shared" si="80"/>
        <v>0</v>
      </c>
      <c r="P237" s="260"/>
      <c r="T237" s="50"/>
      <c r="U237" s="50"/>
    </row>
    <row r="238" spans="1:21" s="9" customFormat="1" ht="36" customHeight="1">
      <c r="A238" s="314" t="s">
        <v>53</v>
      </c>
      <c r="B238" s="240" t="s">
        <v>232</v>
      </c>
      <c r="C238" s="244" t="s">
        <v>89</v>
      </c>
      <c r="D238" s="100" t="s">
        <v>41</v>
      </c>
      <c r="E238" s="78"/>
      <c r="F238" s="173">
        <f t="shared" si="72"/>
        <v>0</v>
      </c>
      <c r="G238" s="130">
        <v>0</v>
      </c>
      <c r="H238" s="264">
        <v>0</v>
      </c>
      <c r="I238" s="264"/>
      <c r="J238" s="264"/>
      <c r="K238" s="264"/>
      <c r="L238" s="264"/>
      <c r="M238" s="130">
        <v>0</v>
      </c>
      <c r="N238" s="130">
        <v>0</v>
      </c>
      <c r="O238" s="130">
        <v>0</v>
      </c>
      <c r="P238" s="263" t="s">
        <v>3</v>
      </c>
      <c r="T238" s="50"/>
      <c r="U238" s="50"/>
    </row>
    <row r="239" spans="1:21" s="9" customFormat="1" ht="38">
      <c r="A239" s="314"/>
      <c r="B239" s="240"/>
      <c r="C239" s="244"/>
      <c r="D239" s="100" t="s">
        <v>1</v>
      </c>
      <c r="E239" s="78"/>
      <c r="F239" s="173">
        <f t="shared" si="72"/>
        <v>0</v>
      </c>
      <c r="G239" s="130">
        <v>0</v>
      </c>
      <c r="H239" s="264">
        <v>0</v>
      </c>
      <c r="I239" s="264"/>
      <c r="J239" s="264"/>
      <c r="K239" s="264"/>
      <c r="L239" s="264"/>
      <c r="M239" s="130">
        <v>0</v>
      </c>
      <c r="N239" s="130">
        <v>0</v>
      </c>
      <c r="O239" s="130">
        <v>0</v>
      </c>
      <c r="P239" s="263"/>
      <c r="T239" s="50"/>
      <c r="U239" s="50"/>
    </row>
    <row r="240" spans="1:21" s="43" customFormat="1" ht="57">
      <c r="A240" s="314"/>
      <c r="B240" s="240"/>
      <c r="C240" s="244"/>
      <c r="D240" s="100" t="s">
        <v>48</v>
      </c>
      <c r="E240" s="130">
        <v>9428.6200000000008</v>
      </c>
      <c r="F240" s="173">
        <f t="shared" si="72"/>
        <v>0</v>
      </c>
      <c r="G240" s="130">
        <v>0</v>
      </c>
      <c r="H240" s="264">
        <v>0</v>
      </c>
      <c r="I240" s="264"/>
      <c r="J240" s="264"/>
      <c r="K240" s="264"/>
      <c r="L240" s="264"/>
      <c r="M240" s="130">
        <v>0</v>
      </c>
      <c r="N240" s="130">
        <v>0</v>
      </c>
      <c r="O240" s="130">
        <v>0</v>
      </c>
      <c r="P240" s="263"/>
    </row>
    <row r="241" spans="1:21" s="43" customFormat="1" ht="19">
      <c r="A241" s="314"/>
      <c r="B241" s="240"/>
      <c r="C241" s="244"/>
      <c r="D241" s="100" t="s">
        <v>90</v>
      </c>
      <c r="E241" s="130"/>
      <c r="F241" s="173">
        <f t="shared" si="72"/>
        <v>0</v>
      </c>
      <c r="G241" s="130">
        <v>0</v>
      </c>
      <c r="H241" s="264">
        <v>0</v>
      </c>
      <c r="I241" s="264"/>
      <c r="J241" s="264"/>
      <c r="K241" s="264"/>
      <c r="L241" s="264"/>
      <c r="M241" s="130">
        <v>0</v>
      </c>
      <c r="N241" s="130">
        <v>0</v>
      </c>
      <c r="O241" s="130">
        <v>0</v>
      </c>
      <c r="P241" s="263"/>
    </row>
    <row r="242" spans="1:21" s="43" customFormat="1" ht="22.5" customHeight="1">
      <c r="A242" s="314"/>
      <c r="B242" s="237" t="s">
        <v>233</v>
      </c>
      <c r="C242" s="234" t="s">
        <v>129</v>
      </c>
      <c r="D242" s="234" t="s">
        <v>129</v>
      </c>
      <c r="E242" s="145"/>
      <c r="F242" s="248" t="s">
        <v>130</v>
      </c>
      <c r="G242" s="146" t="s">
        <v>287</v>
      </c>
      <c r="H242" s="246" t="s">
        <v>288</v>
      </c>
      <c r="I242" s="247" t="s">
        <v>131</v>
      </c>
      <c r="J242" s="247"/>
      <c r="K242" s="247"/>
      <c r="L242" s="247"/>
      <c r="M242" s="146" t="s">
        <v>136</v>
      </c>
      <c r="N242" s="146" t="s">
        <v>137</v>
      </c>
      <c r="O242" s="146" t="s">
        <v>138</v>
      </c>
      <c r="P242" s="257" t="s">
        <v>129</v>
      </c>
      <c r="Q242" s="44"/>
    </row>
    <row r="243" spans="1:21" s="43" customFormat="1" ht="24.75" customHeight="1">
      <c r="A243" s="314"/>
      <c r="B243" s="237"/>
      <c r="C243" s="234"/>
      <c r="D243" s="234"/>
      <c r="E243" s="145"/>
      <c r="F243" s="248"/>
      <c r="G243" s="145"/>
      <c r="H243" s="246"/>
      <c r="I243" s="145" t="s">
        <v>132</v>
      </c>
      <c r="J243" s="145" t="s">
        <v>133</v>
      </c>
      <c r="K243" s="145" t="s">
        <v>134</v>
      </c>
      <c r="L243" s="145" t="s">
        <v>135</v>
      </c>
      <c r="M243" s="145"/>
      <c r="N243" s="145"/>
      <c r="O243" s="145"/>
      <c r="P243" s="257"/>
      <c r="Q243" s="44"/>
    </row>
    <row r="244" spans="1:21" s="43" customFormat="1" ht="31.5" customHeight="1">
      <c r="A244" s="314"/>
      <c r="B244" s="237"/>
      <c r="C244" s="234"/>
      <c r="D244" s="234"/>
      <c r="E244" s="145"/>
      <c r="F244" s="174">
        <v>0</v>
      </c>
      <c r="G244" s="147">
        <v>0</v>
      </c>
      <c r="H244" s="147">
        <v>0</v>
      </c>
      <c r="I244" s="147">
        <v>0</v>
      </c>
      <c r="J244" s="147">
        <v>0</v>
      </c>
      <c r="K244" s="147">
        <v>0</v>
      </c>
      <c r="L244" s="147">
        <v>0</v>
      </c>
      <c r="M244" s="147">
        <v>0</v>
      </c>
      <c r="N244" s="147">
        <v>0</v>
      </c>
      <c r="O244" s="147">
        <v>0</v>
      </c>
      <c r="P244" s="257"/>
      <c r="Q244" s="44"/>
    </row>
    <row r="245" spans="1:21" s="9" customFormat="1" ht="18.75" customHeight="1">
      <c r="A245" s="313" t="s">
        <v>36</v>
      </c>
      <c r="B245" s="235" t="s">
        <v>102</v>
      </c>
      <c r="C245" s="235" t="s">
        <v>89</v>
      </c>
      <c r="D245" s="162" t="s">
        <v>2</v>
      </c>
      <c r="E245" s="163">
        <f>E248</f>
        <v>0</v>
      </c>
      <c r="F245" s="173">
        <f>SUM(G245:O245)</f>
        <v>147396.42741</v>
      </c>
      <c r="G245" s="163">
        <f t="shared" ref="G245" si="81">G246+G247+G248+G249</f>
        <v>147396.42741</v>
      </c>
      <c r="H245" s="267">
        <f>H246+H247+H248+H249</f>
        <v>0</v>
      </c>
      <c r="I245" s="267"/>
      <c r="J245" s="267"/>
      <c r="K245" s="267"/>
      <c r="L245" s="267"/>
      <c r="M245" s="163">
        <f t="shared" ref="M245:O245" si="82">M246+M247+M248+M249</f>
        <v>0</v>
      </c>
      <c r="N245" s="163">
        <f t="shared" si="82"/>
        <v>0</v>
      </c>
      <c r="O245" s="163">
        <f t="shared" si="82"/>
        <v>0</v>
      </c>
      <c r="P245" s="260"/>
      <c r="T245" s="50"/>
      <c r="U245" s="50"/>
    </row>
    <row r="246" spans="1:21" s="9" customFormat="1" ht="36" customHeight="1">
      <c r="A246" s="313"/>
      <c r="B246" s="235"/>
      <c r="C246" s="235"/>
      <c r="D246" s="162" t="s">
        <v>41</v>
      </c>
      <c r="E246" s="163"/>
      <c r="F246" s="173">
        <f t="shared" ref="F246:F253" si="83">SUM(G246:O246)</f>
        <v>0</v>
      </c>
      <c r="G246" s="164">
        <f t="shared" ref="G246" si="84">G250</f>
        <v>0</v>
      </c>
      <c r="H246" s="268">
        <f>H250</f>
        <v>0</v>
      </c>
      <c r="I246" s="268"/>
      <c r="J246" s="268"/>
      <c r="K246" s="268"/>
      <c r="L246" s="268"/>
      <c r="M246" s="164">
        <f t="shared" ref="M246:O246" si="85">M250</f>
        <v>0</v>
      </c>
      <c r="N246" s="164">
        <f t="shared" si="85"/>
        <v>0</v>
      </c>
      <c r="O246" s="164">
        <f t="shared" si="85"/>
        <v>0</v>
      </c>
      <c r="P246" s="260"/>
      <c r="T246" s="50"/>
      <c r="U246" s="50"/>
    </row>
    <row r="247" spans="1:21" s="9" customFormat="1" ht="38">
      <c r="A247" s="313"/>
      <c r="B247" s="235"/>
      <c r="C247" s="235"/>
      <c r="D247" s="162" t="s">
        <v>1</v>
      </c>
      <c r="E247" s="163"/>
      <c r="F247" s="173">
        <f t="shared" si="83"/>
        <v>61976.218000000001</v>
      </c>
      <c r="G247" s="164">
        <f>G251+G265+G258</f>
        <v>61976.218000000001</v>
      </c>
      <c r="H247" s="268">
        <f>H251+H258</f>
        <v>0</v>
      </c>
      <c r="I247" s="268"/>
      <c r="J247" s="268"/>
      <c r="K247" s="268"/>
      <c r="L247" s="268"/>
      <c r="M247" s="164">
        <f t="shared" ref="M247:O247" si="86">M251</f>
        <v>0</v>
      </c>
      <c r="N247" s="164">
        <f t="shared" si="86"/>
        <v>0</v>
      </c>
      <c r="O247" s="164">
        <f t="shared" si="86"/>
        <v>0</v>
      </c>
      <c r="P247" s="260"/>
      <c r="T247" s="50"/>
      <c r="U247" s="50"/>
    </row>
    <row r="248" spans="1:21" s="9" customFormat="1" ht="57">
      <c r="A248" s="313"/>
      <c r="B248" s="235"/>
      <c r="C248" s="235"/>
      <c r="D248" s="162" t="s">
        <v>48</v>
      </c>
      <c r="E248" s="165">
        <f>E251</f>
        <v>0</v>
      </c>
      <c r="F248" s="173">
        <f t="shared" si="83"/>
        <v>85420.209409999996</v>
      </c>
      <c r="G248" s="165">
        <f>G252+G266+G259</f>
        <v>85420.209409999996</v>
      </c>
      <c r="H248" s="269">
        <f>H252+H259</f>
        <v>0</v>
      </c>
      <c r="I248" s="269"/>
      <c r="J248" s="269"/>
      <c r="K248" s="269"/>
      <c r="L248" s="269"/>
      <c r="M248" s="165">
        <f t="shared" ref="M248:O248" si="87">M252</f>
        <v>0</v>
      </c>
      <c r="N248" s="165">
        <f t="shared" si="87"/>
        <v>0</v>
      </c>
      <c r="O248" s="165">
        <f t="shared" si="87"/>
        <v>0</v>
      </c>
      <c r="P248" s="260"/>
      <c r="T248" s="50"/>
      <c r="U248" s="50"/>
    </row>
    <row r="249" spans="1:21" s="9" customFormat="1" ht="19">
      <c r="A249" s="313"/>
      <c r="B249" s="235"/>
      <c r="C249" s="235"/>
      <c r="D249" s="162" t="s">
        <v>90</v>
      </c>
      <c r="E249" s="165"/>
      <c r="F249" s="173">
        <f t="shared" si="83"/>
        <v>0</v>
      </c>
      <c r="G249" s="165">
        <f t="shared" ref="G249" si="88">G253</f>
        <v>0</v>
      </c>
      <c r="H249" s="269">
        <f>H253</f>
        <v>0</v>
      </c>
      <c r="I249" s="269"/>
      <c r="J249" s="269"/>
      <c r="K249" s="269"/>
      <c r="L249" s="269"/>
      <c r="M249" s="165">
        <f t="shared" ref="M249:O249" si="89">M253</f>
        <v>0</v>
      </c>
      <c r="N249" s="165">
        <f t="shared" si="89"/>
        <v>0</v>
      </c>
      <c r="O249" s="165">
        <f t="shared" si="89"/>
        <v>0</v>
      </c>
      <c r="P249" s="260"/>
      <c r="T249" s="50"/>
      <c r="U249" s="50"/>
    </row>
    <row r="250" spans="1:21" s="9" customFormat="1" ht="40.5" customHeight="1">
      <c r="A250" s="332" t="s">
        <v>58</v>
      </c>
      <c r="B250" s="236" t="s">
        <v>103</v>
      </c>
      <c r="C250" s="271" t="s">
        <v>89</v>
      </c>
      <c r="D250" s="140" t="s">
        <v>41</v>
      </c>
      <c r="E250" s="78"/>
      <c r="F250" s="173">
        <f t="shared" si="83"/>
        <v>0</v>
      </c>
      <c r="G250" s="130">
        <v>0</v>
      </c>
      <c r="H250" s="264">
        <v>0</v>
      </c>
      <c r="I250" s="264"/>
      <c r="J250" s="264"/>
      <c r="K250" s="264"/>
      <c r="L250" s="264"/>
      <c r="M250" s="130">
        <v>0</v>
      </c>
      <c r="N250" s="130">
        <v>0</v>
      </c>
      <c r="O250" s="130">
        <v>0</v>
      </c>
      <c r="P250" s="257" t="s">
        <v>3</v>
      </c>
      <c r="T250" s="50"/>
      <c r="U250" s="50"/>
    </row>
    <row r="251" spans="1:21" s="43" customFormat="1" ht="38">
      <c r="A251" s="333"/>
      <c r="B251" s="236"/>
      <c r="C251" s="271"/>
      <c r="D251" s="143" t="s">
        <v>1</v>
      </c>
      <c r="E251" s="144">
        <v>0</v>
      </c>
      <c r="F251" s="173">
        <f t="shared" si="83"/>
        <v>61976.218000000001</v>
      </c>
      <c r="G251" s="144">
        <v>61976.218000000001</v>
      </c>
      <c r="H251" s="261">
        <f>114716.441-114716.441</f>
        <v>0</v>
      </c>
      <c r="I251" s="261"/>
      <c r="J251" s="261"/>
      <c r="K251" s="261"/>
      <c r="L251" s="261"/>
      <c r="M251" s="144">
        <v>0</v>
      </c>
      <c r="N251" s="144">
        <v>0</v>
      </c>
      <c r="O251" s="144">
        <v>0</v>
      </c>
      <c r="P251" s="257"/>
    </row>
    <row r="252" spans="1:21" s="43" customFormat="1" ht="57">
      <c r="A252" s="333"/>
      <c r="B252" s="236"/>
      <c r="C252" s="271"/>
      <c r="D252" s="143" t="s">
        <v>48</v>
      </c>
      <c r="E252" s="144">
        <v>0</v>
      </c>
      <c r="F252" s="173">
        <f t="shared" si="83"/>
        <v>85420.209409999996</v>
      </c>
      <c r="G252" s="144">
        <v>85420.209409999996</v>
      </c>
      <c r="H252" s="261">
        <f>69830.1+42839.82134-112669.92134</f>
        <v>0</v>
      </c>
      <c r="I252" s="261"/>
      <c r="J252" s="261"/>
      <c r="K252" s="261"/>
      <c r="L252" s="261"/>
      <c r="M252" s="144">
        <v>0</v>
      </c>
      <c r="N252" s="144">
        <v>0</v>
      </c>
      <c r="O252" s="144">
        <v>0</v>
      </c>
      <c r="P252" s="257"/>
      <c r="Q252" s="44"/>
    </row>
    <row r="253" spans="1:21" s="43" customFormat="1" ht="19">
      <c r="A253" s="333"/>
      <c r="B253" s="236"/>
      <c r="C253" s="271"/>
      <c r="D253" s="143" t="s">
        <v>90</v>
      </c>
      <c r="E253" s="144"/>
      <c r="F253" s="173">
        <f t="shared" si="83"/>
        <v>0</v>
      </c>
      <c r="G253" s="144">
        <v>0</v>
      </c>
      <c r="H253" s="261">
        <v>0</v>
      </c>
      <c r="I253" s="261"/>
      <c r="J253" s="261"/>
      <c r="K253" s="261"/>
      <c r="L253" s="261"/>
      <c r="M253" s="144">
        <v>0</v>
      </c>
      <c r="N253" s="144">
        <v>0</v>
      </c>
      <c r="O253" s="144">
        <v>0</v>
      </c>
      <c r="P253" s="257"/>
      <c r="Q253" s="44"/>
    </row>
    <row r="254" spans="1:21" s="43" customFormat="1" ht="24" customHeight="1">
      <c r="A254" s="333"/>
      <c r="B254" s="237" t="s">
        <v>192</v>
      </c>
      <c r="C254" s="234" t="s">
        <v>129</v>
      </c>
      <c r="D254" s="234" t="s">
        <v>129</v>
      </c>
      <c r="E254" s="145"/>
      <c r="F254" s="248" t="s">
        <v>130</v>
      </c>
      <c r="G254" s="146" t="s">
        <v>287</v>
      </c>
      <c r="H254" s="246" t="s">
        <v>288</v>
      </c>
      <c r="I254" s="247" t="s">
        <v>131</v>
      </c>
      <c r="J254" s="247"/>
      <c r="K254" s="247"/>
      <c r="L254" s="247"/>
      <c r="M254" s="146" t="s">
        <v>136</v>
      </c>
      <c r="N254" s="146" t="s">
        <v>137</v>
      </c>
      <c r="O254" s="146" t="s">
        <v>138</v>
      </c>
      <c r="P254" s="257" t="s">
        <v>129</v>
      </c>
      <c r="Q254" s="44"/>
    </row>
    <row r="255" spans="1:21" s="43" customFormat="1" ht="24" customHeight="1">
      <c r="A255" s="333"/>
      <c r="B255" s="237"/>
      <c r="C255" s="234"/>
      <c r="D255" s="234"/>
      <c r="E255" s="145"/>
      <c r="F255" s="248"/>
      <c r="G255" s="145"/>
      <c r="H255" s="246"/>
      <c r="I255" s="145" t="s">
        <v>132</v>
      </c>
      <c r="J255" s="145" t="s">
        <v>133</v>
      </c>
      <c r="K255" s="145" t="s">
        <v>134</v>
      </c>
      <c r="L255" s="145" t="s">
        <v>135</v>
      </c>
      <c r="M255" s="145"/>
      <c r="N255" s="145"/>
      <c r="O255" s="145"/>
      <c r="P255" s="257"/>
      <c r="Q255" s="44"/>
    </row>
    <row r="256" spans="1:21" s="43" customFormat="1" ht="26.25" customHeight="1">
      <c r="A256" s="334"/>
      <c r="B256" s="237"/>
      <c r="C256" s="234"/>
      <c r="D256" s="234"/>
      <c r="E256" s="145"/>
      <c r="F256" s="174">
        <v>0</v>
      </c>
      <c r="G256" s="147">
        <v>0</v>
      </c>
      <c r="H256" s="147">
        <v>0</v>
      </c>
      <c r="I256" s="147">
        <v>0</v>
      </c>
      <c r="J256" s="147">
        <v>0</v>
      </c>
      <c r="K256" s="147">
        <v>0</v>
      </c>
      <c r="L256" s="147">
        <v>0</v>
      </c>
      <c r="M256" s="147">
        <v>0</v>
      </c>
      <c r="N256" s="147">
        <v>0</v>
      </c>
      <c r="O256" s="147">
        <v>0</v>
      </c>
      <c r="P256" s="257"/>
      <c r="Q256" s="44"/>
    </row>
    <row r="257" spans="1:21" s="9" customFormat="1" ht="36.75" customHeight="1">
      <c r="A257" s="286" t="s">
        <v>59</v>
      </c>
      <c r="B257" s="236" t="s">
        <v>255</v>
      </c>
      <c r="C257" s="271" t="s">
        <v>254</v>
      </c>
      <c r="D257" s="140" t="s">
        <v>41</v>
      </c>
      <c r="E257" s="78"/>
      <c r="F257" s="173">
        <f>SUM(G257:O257)</f>
        <v>0</v>
      </c>
      <c r="G257" s="130">
        <v>0</v>
      </c>
      <c r="H257" s="264">
        <v>0</v>
      </c>
      <c r="I257" s="264"/>
      <c r="J257" s="264"/>
      <c r="K257" s="264"/>
      <c r="L257" s="264"/>
      <c r="M257" s="130">
        <v>0</v>
      </c>
      <c r="N257" s="130">
        <v>0</v>
      </c>
      <c r="O257" s="130">
        <v>0</v>
      </c>
      <c r="P257" s="257" t="s">
        <v>3</v>
      </c>
      <c r="T257" s="50"/>
      <c r="U257" s="50"/>
    </row>
    <row r="258" spans="1:21" s="43" customFormat="1" ht="38">
      <c r="A258" s="286"/>
      <c r="B258" s="236"/>
      <c r="C258" s="271"/>
      <c r="D258" s="143" t="s">
        <v>1</v>
      </c>
      <c r="E258" s="144">
        <v>0</v>
      </c>
      <c r="F258" s="173">
        <f t="shared" ref="F258:F260" si="90">SUM(G258:O258)</f>
        <v>0</v>
      </c>
      <c r="G258" s="144">
        <v>0</v>
      </c>
      <c r="H258" s="261">
        <f>10177.61-0.008-10177.602</f>
        <v>0</v>
      </c>
      <c r="I258" s="261"/>
      <c r="J258" s="261"/>
      <c r="K258" s="261"/>
      <c r="L258" s="261"/>
      <c r="M258" s="144">
        <v>0</v>
      </c>
      <c r="N258" s="144">
        <v>0</v>
      </c>
      <c r="O258" s="144">
        <v>0</v>
      </c>
      <c r="P258" s="257"/>
    </row>
    <row r="259" spans="1:21" s="43" customFormat="1" ht="57">
      <c r="A259" s="286"/>
      <c r="B259" s="236"/>
      <c r="C259" s="271"/>
      <c r="D259" s="143" t="s">
        <v>48</v>
      </c>
      <c r="E259" s="144">
        <v>0</v>
      </c>
      <c r="F259" s="173">
        <f t="shared" si="90"/>
        <v>0</v>
      </c>
      <c r="G259" s="144">
        <v>0</v>
      </c>
      <c r="H259" s="261">
        <f>6132.66-6132.66</f>
        <v>0</v>
      </c>
      <c r="I259" s="261"/>
      <c r="J259" s="261"/>
      <c r="K259" s="261"/>
      <c r="L259" s="261"/>
      <c r="M259" s="144">
        <v>0</v>
      </c>
      <c r="N259" s="144">
        <v>0</v>
      </c>
      <c r="O259" s="144">
        <v>0</v>
      </c>
      <c r="P259" s="257"/>
      <c r="Q259" s="44"/>
    </row>
    <row r="260" spans="1:21" s="43" customFormat="1" ht="19">
      <c r="A260" s="286"/>
      <c r="B260" s="236"/>
      <c r="C260" s="271"/>
      <c r="D260" s="143" t="s">
        <v>90</v>
      </c>
      <c r="E260" s="144"/>
      <c r="F260" s="173">
        <f t="shared" si="90"/>
        <v>0</v>
      </c>
      <c r="G260" s="144">
        <v>0</v>
      </c>
      <c r="H260" s="261">
        <v>0</v>
      </c>
      <c r="I260" s="261"/>
      <c r="J260" s="261"/>
      <c r="K260" s="261"/>
      <c r="L260" s="261"/>
      <c r="M260" s="144">
        <v>0</v>
      </c>
      <c r="N260" s="144">
        <v>0</v>
      </c>
      <c r="O260" s="144">
        <v>0</v>
      </c>
      <c r="P260" s="257"/>
      <c r="Q260" s="44"/>
    </row>
    <row r="261" spans="1:21" s="43" customFormat="1" ht="31.5" customHeight="1">
      <c r="A261" s="286"/>
      <c r="B261" s="237" t="s">
        <v>265</v>
      </c>
      <c r="C261" s="234" t="s">
        <v>129</v>
      </c>
      <c r="D261" s="234" t="s">
        <v>129</v>
      </c>
      <c r="E261" s="145"/>
      <c r="F261" s="248" t="s">
        <v>130</v>
      </c>
      <c r="G261" s="146" t="s">
        <v>287</v>
      </c>
      <c r="H261" s="246" t="s">
        <v>288</v>
      </c>
      <c r="I261" s="247" t="s">
        <v>131</v>
      </c>
      <c r="J261" s="247"/>
      <c r="K261" s="247"/>
      <c r="L261" s="247"/>
      <c r="M261" s="146" t="s">
        <v>136</v>
      </c>
      <c r="N261" s="146" t="s">
        <v>137</v>
      </c>
      <c r="O261" s="146" t="s">
        <v>138</v>
      </c>
      <c r="P261" s="257" t="s">
        <v>129</v>
      </c>
      <c r="Q261" s="44"/>
    </row>
    <row r="262" spans="1:21" s="43" customFormat="1" ht="24" customHeight="1">
      <c r="A262" s="286"/>
      <c r="B262" s="237"/>
      <c r="C262" s="234"/>
      <c r="D262" s="234"/>
      <c r="E262" s="145"/>
      <c r="F262" s="248"/>
      <c r="G262" s="145"/>
      <c r="H262" s="246"/>
      <c r="I262" s="145" t="s">
        <v>132</v>
      </c>
      <c r="J262" s="145" t="s">
        <v>133</v>
      </c>
      <c r="K262" s="145" t="s">
        <v>134</v>
      </c>
      <c r="L262" s="145" t="s">
        <v>135</v>
      </c>
      <c r="M262" s="145"/>
      <c r="N262" s="145"/>
      <c r="O262" s="145"/>
      <c r="P262" s="257"/>
      <c r="Q262" s="44"/>
    </row>
    <row r="263" spans="1:21" s="43" customFormat="1" ht="26.25" customHeight="1">
      <c r="A263" s="286"/>
      <c r="B263" s="237"/>
      <c r="C263" s="234"/>
      <c r="D263" s="234"/>
      <c r="E263" s="145"/>
      <c r="F263" s="174">
        <v>0</v>
      </c>
      <c r="G263" s="147">
        <v>0</v>
      </c>
      <c r="H263" s="147">
        <v>0</v>
      </c>
      <c r="I263" s="147">
        <v>0</v>
      </c>
      <c r="J263" s="147">
        <v>0</v>
      </c>
      <c r="K263" s="147">
        <v>0</v>
      </c>
      <c r="L263" s="147">
        <v>0</v>
      </c>
      <c r="M263" s="147">
        <v>0</v>
      </c>
      <c r="N263" s="147">
        <v>0</v>
      </c>
      <c r="O263" s="147">
        <v>0</v>
      </c>
      <c r="P263" s="257"/>
      <c r="Q263" s="44"/>
    </row>
    <row r="264" spans="1:21" s="9" customFormat="1" ht="36.75" customHeight="1">
      <c r="A264" s="286" t="s">
        <v>253</v>
      </c>
      <c r="B264" s="236" t="s">
        <v>257</v>
      </c>
      <c r="C264" s="271" t="s">
        <v>89</v>
      </c>
      <c r="D264" s="140" t="s">
        <v>41</v>
      </c>
      <c r="E264" s="78"/>
      <c r="F264" s="173">
        <f>SUM(G264:O264)</f>
        <v>0</v>
      </c>
      <c r="G264" s="130">
        <v>0</v>
      </c>
      <c r="H264" s="264">
        <v>0</v>
      </c>
      <c r="I264" s="264"/>
      <c r="J264" s="264"/>
      <c r="K264" s="264"/>
      <c r="L264" s="264"/>
      <c r="M264" s="130">
        <v>0</v>
      </c>
      <c r="N264" s="130">
        <v>0</v>
      </c>
      <c r="O264" s="130">
        <v>0</v>
      </c>
      <c r="P264" s="257" t="s">
        <v>3</v>
      </c>
      <c r="T264" s="50"/>
      <c r="U264" s="50"/>
    </row>
    <row r="265" spans="1:21" s="43" customFormat="1" ht="38">
      <c r="A265" s="286"/>
      <c r="B265" s="236"/>
      <c r="C265" s="271"/>
      <c r="D265" s="143" t="s">
        <v>1</v>
      </c>
      <c r="E265" s="144">
        <v>0</v>
      </c>
      <c r="F265" s="173">
        <f t="shared" ref="F265:F267" si="91">SUM(G265:O265)</f>
        <v>0</v>
      </c>
      <c r="G265" s="144">
        <v>0</v>
      </c>
      <c r="H265" s="261">
        <v>0</v>
      </c>
      <c r="I265" s="261"/>
      <c r="J265" s="261"/>
      <c r="K265" s="261"/>
      <c r="L265" s="261"/>
      <c r="M265" s="144">
        <v>0</v>
      </c>
      <c r="N265" s="144">
        <v>0</v>
      </c>
      <c r="O265" s="144">
        <v>0</v>
      </c>
      <c r="P265" s="257"/>
    </row>
    <row r="266" spans="1:21" s="43" customFormat="1" ht="57">
      <c r="A266" s="286"/>
      <c r="B266" s="236"/>
      <c r="C266" s="271"/>
      <c r="D266" s="143" t="s">
        <v>48</v>
      </c>
      <c r="E266" s="144">
        <v>0</v>
      </c>
      <c r="F266" s="173">
        <f t="shared" si="91"/>
        <v>0</v>
      </c>
      <c r="G266" s="144">
        <v>0</v>
      </c>
      <c r="H266" s="261">
        <v>0</v>
      </c>
      <c r="I266" s="261"/>
      <c r="J266" s="261"/>
      <c r="K266" s="261"/>
      <c r="L266" s="261"/>
      <c r="M266" s="144">
        <v>0</v>
      </c>
      <c r="N266" s="144">
        <v>0</v>
      </c>
      <c r="O266" s="144">
        <v>0</v>
      </c>
      <c r="P266" s="257"/>
      <c r="Q266" s="44"/>
    </row>
    <row r="267" spans="1:21" s="43" customFormat="1" ht="19">
      <c r="A267" s="286"/>
      <c r="B267" s="236"/>
      <c r="C267" s="271"/>
      <c r="D267" s="143" t="s">
        <v>90</v>
      </c>
      <c r="E267" s="144"/>
      <c r="F267" s="173">
        <f t="shared" si="91"/>
        <v>0</v>
      </c>
      <c r="G267" s="144">
        <v>0</v>
      </c>
      <c r="H267" s="261">
        <v>0</v>
      </c>
      <c r="I267" s="261"/>
      <c r="J267" s="261"/>
      <c r="K267" s="261"/>
      <c r="L267" s="261"/>
      <c r="M267" s="144">
        <v>0</v>
      </c>
      <c r="N267" s="144">
        <v>0</v>
      </c>
      <c r="O267" s="144">
        <v>0</v>
      </c>
      <c r="P267" s="257"/>
      <c r="Q267" s="44"/>
    </row>
    <row r="268" spans="1:21" s="43" customFormat="1" ht="24" customHeight="1">
      <c r="A268" s="286"/>
      <c r="B268" s="237" t="s">
        <v>193</v>
      </c>
      <c r="C268" s="234" t="s">
        <v>129</v>
      </c>
      <c r="D268" s="234" t="s">
        <v>129</v>
      </c>
      <c r="E268" s="145"/>
      <c r="F268" s="248" t="s">
        <v>130</v>
      </c>
      <c r="G268" s="146" t="s">
        <v>287</v>
      </c>
      <c r="H268" s="246" t="s">
        <v>288</v>
      </c>
      <c r="I268" s="247" t="s">
        <v>131</v>
      </c>
      <c r="J268" s="247"/>
      <c r="K268" s="247"/>
      <c r="L268" s="247"/>
      <c r="M268" s="146" t="s">
        <v>136</v>
      </c>
      <c r="N268" s="146" t="s">
        <v>137</v>
      </c>
      <c r="O268" s="146" t="s">
        <v>138</v>
      </c>
      <c r="P268" s="257" t="s">
        <v>129</v>
      </c>
      <c r="Q268" s="44"/>
    </row>
    <row r="269" spans="1:21" s="43" customFormat="1" ht="24" customHeight="1">
      <c r="A269" s="286"/>
      <c r="B269" s="237"/>
      <c r="C269" s="234"/>
      <c r="D269" s="234"/>
      <c r="E269" s="145"/>
      <c r="F269" s="248"/>
      <c r="G269" s="145"/>
      <c r="H269" s="246"/>
      <c r="I269" s="145" t="s">
        <v>132</v>
      </c>
      <c r="J269" s="145" t="s">
        <v>133</v>
      </c>
      <c r="K269" s="145" t="s">
        <v>134</v>
      </c>
      <c r="L269" s="145" t="s">
        <v>135</v>
      </c>
      <c r="M269" s="145"/>
      <c r="N269" s="145"/>
      <c r="O269" s="145"/>
      <c r="P269" s="257"/>
      <c r="Q269" s="44"/>
    </row>
    <row r="270" spans="1:21" s="43" customFormat="1" ht="26.25" customHeight="1">
      <c r="A270" s="286"/>
      <c r="B270" s="237"/>
      <c r="C270" s="234"/>
      <c r="D270" s="234"/>
      <c r="E270" s="145"/>
      <c r="F270" s="174">
        <v>0</v>
      </c>
      <c r="G270" s="147">
        <v>0</v>
      </c>
      <c r="H270" s="147">
        <v>0</v>
      </c>
      <c r="I270" s="147">
        <v>0</v>
      </c>
      <c r="J270" s="147">
        <v>0</v>
      </c>
      <c r="K270" s="147">
        <v>0</v>
      </c>
      <c r="L270" s="147">
        <v>0</v>
      </c>
      <c r="M270" s="147">
        <v>0</v>
      </c>
      <c r="N270" s="147">
        <v>0</v>
      </c>
      <c r="O270" s="147">
        <v>0</v>
      </c>
      <c r="P270" s="257"/>
      <c r="Q270" s="44"/>
    </row>
    <row r="271" spans="1:21" s="9" customFormat="1" ht="29.25" customHeight="1">
      <c r="A271" s="309" t="s">
        <v>11</v>
      </c>
      <c r="B271" s="238" t="s">
        <v>83</v>
      </c>
      <c r="C271" s="238" t="s">
        <v>89</v>
      </c>
      <c r="D271" s="157" t="s">
        <v>2</v>
      </c>
      <c r="E271" s="158">
        <f>E273+E274</f>
        <v>0</v>
      </c>
      <c r="F271" s="173">
        <f>SUM(G271:O271)</f>
        <v>806006.23083000001</v>
      </c>
      <c r="G271" s="158">
        <f t="shared" ref="G271" si="92">G272+G273+G274+G275</f>
        <v>806006.23083000001</v>
      </c>
      <c r="H271" s="252">
        <f>H272+H273+H274+H275</f>
        <v>0</v>
      </c>
      <c r="I271" s="252"/>
      <c r="J271" s="252"/>
      <c r="K271" s="252"/>
      <c r="L271" s="252"/>
      <c r="M271" s="158">
        <f t="shared" ref="M271:O271" si="93">M272+M273+M274+M275</f>
        <v>0</v>
      </c>
      <c r="N271" s="158">
        <f t="shared" si="93"/>
        <v>0</v>
      </c>
      <c r="O271" s="158">
        <f t="shared" si="93"/>
        <v>0</v>
      </c>
      <c r="P271" s="262"/>
      <c r="T271" s="50"/>
      <c r="U271" s="50"/>
    </row>
    <row r="272" spans="1:21" s="9" customFormat="1" ht="39.75" customHeight="1">
      <c r="A272" s="309"/>
      <c r="B272" s="238"/>
      <c r="C272" s="238"/>
      <c r="D272" s="157" t="s">
        <v>41</v>
      </c>
      <c r="E272" s="158"/>
      <c r="F272" s="173">
        <f t="shared" ref="F272:F279" si="94">SUM(G272:O272)</f>
        <v>58761.3</v>
      </c>
      <c r="G272" s="159">
        <f t="shared" ref="G272" si="95">G276+G286+G293+G300+G307+G314+G321</f>
        <v>58761.3</v>
      </c>
      <c r="H272" s="251">
        <f>H276+H286+H293+H300+H307+H314+H321</f>
        <v>0</v>
      </c>
      <c r="I272" s="251"/>
      <c r="J272" s="251"/>
      <c r="K272" s="251"/>
      <c r="L272" s="251"/>
      <c r="M272" s="159">
        <f t="shared" ref="M272:O272" si="96">M276+M286+M293+M300+M307+M314+M321</f>
        <v>0</v>
      </c>
      <c r="N272" s="159">
        <f t="shared" si="96"/>
        <v>0</v>
      </c>
      <c r="O272" s="159">
        <f t="shared" si="96"/>
        <v>0</v>
      </c>
      <c r="P272" s="262"/>
      <c r="T272" s="50"/>
      <c r="U272" s="50"/>
    </row>
    <row r="273" spans="1:21" s="9" customFormat="1" ht="39.75" customHeight="1">
      <c r="A273" s="309"/>
      <c r="B273" s="238"/>
      <c r="C273" s="238"/>
      <c r="D273" s="157" t="s">
        <v>1</v>
      </c>
      <c r="E273" s="159">
        <f>E277</f>
        <v>0</v>
      </c>
      <c r="F273" s="173">
        <f t="shared" si="94"/>
        <v>408038.41587999999</v>
      </c>
      <c r="G273" s="159">
        <f t="shared" ref="G273" si="97">G277+G287+G294+G301+G308+G315+G322+G329</f>
        <v>408038.41587999999</v>
      </c>
      <c r="H273" s="251">
        <f>H277+H287+H294+H301+H308+H315+H322+H329</f>
        <v>0</v>
      </c>
      <c r="I273" s="251"/>
      <c r="J273" s="251"/>
      <c r="K273" s="251"/>
      <c r="L273" s="251"/>
      <c r="M273" s="159">
        <f t="shared" ref="M273:N274" si="98">M277+M287+M294+M301+M308+M315+M322+M329</f>
        <v>0</v>
      </c>
      <c r="N273" s="159">
        <f t="shared" si="98"/>
        <v>0</v>
      </c>
      <c r="O273" s="159">
        <f t="shared" ref="O273" si="99">O277+O287+O294+O301+O308+O315+O322</f>
        <v>0</v>
      </c>
      <c r="P273" s="262"/>
      <c r="T273" s="50"/>
      <c r="U273" s="50"/>
    </row>
    <row r="274" spans="1:21" s="9" customFormat="1" ht="58.5" customHeight="1">
      <c r="A274" s="309"/>
      <c r="B274" s="238"/>
      <c r="C274" s="238"/>
      <c r="D274" s="157" t="s">
        <v>49</v>
      </c>
      <c r="E274" s="159">
        <f>E278</f>
        <v>0</v>
      </c>
      <c r="F274" s="173">
        <f t="shared" si="94"/>
        <v>339206.51494999998</v>
      </c>
      <c r="G274" s="159">
        <f t="shared" ref="G274" si="100">G278+G288+G295+G302+G309+G316+G323+G330</f>
        <v>339206.51494999998</v>
      </c>
      <c r="H274" s="251">
        <f>H278+H288+H295+H302+H309+H316+H323+H330</f>
        <v>0</v>
      </c>
      <c r="I274" s="251"/>
      <c r="J274" s="251"/>
      <c r="K274" s="251"/>
      <c r="L274" s="251"/>
      <c r="M274" s="159">
        <f t="shared" si="98"/>
        <v>0</v>
      </c>
      <c r="N274" s="159">
        <f t="shared" si="98"/>
        <v>0</v>
      </c>
      <c r="O274" s="159">
        <f t="shared" ref="O274" si="101">O278+O288+O295+O302+O309+O316+O323</f>
        <v>0</v>
      </c>
      <c r="P274" s="262"/>
      <c r="T274" s="50"/>
      <c r="U274" s="50"/>
    </row>
    <row r="275" spans="1:21" s="9" customFormat="1" ht="19">
      <c r="A275" s="309"/>
      <c r="B275" s="238"/>
      <c r="C275" s="238"/>
      <c r="D275" s="157" t="s">
        <v>90</v>
      </c>
      <c r="E275" s="159"/>
      <c r="F275" s="173">
        <f t="shared" si="94"/>
        <v>0</v>
      </c>
      <c r="G275" s="159">
        <f t="shared" ref="G275" si="102">G279+G289+G296+G303+G310+G317+G324</f>
        <v>0</v>
      </c>
      <c r="H275" s="251">
        <f>H279+H289+H296+H303+H310+H317+H324</f>
        <v>0</v>
      </c>
      <c r="I275" s="251"/>
      <c r="J275" s="251"/>
      <c r="K275" s="251"/>
      <c r="L275" s="251"/>
      <c r="M275" s="159">
        <f t="shared" ref="M275:O275" si="103">M279+M289+M296+M303+M310+M317+M324</f>
        <v>0</v>
      </c>
      <c r="N275" s="159">
        <f t="shared" si="103"/>
        <v>0</v>
      </c>
      <c r="O275" s="159">
        <f t="shared" si="103"/>
        <v>0</v>
      </c>
      <c r="P275" s="262"/>
      <c r="T275" s="50"/>
      <c r="U275" s="50"/>
    </row>
    <row r="276" spans="1:21" s="43" customFormat="1" ht="42" customHeight="1">
      <c r="A276" s="305" t="s">
        <v>60</v>
      </c>
      <c r="B276" s="254" t="s">
        <v>152</v>
      </c>
      <c r="C276" s="239" t="s">
        <v>89</v>
      </c>
      <c r="D276" s="99" t="s">
        <v>41</v>
      </c>
      <c r="E276" s="134"/>
      <c r="F276" s="173">
        <f t="shared" si="94"/>
        <v>54593.9</v>
      </c>
      <c r="G276" s="131">
        <v>54593.9</v>
      </c>
      <c r="H276" s="250">
        <v>0</v>
      </c>
      <c r="I276" s="250"/>
      <c r="J276" s="250"/>
      <c r="K276" s="250"/>
      <c r="L276" s="250"/>
      <c r="M276" s="131">
        <v>0</v>
      </c>
      <c r="N276" s="131">
        <v>0</v>
      </c>
      <c r="O276" s="131">
        <v>0</v>
      </c>
      <c r="P276" s="258" t="s">
        <v>93</v>
      </c>
    </row>
    <row r="277" spans="1:21" s="43" customFormat="1" ht="38">
      <c r="A277" s="305"/>
      <c r="B277" s="254"/>
      <c r="C277" s="239"/>
      <c r="D277" s="99" t="s">
        <v>1</v>
      </c>
      <c r="E277" s="151">
        <v>0</v>
      </c>
      <c r="F277" s="173">
        <f t="shared" si="94"/>
        <v>326667.27737999998</v>
      </c>
      <c r="G277" s="151">
        <v>326667.27737999998</v>
      </c>
      <c r="H277" s="259">
        <f>513435.04025-513435.04025</f>
        <v>0</v>
      </c>
      <c r="I277" s="259"/>
      <c r="J277" s="259"/>
      <c r="K277" s="259"/>
      <c r="L277" s="259"/>
      <c r="M277" s="151">
        <f>120631.67-0.0089+165699.9789-286331.64</f>
        <v>0</v>
      </c>
      <c r="N277" s="151">
        <f>508568.72-508568.72</f>
        <v>0</v>
      </c>
      <c r="O277" s="151">
        <v>0</v>
      </c>
      <c r="P277" s="258"/>
    </row>
    <row r="278" spans="1:21" s="43" customFormat="1" ht="57">
      <c r="A278" s="305"/>
      <c r="B278" s="254"/>
      <c r="C278" s="239"/>
      <c r="D278" s="99" t="s">
        <v>49</v>
      </c>
      <c r="E278" s="151">
        <v>0</v>
      </c>
      <c r="F278" s="173">
        <f t="shared" si="94"/>
        <v>156526.48230999999</v>
      </c>
      <c r="G278" s="151">
        <v>156526.48230999999</v>
      </c>
      <c r="H278" s="259">
        <f>67451.08779+13947.78634-81398.87413</f>
        <v>0</v>
      </c>
      <c r="I278" s="259"/>
      <c r="J278" s="259"/>
      <c r="K278" s="259"/>
      <c r="L278" s="259"/>
      <c r="M278" s="151">
        <f>20903.52-0.0021+0.0021-0.0021+10911.1121-31814.63</f>
        <v>0</v>
      </c>
      <c r="N278" s="151">
        <f>56507.64-56507.64</f>
        <v>0</v>
      </c>
      <c r="O278" s="151">
        <v>0</v>
      </c>
      <c r="P278" s="258"/>
    </row>
    <row r="279" spans="1:21" s="43" customFormat="1" ht="19">
      <c r="A279" s="305"/>
      <c r="B279" s="254"/>
      <c r="C279" s="239"/>
      <c r="D279" s="99" t="s">
        <v>90</v>
      </c>
      <c r="E279" s="151"/>
      <c r="F279" s="173">
        <f t="shared" si="94"/>
        <v>0</v>
      </c>
      <c r="G279" s="151">
        <v>0</v>
      </c>
      <c r="H279" s="259">
        <v>0</v>
      </c>
      <c r="I279" s="259"/>
      <c r="J279" s="259"/>
      <c r="K279" s="259"/>
      <c r="L279" s="259"/>
      <c r="M279" s="151">
        <v>0</v>
      </c>
      <c r="N279" s="151">
        <v>0</v>
      </c>
      <c r="O279" s="151">
        <v>0</v>
      </c>
      <c r="P279" s="258"/>
    </row>
    <row r="280" spans="1:21" s="43" customFormat="1" ht="24" customHeight="1">
      <c r="A280" s="305"/>
      <c r="B280" s="237" t="s">
        <v>194</v>
      </c>
      <c r="C280" s="234" t="s">
        <v>129</v>
      </c>
      <c r="D280" s="234" t="s">
        <v>129</v>
      </c>
      <c r="E280" s="145"/>
      <c r="F280" s="248" t="s">
        <v>130</v>
      </c>
      <c r="G280" s="146" t="s">
        <v>287</v>
      </c>
      <c r="H280" s="246" t="s">
        <v>288</v>
      </c>
      <c r="I280" s="247" t="s">
        <v>131</v>
      </c>
      <c r="J280" s="247"/>
      <c r="K280" s="247"/>
      <c r="L280" s="247"/>
      <c r="M280" s="146" t="s">
        <v>136</v>
      </c>
      <c r="N280" s="146" t="s">
        <v>137</v>
      </c>
      <c r="O280" s="146" t="s">
        <v>138</v>
      </c>
      <c r="P280" s="257" t="s">
        <v>129</v>
      </c>
      <c r="Q280" s="44"/>
    </row>
    <row r="281" spans="1:21" s="43" customFormat="1" ht="24" customHeight="1">
      <c r="A281" s="305"/>
      <c r="B281" s="237"/>
      <c r="C281" s="234"/>
      <c r="D281" s="234"/>
      <c r="E281" s="145"/>
      <c r="F281" s="248"/>
      <c r="G281" s="145"/>
      <c r="H281" s="246"/>
      <c r="I281" s="145" t="s">
        <v>132</v>
      </c>
      <c r="J281" s="145" t="s">
        <v>133</v>
      </c>
      <c r="K281" s="145" t="s">
        <v>134</v>
      </c>
      <c r="L281" s="145" t="s">
        <v>135</v>
      </c>
      <c r="M281" s="145"/>
      <c r="N281" s="145"/>
      <c r="O281" s="145"/>
      <c r="P281" s="257"/>
      <c r="Q281" s="44"/>
    </row>
    <row r="282" spans="1:21" s="43" customFormat="1" ht="24" customHeight="1">
      <c r="A282" s="305"/>
      <c r="B282" s="237"/>
      <c r="C282" s="234"/>
      <c r="D282" s="234"/>
      <c r="E282" s="145"/>
      <c r="F282" s="174">
        <f>H282+G282+M282+N282+O282</f>
        <v>1</v>
      </c>
      <c r="G282" s="147">
        <v>1</v>
      </c>
      <c r="H282" s="147">
        <v>0</v>
      </c>
      <c r="I282" s="147">
        <v>0</v>
      </c>
      <c r="J282" s="147">
        <v>0</v>
      </c>
      <c r="K282" s="147">
        <v>0</v>
      </c>
      <c r="L282" s="147">
        <v>0</v>
      </c>
      <c r="M282" s="147">
        <v>0</v>
      </c>
      <c r="N282" s="147">
        <v>0</v>
      </c>
      <c r="O282" s="147">
        <v>0</v>
      </c>
      <c r="P282" s="257"/>
      <c r="Q282" s="44"/>
    </row>
    <row r="283" spans="1:21" s="43" customFormat="1" ht="24" customHeight="1">
      <c r="A283" s="305"/>
      <c r="B283" s="237" t="s">
        <v>266</v>
      </c>
      <c r="C283" s="234" t="s">
        <v>129</v>
      </c>
      <c r="D283" s="234" t="s">
        <v>129</v>
      </c>
      <c r="E283" s="145"/>
      <c r="F283" s="248" t="s">
        <v>130</v>
      </c>
      <c r="G283" s="146" t="s">
        <v>287</v>
      </c>
      <c r="H283" s="246" t="s">
        <v>288</v>
      </c>
      <c r="I283" s="247" t="s">
        <v>131</v>
      </c>
      <c r="J283" s="247"/>
      <c r="K283" s="247"/>
      <c r="L283" s="247"/>
      <c r="M283" s="146" t="s">
        <v>136</v>
      </c>
      <c r="N283" s="146" t="s">
        <v>137</v>
      </c>
      <c r="O283" s="146" t="s">
        <v>138</v>
      </c>
      <c r="P283" s="257" t="s">
        <v>129</v>
      </c>
      <c r="Q283" s="44"/>
    </row>
    <row r="284" spans="1:21" s="43" customFormat="1" ht="24" customHeight="1">
      <c r="A284" s="305"/>
      <c r="B284" s="237"/>
      <c r="C284" s="234"/>
      <c r="D284" s="234"/>
      <c r="E284" s="145"/>
      <c r="F284" s="248"/>
      <c r="G284" s="145"/>
      <c r="H284" s="246"/>
      <c r="I284" s="145" t="s">
        <v>132</v>
      </c>
      <c r="J284" s="145" t="s">
        <v>133</v>
      </c>
      <c r="K284" s="145" t="s">
        <v>134</v>
      </c>
      <c r="L284" s="145" t="s">
        <v>135</v>
      </c>
      <c r="M284" s="145"/>
      <c r="N284" s="145"/>
      <c r="O284" s="145"/>
      <c r="P284" s="257"/>
      <c r="Q284" s="44"/>
    </row>
    <row r="285" spans="1:21" s="43" customFormat="1" ht="24" customHeight="1">
      <c r="A285" s="305"/>
      <c r="B285" s="237"/>
      <c r="C285" s="234"/>
      <c r="D285" s="234"/>
      <c r="E285" s="145"/>
      <c r="F285" s="174">
        <f>H285+G285+M285+N285+O285</f>
        <v>0</v>
      </c>
      <c r="G285" s="147">
        <v>0</v>
      </c>
      <c r="H285" s="147">
        <v>0</v>
      </c>
      <c r="I285" s="147">
        <v>0</v>
      </c>
      <c r="J285" s="147">
        <v>0</v>
      </c>
      <c r="K285" s="147">
        <v>0</v>
      </c>
      <c r="L285" s="147">
        <v>0</v>
      </c>
      <c r="M285" s="147">
        <v>0</v>
      </c>
      <c r="N285" s="147">
        <v>0</v>
      </c>
      <c r="O285" s="147">
        <v>0</v>
      </c>
      <c r="P285" s="257"/>
      <c r="Q285" s="44"/>
    </row>
    <row r="286" spans="1:21" s="43" customFormat="1" ht="42" customHeight="1">
      <c r="A286" s="305" t="s">
        <v>234</v>
      </c>
      <c r="B286" s="254" t="s">
        <v>275</v>
      </c>
      <c r="C286" s="239" t="s">
        <v>89</v>
      </c>
      <c r="D286" s="99" t="s">
        <v>41</v>
      </c>
      <c r="E286" s="151"/>
      <c r="F286" s="173">
        <f>SUM(G286:O286)</f>
        <v>4167.3999999999996</v>
      </c>
      <c r="G286" s="151">
        <v>4167.3999999999996</v>
      </c>
      <c r="H286" s="259">
        <v>0</v>
      </c>
      <c r="I286" s="259"/>
      <c r="J286" s="259"/>
      <c r="K286" s="259"/>
      <c r="L286" s="259"/>
      <c r="M286" s="151">
        <v>0</v>
      </c>
      <c r="N286" s="151">
        <v>0</v>
      </c>
      <c r="O286" s="151">
        <v>0</v>
      </c>
      <c r="P286" s="258" t="s">
        <v>3</v>
      </c>
    </row>
    <row r="287" spans="1:21" s="43" customFormat="1" ht="38">
      <c r="A287" s="305"/>
      <c r="B287" s="254"/>
      <c r="C287" s="239"/>
      <c r="D287" s="99" t="s">
        <v>1</v>
      </c>
      <c r="E287" s="151">
        <v>0</v>
      </c>
      <c r="F287" s="173">
        <f t="shared" ref="F287:F289" si="104">SUM(G287:O287)</f>
        <v>30721.122500000001</v>
      </c>
      <c r="G287" s="151">
        <v>30721.122500000001</v>
      </c>
      <c r="H287" s="259">
        <f>45033.19-0.007-45033.183</f>
        <v>0</v>
      </c>
      <c r="I287" s="259"/>
      <c r="J287" s="259"/>
      <c r="K287" s="259"/>
      <c r="L287" s="259"/>
      <c r="M287" s="151">
        <f>10391.76569+13008.23431-23400</f>
        <v>0</v>
      </c>
      <c r="N287" s="151">
        <f>39400.88-39400.88</f>
        <v>0</v>
      </c>
      <c r="O287" s="151">
        <v>0</v>
      </c>
      <c r="P287" s="258"/>
    </row>
    <row r="288" spans="1:21" s="43" customFormat="1" ht="57.75" customHeight="1">
      <c r="A288" s="305"/>
      <c r="B288" s="254"/>
      <c r="C288" s="239"/>
      <c r="D288" s="99" t="s">
        <v>49</v>
      </c>
      <c r="E288" s="151">
        <v>0</v>
      </c>
      <c r="F288" s="173">
        <f t="shared" si="104"/>
        <v>58144.980499999998</v>
      </c>
      <c r="G288" s="151">
        <v>58144.980499999998</v>
      </c>
      <c r="H288" s="259">
        <f>20837.23+8930.11611-29767.34611</f>
        <v>0</v>
      </c>
      <c r="I288" s="259"/>
      <c r="J288" s="259"/>
      <c r="K288" s="259"/>
      <c r="L288" s="259"/>
      <c r="M288" s="151">
        <f>1949.3955+650.6045-2600</f>
        <v>0</v>
      </c>
      <c r="N288" s="151">
        <f>4377.88-4377.88</f>
        <v>0</v>
      </c>
      <c r="O288" s="151">
        <v>0</v>
      </c>
      <c r="P288" s="258"/>
    </row>
    <row r="289" spans="1:17" s="43" customFormat="1" ht="19">
      <c r="A289" s="305"/>
      <c r="B289" s="254"/>
      <c r="C289" s="239"/>
      <c r="D289" s="99" t="s">
        <v>90</v>
      </c>
      <c r="E289" s="151"/>
      <c r="F289" s="173">
        <f t="shared" si="104"/>
        <v>0</v>
      </c>
      <c r="G289" s="151">
        <v>0</v>
      </c>
      <c r="H289" s="259">
        <v>0</v>
      </c>
      <c r="I289" s="259"/>
      <c r="J289" s="259"/>
      <c r="K289" s="259"/>
      <c r="L289" s="259"/>
      <c r="M289" s="151">
        <v>0</v>
      </c>
      <c r="N289" s="151">
        <v>0</v>
      </c>
      <c r="O289" s="151">
        <v>0</v>
      </c>
      <c r="P289" s="258"/>
    </row>
    <row r="290" spans="1:17" s="43" customFormat="1" ht="24" customHeight="1">
      <c r="A290" s="305"/>
      <c r="B290" s="237" t="s">
        <v>195</v>
      </c>
      <c r="C290" s="234" t="s">
        <v>129</v>
      </c>
      <c r="D290" s="234" t="s">
        <v>129</v>
      </c>
      <c r="E290" s="145"/>
      <c r="F290" s="248" t="s">
        <v>130</v>
      </c>
      <c r="G290" s="146" t="s">
        <v>287</v>
      </c>
      <c r="H290" s="246" t="s">
        <v>288</v>
      </c>
      <c r="I290" s="247" t="s">
        <v>131</v>
      </c>
      <c r="J290" s="247"/>
      <c r="K290" s="247"/>
      <c r="L290" s="247"/>
      <c r="M290" s="146" t="s">
        <v>136</v>
      </c>
      <c r="N290" s="146" t="s">
        <v>137</v>
      </c>
      <c r="O290" s="146" t="s">
        <v>138</v>
      </c>
      <c r="P290" s="257" t="s">
        <v>129</v>
      </c>
      <c r="Q290" s="44"/>
    </row>
    <row r="291" spans="1:17" s="43" customFormat="1" ht="24" customHeight="1">
      <c r="A291" s="305"/>
      <c r="B291" s="237"/>
      <c r="C291" s="234"/>
      <c r="D291" s="234"/>
      <c r="E291" s="145"/>
      <c r="F291" s="248"/>
      <c r="G291" s="145"/>
      <c r="H291" s="246"/>
      <c r="I291" s="145" t="s">
        <v>132</v>
      </c>
      <c r="J291" s="145" t="s">
        <v>133</v>
      </c>
      <c r="K291" s="145" t="s">
        <v>134</v>
      </c>
      <c r="L291" s="145" t="s">
        <v>135</v>
      </c>
      <c r="M291" s="145"/>
      <c r="N291" s="145"/>
      <c r="O291" s="145"/>
      <c r="P291" s="257"/>
      <c r="Q291" s="44"/>
    </row>
    <row r="292" spans="1:17" s="43" customFormat="1" ht="27" customHeight="1">
      <c r="A292" s="305"/>
      <c r="B292" s="237"/>
      <c r="C292" s="234"/>
      <c r="D292" s="234"/>
      <c r="E292" s="145"/>
      <c r="F292" s="174">
        <f>H292+G292+M292+N292+O292</f>
        <v>1</v>
      </c>
      <c r="G292" s="147">
        <v>1</v>
      </c>
      <c r="H292" s="147">
        <v>0</v>
      </c>
      <c r="I292" s="147">
        <v>0</v>
      </c>
      <c r="J292" s="147">
        <v>0</v>
      </c>
      <c r="K292" s="147">
        <v>0</v>
      </c>
      <c r="L292" s="147">
        <v>0</v>
      </c>
      <c r="M292" s="147">
        <v>0</v>
      </c>
      <c r="N292" s="147">
        <v>0</v>
      </c>
      <c r="O292" s="147">
        <v>0</v>
      </c>
      <c r="P292" s="257"/>
      <c r="Q292" s="44"/>
    </row>
    <row r="293" spans="1:17" s="43" customFormat="1" ht="40.5" customHeight="1">
      <c r="A293" s="305" t="s">
        <v>235</v>
      </c>
      <c r="B293" s="254" t="s">
        <v>104</v>
      </c>
      <c r="C293" s="239" t="s">
        <v>89</v>
      </c>
      <c r="D293" s="99" t="s">
        <v>41</v>
      </c>
      <c r="E293" s="151"/>
      <c r="F293" s="173">
        <f>SUM(G293:O293)</f>
        <v>0</v>
      </c>
      <c r="G293" s="151">
        <v>0</v>
      </c>
      <c r="H293" s="259">
        <v>0</v>
      </c>
      <c r="I293" s="259"/>
      <c r="J293" s="259"/>
      <c r="K293" s="259"/>
      <c r="L293" s="259"/>
      <c r="M293" s="151">
        <v>0</v>
      </c>
      <c r="N293" s="151">
        <v>0</v>
      </c>
      <c r="O293" s="151">
        <v>0</v>
      </c>
      <c r="P293" s="258" t="s">
        <v>3</v>
      </c>
    </row>
    <row r="294" spans="1:17" s="43" customFormat="1" ht="38">
      <c r="A294" s="305"/>
      <c r="B294" s="254"/>
      <c r="C294" s="239"/>
      <c r="D294" s="99" t="s">
        <v>1</v>
      </c>
      <c r="E294" s="151">
        <v>0</v>
      </c>
      <c r="F294" s="173">
        <f t="shared" ref="F294:F296" si="105">SUM(G294:O294)</f>
        <v>38367.31</v>
      </c>
      <c r="G294" s="151">
        <v>38367.31</v>
      </c>
      <c r="H294" s="259">
        <f>30404.68-0.006-30404.674</f>
        <v>0</v>
      </c>
      <c r="I294" s="259"/>
      <c r="J294" s="259"/>
      <c r="K294" s="259"/>
      <c r="L294" s="259"/>
      <c r="M294" s="151">
        <f>18273.13-18273.13</f>
        <v>0</v>
      </c>
      <c r="N294" s="151">
        <f>38297.91-38297.91</f>
        <v>0</v>
      </c>
      <c r="O294" s="151">
        <v>0</v>
      </c>
      <c r="P294" s="258"/>
    </row>
    <row r="295" spans="1:17" s="43" customFormat="1" ht="57">
      <c r="A295" s="305"/>
      <c r="B295" s="254"/>
      <c r="C295" s="239"/>
      <c r="D295" s="99" t="s">
        <v>49</v>
      </c>
      <c r="E295" s="151">
        <v>0</v>
      </c>
      <c r="F295" s="173">
        <f t="shared" si="105"/>
        <v>4263.0379999999996</v>
      </c>
      <c r="G295" s="151">
        <v>4263.0379999999996</v>
      </c>
      <c r="H295" s="259">
        <f>3378.3-3378.3</f>
        <v>0</v>
      </c>
      <c r="I295" s="259"/>
      <c r="J295" s="259"/>
      <c r="K295" s="259"/>
      <c r="L295" s="259"/>
      <c r="M295" s="151">
        <f>1819.44+210.91-2030.35</f>
        <v>0</v>
      </c>
      <c r="N295" s="151">
        <f>4255.33-4255.33</f>
        <v>0</v>
      </c>
      <c r="O295" s="151">
        <v>0</v>
      </c>
      <c r="P295" s="258"/>
    </row>
    <row r="296" spans="1:17" s="43" customFormat="1" ht="19">
      <c r="A296" s="305"/>
      <c r="B296" s="254"/>
      <c r="C296" s="239"/>
      <c r="D296" s="99" t="s">
        <v>90</v>
      </c>
      <c r="E296" s="151"/>
      <c r="F296" s="173">
        <f t="shared" si="105"/>
        <v>0</v>
      </c>
      <c r="G296" s="151">
        <v>0</v>
      </c>
      <c r="H296" s="259">
        <v>0</v>
      </c>
      <c r="I296" s="259"/>
      <c r="J296" s="259"/>
      <c r="K296" s="259"/>
      <c r="L296" s="259"/>
      <c r="M296" s="151">
        <v>0</v>
      </c>
      <c r="N296" s="151">
        <v>0</v>
      </c>
      <c r="O296" s="151">
        <v>0</v>
      </c>
      <c r="P296" s="258"/>
    </row>
    <row r="297" spans="1:17" s="43" customFormat="1" ht="24" customHeight="1">
      <c r="A297" s="305"/>
      <c r="B297" s="237" t="s">
        <v>196</v>
      </c>
      <c r="C297" s="234" t="s">
        <v>129</v>
      </c>
      <c r="D297" s="234" t="s">
        <v>129</v>
      </c>
      <c r="E297" s="145"/>
      <c r="F297" s="248" t="s">
        <v>130</v>
      </c>
      <c r="G297" s="146" t="s">
        <v>287</v>
      </c>
      <c r="H297" s="246" t="s">
        <v>288</v>
      </c>
      <c r="I297" s="247" t="s">
        <v>131</v>
      </c>
      <c r="J297" s="247"/>
      <c r="K297" s="247"/>
      <c r="L297" s="247"/>
      <c r="M297" s="146" t="s">
        <v>136</v>
      </c>
      <c r="N297" s="146" t="s">
        <v>137</v>
      </c>
      <c r="O297" s="146" t="s">
        <v>138</v>
      </c>
      <c r="P297" s="257" t="s">
        <v>129</v>
      </c>
      <c r="Q297" s="44"/>
    </row>
    <row r="298" spans="1:17" s="43" customFormat="1" ht="24" customHeight="1">
      <c r="A298" s="305"/>
      <c r="B298" s="237"/>
      <c r="C298" s="234"/>
      <c r="D298" s="234"/>
      <c r="E298" s="145"/>
      <c r="F298" s="248"/>
      <c r="G298" s="145"/>
      <c r="H298" s="246"/>
      <c r="I298" s="145" t="s">
        <v>132</v>
      </c>
      <c r="J298" s="145" t="s">
        <v>133</v>
      </c>
      <c r="K298" s="145" t="s">
        <v>134</v>
      </c>
      <c r="L298" s="145" t="s">
        <v>135</v>
      </c>
      <c r="M298" s="145"/>
      <c r="N298" s="145"/>
      <c r="O298" s="145"/>
      <c r="P298" s="257"/>
      <c r="Q298" s="44"/>
    </row>
    <row r="299" spans="1:17" s="43" customFormat="1" ht="27" customHeight="1">
      <c r="A299" s="305"/>
      <c r="B299" s="237"/>
      <c r="C299" s="234"/>
      <c r="D299" s="234"/>
      <c r="E299" s="145"/>
      <c r="F299" s="174">
        <f>H299+G299+M299+N299</f>
        <v>1</v>
      </c>
      <c r="G299" s="147">
        <v>1</v>
      </c>
      <c r="H299" s="147">
        <v>0</v>
      </c>
      <c r="I299" s="147">
        <v>0</v>
      </c>
      <c r="J299" s="147">
        <v>0</v>
      </c>
      <c r="K299" s="147">
        <v>0</v>
      </c>
      <c r="L299" s="147">
        <v>0</v>
      </c>
      <c r="M299" s="147">
        <v>0</v>
      </c>
      <c r="N299" s="147">
        <v>0</v>
      </c>
      <c r="O299" s="147">
        <v>0</v>
      </c>
      <c r="P299" s="257"/>
      <c r="Q299" s="44"/>
    </row>
    <row r="300" spans="1:17" s="43" customFormat="1" ht="42" customHeight="1">
      <c r="A300" s="305" t="s">
        <v>236</v>
      </c>
      <c r="B300" s="254" t="s">
        <v>105</v>
      </c>
      <c r="C300" s="239" t="s">
        <v>89</v>
      </c>
      <c r="D300" s="99" t="s">
        <v>41</v>
      </c>
      <c r="E300" s="151"/>
      <c r="F300" s="173">
        <f>SUM(G300:O300)</f>
        <v>0</v>
      </c>
      <c r="G300" s="151">
        <v>0</v>
      </c>
      <c r="H300" s="259">
        <v>0</v>
      </c>
      <c r="I300" s="259"/>
      <c r="J300" s="259"/>
      <c r="K300" s="259"/>
      <c r="L300" s="259"/>
      <c r="M300" s="151">
        <v>0</v>
      </c>
      <c r="N300" s="151">
        <v>0</v>
      </c>
      <c r="O300" s="151">
        <v>0</v>
      </c>
      <c r="P300" s="258" t="s">
        <v>3</v>
      </c>
    </row>
    <row r="301" spans="1:17" s="43" customFormat="1" ht="38">
      <c r="A301" s="305"/>
      <c r="B301" s="254"/>
      <c r="C301" s="239"/>
      <c r="D301" s="99" t="s">
        <v>1</v>
      </c>
      <c r="E301" s="151">
        <v>0</v>
      </c>
      <c r="F301" s="173">
        <f t="shared" ref="F301:F303" si="106">SUM(G301:O301)</f>
        <v>12282.706</v>
      </c>
      <c r="G301" s="151">
        <v>12282.706</v>
      </c>
      <c r="H301" s="259">
        <f>47052.14-0.005-47052.135</f>
        <v>0</v>
      </c>
      <c r="I301" s="259"/>
      <c r="J301" s="259"/>
      <c r="K301" s="259"/>
      <c r="L301" s="259"/>
      <c r="M301" s="151">
        <f>18000-18000</f>
        <v>0</v>
      </c>
      <c r="N301" s="151">
        <f>18000-18000</f>
        <v>0</v>
      </c>
      <c r="O301" s="151">
        <v>0</v>
      </c>
      <c r="P301" s="258"/>
    </row>
    <row r="302" spans="1:17" s="43" customFormat="1" ht="61.5" customHeight="1">
      <c r="A302" s="305"/>
      <c r="B302" s="254"/>
      <c r="C302" s="239"/>
      <c r="D302" s="99" t="s">
        <v>49</v>
      </c>
      <c r="E302" s="151">
        <v>0</v>
      </c>
      <c r="F302" s="173">
        <f t="shared" si="106"/>
        <v>73705.050189999994</v>
      </c>
      <c r="G302" s="151">
        <v>73705.050189999994</v>
      </c>
      <c r="H302" s="259">
        <f>25683.5+6941.93543-32625.43543</f>
        <v>0</v>
      </c>
      <c r="I302" s="259"/>
      <c r="J302" s="259"/>
      <c r="K302" s="259"/>
      <c r="L302" s="259"/>
      <c r="M302" s="151">
        <f>1299.6+700.4-2000</f>
        <v>0</v>
      </c>
      <c r="N302" s="151">
        <f>2000-2000</f>
        <v>0</v>
      </c>
      <c r="O302" s="151">
        <v>0</v>
      </c>
      <c r="P302" s="258"/>
    </row>
    <row r="303" spans="1:17" s="43" customFormat="1" ht="19">
      <c r="A303" s="305"/>
      <c r="B303" s="254"/>
      <c r="C303" s="239"/>
      <c r="D303" s="99" t="s">
        <v>90</v>
      </c>
      <c r="E303" s="151"/>
      <c r="F303" s="173">
        <f t="shared" si="106"/>
        <v>0</v>
      </c>
      <c r="G303" s="151">
        <v>0</v>
      </c>
      <c r="H303" s="259">
        <v>0</v>
      </c>
      <c r="I303" s="259"/>
      <c r="J303" s="259"/>
      <c r="K303" s="259"/>
      <c r="L303" s="259"/>
      <c r="M303" s="151">
        <v>0</v>
      </c>
      <c r="N303" s="151">
        <v>0</v>
      </c>
      <c r="O303" s="151">
        <v>0</v>
      </c>
      <c r="P303" s="258"/>
    </row>
    <row r="304" spans="1:17" s="43" customFormat="1" ht="24" customHeight="1">
      <c r="A304" s="305"/>
      <c r="B304" s="237" t="s">
        <v>228</v>
      </c>
      <c r="C304" s="234" t="s">
        <v>129</v>
      </c>
      <c r="D304" s="234" t="s">
        <v>129</v>
      </c>
      <c r="E304" s="145"/>
      <c r="F304" s="248" t="s">
        <v>130</v>
      </c>
      <c r="G304" s="146" t="s">
        <v>287</v>
      </c>
      <c r="H304" s="246" t="s">
        <v>288</v>
      </c>
      <c r="I304" s="247" t="s">
        <v>131</v>
      </c>
      <c r="J304" s="247"/>
      <c r="K304" s="247"/>
      <c r="L304" s="247"/>
      <c r="M304" s="146" t="s">
        <v>136</v>
      </c>
      <c r="N304" s="146" t="s">
        <v>137</v>
      </c>
      <c r="O304" s="146" t="s">
        <v>138</v>
      </c>
      <c r="P304" s="257" t="s">
        <v>129</v>
      </c>
      <c r="Q304" s="44"/>
    </row>
    <row r="305" spans="1:17" s="43" customFormat="1" ht="24" customHeight="1">
      <c r="A305" s="305"/>
      <c r="B305" s="237"/>
      <c r="C305" s="234"/>
      <c r="D305" s="234"/>
      <c r="E305" s="145"/>
      <c r="F305" s="248"/>
      <c r="G305" s="145"/>
      <c r="H305" s="246"/>
      <c r="I305" s="145" t="s">
        <v>132</v>
      </c>
      <c r="J305" s="145" t="s">
        <v>133</v>
      </c>
      <c r="K305" s="145" t="s">
        <v>134</v>
      </c>
      <c r="L305" s="145" t="s">
        <v>135</v>
      </c>
      <c r="M305" s="145"/>
      <c r="N305" s="145"/>
      <c r="O305" s="145"/>
      <c r="P305" s="257"/>
      <c r="Q305" s="44"/>
    </row>
    <row r="306" spans="1:17" s="43" customFormat="1" ht="24" customHeight="1">
      <c r="A306" s="305"/>
      <c r="B306" s="237"/>
      <c r="C306" s="234"/>
      <c r="D306" s="234"/>
      <c r="E306" s="145"/>
      <c r="F306" s="174">
        <f>H306+G306+M306+N306+O306</f>
        <v>1</v>
      </c>
      <c r="G306" s="147">
        <v>1</v>
      </c>
      <c r="H306" s="147">
        <v>0</v>
      </c>
      <c r="I306" s="147">
        <v>0</v>
      </c>
      <c r="J306" s="147">
        <v>0</v>
      </c>
      <c r="K306" s="147">
        <v>0</v>
      </c>
      <c r="L306" s="147">
        <v>0</v>
      </c>
      <c r="M306" s="147">
        <v>0</v>
      </c>
      <c r="N306" s="147">
        <v>0</v>
      </c>
      <c r="O306" s="147">
        <v>0</v>
      </c>
      <c r="P306" s="257"/>
      <c r="Q306" s="44"/>
    </row>
    <row r="307" spans="1:17" s="43" customFormat="1" ht="37.5" customHeight="1">
      <c r="A307" s="305" t="s">
        <v>237</v>
      </c>
      <c r="B307" s="254" t="s">
        <v>106</v>
      </c>
      <c r="C307" s="239" t="s">
        <v>89</v>
      </c>
      <c r="D307" s="99" t="s">
        <v>41</v>
      </c>
      <c r="E307" s="151"/>
      <c r="F307" s="173">
        <f>SUM(G307:O307)</f>
        <v>0</v>
      </c>
      <c r="G307" s="151">
        <v>0</v>
      </c>
      <c r="H307" s="259">
        <v>0</v>
      </c>
      <c r="I307" s="259"/>
      <c r="J307" s="259"/>
      <c r="K307" s="259"/>
      <c r="L307" s="259"/>
      <c r="M307" s="151">
        <v>0</v>
      </c>
      <c r="N307" s="151">
        <v>0</v>
      </c>
      <c r="O307" s="151">
        <v>0</v>
      </c>
      <c r="P307" s="258" t="s">
        <v>3</v>
      </c>
    </row>
    <row r="308" spans="1:17" s="43" customFormat="1" ht="37.5" customHeight="1">
      <c r="A308" s="305"/>
      <c r="B308" s="254"/>
      <c r="C308" s="239"/>
      <c r="D308" s="99" t="s">
        <v>1</v>
      </c>
      <c r="E308" s="151">
        <v>0</v>
      </c>
      <c r="F308" s="173">
        <f t="shared" ref="F308:F310" si="107">SUM(G308:O308)</f>
        <v>0</v>
      </c>
      <c r="G308" s="151">
        <v>0</v>
      </c>
      <c r="H308" s="259">
        <v>0</v>
      </c>
      <c r="I308" s="259"/>
      <c r="J308" s="259"/>
      <c r="K308" s="259"/>
      <c r="L308" s="259"/>
      <c r="M308" s="151">
        <v>0</v>
      </c>
      <c r="N308" s="151">
        <v>0</v>
      </c>
      <c r="O308" s="151">
        <v>0</v>
      </c>
      <c r="P308" s="258"/>
    </row>
    <row r="309" spans="1:17" s="43" customFormat="1" ht="57">
      <c r="A309" s="305"/>
      <c r="B309" s="254"/>
      <c r="C309" s="239"/>
      <c r="D309" s="99" t="s">
        <v>49</v>
      </c>
      <c r="E309" s="151">
        <v>0</v>
      </c>
      <c r="F309" s="173">
        <f t="shared" si="107"/>
        <v>2375.0113900000001</v>
      </c>
      <c r="G309" s="151">
        <v>2375.0113900000001</v>
      </c>
      <c r="H309" s="259">
        <v>0</v>
      </c>
      <c r="I309" s="259"/>
      <c r="J309" s="259"/>
      <c r="K309" s="259"/>
      <c r="L309" s="259"/>
      <c r="M309" s="151">
        <v>0</v>
      </c>
      <c r="N309" s="151">
        <v>0</v>
      </c>
      <c r="O309" s="151">
        <v>0</v>
      </c>
      <c r="P309" s="258"/>
    </row>
    <row r="310" spans="1:17" s="43" customFormat="1" ht="19">
      <c r="A310" s="305"/>
      <c r="B310" s="254"/>
      <c r="C310" s="239"/>
      <c r="D310" s="99" t="s">
        <v>90</v>
      </c>
      <c r="E310" s="151"/>
      <c r="F310" s="173">
        <f t="shared" si="107"/>
        <v>0</v>
      </c>
      <c r="G310" s="151">
        <v>0</v>
      </c>
      <c r="H310" s="259">
        <v>0</v>
      </c>
      <c r="I310" s="259"/>
      <c r="J310" s="259"/>
      <c r="K310" s="259"/>
      <c r="L310" s="259"/>
      <c r="M310" s="151">
        <v>0</v>
      </c>
      <c r="N310" s="151">
        <v>0</v>
      </c>
      <c r="O310" s="151">
        <v>0</v>
      </c>
      <c r="P310" s="258"/>
    </row>
    <row r="311" spans="1:17" s="43" customFormat="1" ht="24" customHeight="1">
      <c r="A311" s="305"/>
      <c r="B311" s="237" t="s">
        <v>197</v>
      </c>
      <c r="C311" s="234" t="s">
        <v>129</v>
      </c>
      <c r="D311" s="234" t="s">
        <v>129</v>
      </c>
      <c r="E311" s="145"/>
      <c r="F311" s="248" t="s">
        <v>130</v>
      </c>
      <c r="G311" s="146" t="s">
        <v>287</v>
      </c>
      <c r="H311" s="246" t="s">
        <v>288</v>
      </c>
      <c r="I311" s="247" t="s">
        <v>131</v>
      </c>
      <c r="J311" s="247"/>
      <c r="K311" s="247"/>
      <c r="L311" s="247"/>
      <c r="M311" s="146" t="s">
        <v>136</v>
      </c>
      <c r="N311" s="146" t="s">
        <v>137</v>
      </c>
      <c r="O311" s="146" t="s">
        <v>138</v>
      </c>
      <c r="P311" s="257" t="s">
        <v>129</v>
      </c>
      <c r="Q311" s="44"/>
    </row>
    <row r="312" spans="1:17" s="43" customFormat="1" ht="24" customHeight="1">
      <c r="A312" s="305"/>
      <c r="B312" s="237"/>
      <c r="C312" s="234"/>
      <c r="D312" s="234"/>
      <c r="E312" s="145"/>
      <c r="F312" s="248"/>
      <c r="G312" s="145"/>
      <c r="H312" s="246"/>
      <c r="I312" s="145" t="s">
        <v>132</v>
      </c>
      <c r="J312" s="145" t="s">
        <v>133</v>
      </c>
      <c r="K312" s="145" t="s">
        <v>134</v>
      </c>
      <c r="L312" s="145" t="s">
        <v>135</v>
      </c>
      <c r="M312" s="145"/>
      <c r="N312" s="145"/>
      <c r="O312" s="145"/>
      <c r="P312" s="257"/>
      <c r="Q312" s="44"/>
    </row>
    <row r="313" spans="1:17" s="43" customFormat="1" ht="28.5" customHeight="1">
      <c r="A313" s="305"/>
      <c r="B313" s="237"/>
      <c r="C313" s="234"/>
      <c r="D313" s="234"/>
      <c r="E313" s="145"/>
      <c r="F313" s="174">
        <f>H313+G313+M313+N313+O313</f>
        <v>3</v>
      </c>
      <c r="G313" s="147">
        <v>1</v>
      </c>
      <c r="H313" s="232">
        <v>2</v>
      </c>
      <c r="I313" s="232">
        <v>0</v>
      </c>
      <c r="J313" s="232">
        <v>0</v>
      </c>
      <c r="K313" s="232">
        <v>0</v>
      </c>
      <c r="L313" s="232">
        <v>2</v>
      </c>
      <c r="M313" s="232">
        <v>0</v>
      </c>
      <c r="N313" s="147">
        <v>0</v>
      </c>
      <c r="O313" s="147">
        <v>0</v>
      </c>
      <c r="P313" s="257"/>
      <c r="Q313" s="44"/>
    </row>
    <row r="314" spans="1:17" s="43" customFormat="1" ht="37.5" customHeight="1">
      <c r="A314" s="305" t="s">
        <v>238</v>
      </c>
      <c r="B314" s="254" t="s">
        <v>107</v>
      </c>
      <c r="C314" s="239" t="s">
        <v>89</v>
      </c>
      <c r="D314" s="99" t="s">
        <v>41</v>
      </c>
      <c r="E314" s="151"/>
      <c r="F314" s="173">
        <f>SUM(G314:O314)</f>
        <v>0</v>
      </c>
      <c r="G314" s="151">
        <v>0</v>
      </c>
      <c r="H314" s="259">
        <v>0</v>
      </c>
      <c r="I314" s="259"/>
      <c r="J314" s="259"/>
      <c r="K314" s="259"/>
      <c r="L314" s="259"/>
      <c r="M314" s="151">
        <v>0</v>
      </c>
      <c r="N314" s="151">
        <v>0</v>
      </c>
      <c r="O314" s="151">
        <v>0</v>
      </c>
      <c r="P314" s="258" t="s">
        <v>3</v>
      </c>
    </row>
    <row r="315" spans="1:17" s="43" customFormat="1" ht="39.75" customHeight="1">
      <c r="A315" s="305"/>
      <c r="B315" s="254"/>
      <c r="C315" s="239"/>
      <c r="D315" s="99" t="s">
        <v>1</v>
      </c>
      <c r="E315" s="151">
        <v>0</v>
      </c>
      <c r="F315" s="173">
        <f t="shared" ref="F315:F317" si="108">SUM(G315:O315)</f>
        <v>0</v>
      </c>
      <c r="G315" s="151">
        <v>0</v>
      </c>
      <c r="H315" s="259">
        <v>0</v>
      </c>
      <c r="I315" s="259"/>
      <c r="J315" s="259"/>
      <c r="K315" s="259"/>
      <c r="L315" s="259"/>
      <c r="M315" s="151">
        <v>0</v>
      </c>
      <c r="N315" s="151">
        <v>0</v>
      </c>
      <c r="O315" s="151">
        <v>0</v>
      </c>
      <c r="P315" s="258"/>
    </row>
    <row r="316" spans="1:17" s="43" customFormat="1" ht="59.25" customHeight="1">
      <c r="A316" s="305"/>
      <c r="B316" s="254"/>
      <c r="C316" s="239"/>
      <c r="D316" s="99" t="s">
        <v>49</v>
      </c>
      <c r="E316" s="151">
        <v>0</v>
      </c>
      <c r="F316" s="173">
        <f t="shared" si="108"/>
        <v>0</v>
      </c>
      <c r="G316" s="151">
        <v>0</v>
      </c>
      <c r="H316" s="259">
        <v>0</v>
      </c>
      <c r="I316" s="259"/>
      <c r="J316" s="259"/>
      <c r="K316" s="259"/>
      <c r="L316" s="259"/>
      <c r="M316" s="151">
        <v>0</v>
      </c>
      <c r="N316" s="151">
        <v>0</v>
      </c>
      <c r="O316" s="151">
        <v>0</v>
      </c>
      <c r="P316" s="258"/>
    </row>
    <row r="317" spans="1:17" s="43" customFormat="1" ht="19">
      <c r="A317" s="305"/>
      <c r="B317" s="254"/>
      <c r="C317" s="239"/>
      <c r="D317" s="99" t="s">
        <v>90</v>
      </c>
      <c r="E317" s="151"/>
      <c r="F317" s="173">
        <f t="shared" si="108"/>
        <v>0</v>
      </c>
      <c r="G317" s="151">
        <v>0</v>
      </c>
      <c r="H317" s="259">
        <v>0</v>
      </c>
      <c r="I317" s="259"/>
      <c r="J317" s="259"/>
      <c r="K317" s="259"/>
      <c r="L317" s="259"/>
      <c r="M317" s="151">
        <v>0</v>
      </c>
      <c r="N317" s="151">
        <v>0</v>
      </c>
      <c r="O317" s="151">
        <v>0</v>
      </c>
      <c r="P317" s="258"/>
    </row>
    <row r="318" spans="1:17" s="43" customFormat="1" ht="24" customHeight="1">
      <c r="A318" s="305"/>
      <c r="B318" s="237" t="s">
        <v>198</v>
      </c>
      <c r="C318" s="234" t="s">
        <v>129</v>
      </c>
      <c r="D318" s="234" t="s">
        <v>129</v>
      </c>
      <c r="E318" s="145"/>
      <c r="F318" s="248" t="s">
        <v>130</v>
      </c>
      <c r="G318" s="146" t="s">
        <v>287</v>
      </c>
      <c r="H318" s="246" t="s">
        <v>288</v>
      </c>
      <c r="I318" s="247" t="s">
        <v>131</v>
      </c>
      <c r="J318" s="247"/>
      <c r="K318" s="247"/>
      <c r="L318" s="247"/>
      <c r="M318" s="146" t="s">
        <v>136</v>
      </c>
      <c r="N318" s="146" t="s">
        <v>137</v>
      </c>
      <c r="O318" s="146" t="s">
        <v>138</v>
      </c>
      <c r="P318" s="257" t="s">
        <v>129</v>
      </c>
      <c r="Q318" s="44"/>
    </row>
    <row r="319" spans="1:17" s="43" customFormat="1" ht="19.5" customHeight="1">
      <c r="A319" s="305"/>
      <c r="B319" s="237"/>
      <c r="C319" s="234"/>
      <c r="D319" s="234"/>
      <c r="E319" s="145"/>
      <c r="F319" s="248"/>
      <c r="G319" s="145"/>
      <c r="H319" s="246"/>
      <c r="I319" s="145" t="s">
        <v>132</v>
      </c>
      <c r="J319" s="145" t="s">
        <v>133</v>
      </c>
      <c r="K319" s="145" t="s">
        <v>134</v>
      </c>
      <c r="L319" s="145" t="s">
        <v>135</v>
      </c>
      <c r="M319" s="145"/>
      <c r="N319" s="145"/>
      <c r="O319" s="145"/>
      <c r="P319" s="257"/>
      <c r="Q319" s="44"/>
    </row>
    <row r="320" spans="1:17" s="43" customFormat="1" ht="31.5" customHeight="1">
      <c r="A320" s="305"/>
      <c r="B320" s="237"/>
      <c r="C320" s="234"/>
      <c r="D320" s="234"/>
      <c r="E320" s="145"/>
      <c r="F320" s="174">
        <f>H320+G320+M320+N320+O320</f>
        <v>37</v>
      </c>
      <c r="G320" s="147">
        <v>37</v>
      </c>
      <c r="H320" s="147">
        <v>0</v>
      </c>
      <c r="I320" s="147">
        <v>0</v>
      </c>
      <c r="J320" s="147">
        <v>0</v>
      </c>
      <c r="K320" s="147">
        <v>0</v>
      </c>
      <c r="L320" s="147">
        <v>0</v>
      </c>
      <c r="M320" s="147">
        <v>0</v>
      </c>
      <c r="N320" s="147">
        <v>0</v>
      </c>
      <c r="O320" s="147">
        <v>0</v>
      </c>
      <c r="P320" s="257"/>
      <c r="Q320" s="44"/>
    </row>
    <row r="321" spans="1:21" s="43" customFormat="1" ht="39" customHeight="1">
      <c r="A321" s="305" t="s">
        <v>239</v>
      </c>
      <c r="B321" s="254" t="s">
        <v>108</v>
      </c>
      <c r="C321" s="239" t="s">
        <v>89</v>
      </c>
      <c r="D321" s="99" t="s">
        <v>41</v>
      </c>
      <c r="E321" s="151"/>
      <c r="F321" s="173">
        <f>SUM(G321:O321)</f>
        <v>0</v>
      </c>
      <c r="G321" s="151">
        <v>0</v>
      </c>
      <c r="H321" s="259">
        <v>0</v>
      </c>
      <c r="I321" s="259"/>
      <c r="J321" s="259"/>
      <c r="K321" s="259"/>
      <c r="L321" s="259"/>
      <c r="M321" s="151">
        <v>0</v>
      </c>
      <c r="N321" s="151">
        <v>0</v>
      </c>
      <c r="O321" s="151">
        <v>0</v>
      </c>
      <c r="P321" s="258" t="s">
        <v>3</v>
      </c>
    </row>
    <row r="322" spans="1:21" s="43" customFormat="1" ht="38">
      <c r="A322" s="305"/>
      <c r="B322" s="254"/>
      <c r="C322" s="239"/>
      <c r="D322" s="99" t="s">
        <v>1</v>
      </c>
      <c r="E322" s="151">
        <v>0</v>
      </c>
      <c r="F322" s="173">
        <f t="shared" ref="F322:F324" si="109">SUM(G322:O322)</f>
        <v>0</v>
      </c>
      <c r="G322" s="151">
        <v>0</v>
      </c>
      <c r="H322" s="259">
        <v>0</v>
      </c>
      <c r="I322" s="259"/>
      <c r="J322" s="259"/>
      <c r="K322" s="259"/>
      <c r="L322" s="259"/>
      <c r="M322" s="151">
        <v>0</v>
      </c>
      <c r="N322" s="151">
        <v>0</v>
      </c>
      <c r="O322" s="151">
        <v>0</v>
      </c>
      <c r="P322" s="258"/>
    </row>
    <row r="323" spans="1:21" s="43" customFormat="1" ht="57">
      <c r="A323" s="305"/>
      <c r="B323" s="254"/>
      <c r="C323" s="239"/>
      <c r="D323" s="99" t="s">
        <v>49</v>
      </c>
      <c r="E323" s="151">
        <v>0</v>
      </c>
      <c r="F323" s="173">
        <f t="shared" si="109"/>
        <v>0</v>
      </c>
      <c r="G323" s="151">
        <v>0</v>
      </c>
      <c r="H323" s="259">
        <v>0</v>
      </c>
      <c r="I323" s="259"/>
      <c r="J323" s="259"/>
      <c r="K323" s="259"/>
      <c r="L323" s="259"/>
      <c r="M323" s="151">
        <v>0</v>
      </c>
      <c r="N323" s="151">
        <v>0</v>
      </c>
      <c r="O323" s="151">
        <v>0</v>
      </c>
      <c r="P323" s="258"/>
    </row>
    <row r="324" spans="1:21" s="43" customFormat="1" ht="19">
      <c r="A324" s="305"/>
      <c r="B324" s="254"/>
      <c r="C324" s="239"/>
      <c r="D324" s="99" t="s">
        <v>90</v>
      </c>
      <c r="E324" s="151"/>
      <c r="F324" s="173">
        <f t="shared" si="109"/>
        <v>0</v>
      </c>
      <c r="G324" s="151">
        <v>0</v>
      </c>
      <c r="H324" s="259">
        <v>0</v>
      </c>
      <c r="I324" s="259"/>
      <c r="J324" s="259"/>
      <c r="K324" s="259"/>
      <c r="L324" s="259"/>
      <c r="M324" s="151">
        <v>0</v>
      </c>
      <c r="N324" s="151">
        <v>0</v>
      </c>
      <c r="O324" s="151">
        <v>0</v>
      </c>
      <c r="P324" s="258"/>
    </row>
    <row r="325" spans="1:21" s="43" customFormat="1" ht="24" customHeight="1">
      <c r="A325" s="305"/>
      <c r="B325" s="237" t="s">
        <v>199</v>
      </c>
      <c r="C325" s="234" t="s">
        <v>129</v>
      </c>
      <c r="D325" s="234" t="s">
        <v>129</v>
      </c>
      <c r="E325" s="145"/>
      <c r="F325" s="248" t="s">
        <v>130</v>
      </c>
      <c r="G325" s="146" t="s">
        <v>287</v>
      </c>
      <c r="H325" s="246" t="s">
        <v>288</v>
      </c>
      <c r="I325" s="247" t="s">
        <v>131</v>
      </c>
      <c r="J325" s="247"/>
      <c r="K325" s="247"/>
      <c r="L325" s="247"/>
      <c r="M325" s="146" t="s">
        <v>136</v>
      </c>
      <c r="N325" s="146" t="s">
        <v>137</v>
      </c>
      <c r="O325" s="146" t="s">
        <v>138</v>
      </c>
      <c r="P325" s="257" t="s">
        <v>129</v>
      </c>
      <c r="Q325" s="44"/>
    </row>
    <row r="326" spans="1:21" s="43" customFormat="1" ht="24" customHeight="1">
      <c r="A326" s="305"/>
      <c r="B326" s="237"/>
      <c r="C326" s="234"/>
      <c r="D326" s="234"/>
      <c r="E326" s="145"/>
      <c r="F326" s="248"/>
      <c r="G326" s="145"/>
      <c r="H326" s="246"/>
      <c r="I326" s="145" t="s">
        <v>132</v>
      </c>
      <c r="J326" s="145" t="s">
        <v>133</v>
      </c>
      <c r="K326" s="145" t="s">
        <v>134</v>
      </c>
      <c r="L326" s="145" t="s">
        <v>135</v>
      </c>
      <c r="M326" s="145"/>
      <c r="N326" s="145"/>
      <c r="O326" s="145"/>
      <c r="P326" s="257"/>
      <c r="Q326" s="44"/>
    </row>
    <row r="327" spans="1:21" s="43" customFormat="1" ht="27" customHeight="1">
      <c r="A327" s="305"/>
      <c r="B327" s="237"/>
      <c r="C327" s="234"/>
      <c r="D327" s="234"/>
      <c r="E327" s="145"/>
      <c r="F327" s="174">
        <f>H327+G327+M327+N327+O327</f>
        <v>1</v>
      </c>
      <c r="G327" s="147">
        <v>1</v>
      </c>
      <c r="H327" s="147">
        <v>0</v>
      </c>
      <c r="I327" s="147">
        <v>0</v>
      </c>
      <c r="J327" s="147">
        <v>0</v>
      </c>
      <c r="K327" s="147">
        <v>0</v>
      </c>
      <c r="L327" s="147">
        <v>0</v>
      </c>
      <c r="M327" s="147">
        <v>0</v>
      </c>
      <c r="N327" s="147">
        <v>0</v>
      </c>
      <c r="O327" s="147">
        <v>0</v>
      </c>
      <c r="P327" s="257"/>
      <c r="Q327" s="44"/>
    </row>
    <row r="328" spans="1:21" s="43" customFormat="1" ht="39" customHeight="1">
      <c r="A328" s="305" t="s">
        <v>240</v>
      </c>
      <c r="B328" s="254" t="s">
        <v>170</v>
      </c>
      <c r="C328" s="239" t="s">
        <v>89</v>
      </c>
      <c r="D328" s="99" t="s">
        <v>41</v>
      </c>
      <c r="E328" s="151"/>
      <c r="F328" s="173">
        <f>SUM(G328:O328)</f>
        <v>0</v>
      </c>
      <c r="G328" s="151">
        <v>0</v>
      </c>
      <c r="H328" s="259">
        <v>0</v>
      </c>
      <c r="I328" s="259"/>
      <c r="J328" s="259"/>
      <c r="K328" s="259"/>
      <c r="L328" s="259"/>
      <c r="M328" s="151">
        <v>0</v>
      </c>
      <c r="N328" s="151">
        <v>0</v>
      </c>
      <c r="O328" s="151">
        <v>0</v>
      </c>
      <c r="P328" s="258" t="s">
        <v>3</v>
      </c>
    </row>
    <row r="329" spans="1:21" s="43" customFormat="1" ht="38">
      <c r="A329" s="305"/>
      <c r="B329" s="254"/>
      <c r="C329" s="239"/>
      <c r="D329" s="99" t="s">
        <v>1</v>
      </c>
      <c r="E329" s="151">
        <v>0</v>
      </c>
      <c r="F329" s="173">
        <f t="shared" ref="F329:F331" si="110">SUM(G329:O329)</f>
        <v>0</v>
      </c>
      <c r="G329" s="151">
        <v>0</v>
      </c>
      <c r="H329" s="259">
        <f>72165.6-72165.6</f>
        <v>0</v>
      </c>
      <c r="I329" s="259"/>
      <c r="J329" s="259"/>
      <c r="K329" s="259"/>
      <c r="L329" s="259"/>
      <c r="M329" s="151">
        <f>29332.8-29332.8</f>
        <v>0</v>
      </c>
      <c r="N329" s="151">
        <v>0</v>
      </c>
      <c r="O329" s="151">
        <v>0</v>
      </c>
      <c r="P329" s="258"/>
    </row>
    <row r="330" spans="1:21" s="43" customFormat="1" ht="57">
      <c r="A330" s="305"/>
      <c r="B330" s="254"/>
      <c r="C330" s="239"/>
      <c r="D330" s="99" t="s">
        <v>49</v>
      </c>
      <c r="E330" s="151">
        <v>0</v>
      </c>
      <c r="F330" s="173">
        <f t="shared" si="110"/>
        <v>44191.952559999998</v>
      </c>
      <c r="G330" s="151">
        <v>44191.952559999998</v>
      </c>
      <c r="H330" s="259">
        <f>8018.4-8018.4</f>
        <v>0</v>
      </c>
      <c r="I330" s="259"/>
      <c r="J330" s="259"/>
      <c r="K330" s="259"/>
      <c r="L330" s="259"/>
      <c r="M330" s="151">
        <f>3259.2-3259.2</f>
        <v>0</v>
      </c>
      <c r="N330" s="151">
        <v>0</v>
      </c>
      <c r="O330" s="151">
        <v>0</v>
      </c>
      <c r="P330" s="258"/>
    </row>
    <row r="331" spans="1:21" s="43" customFormat="1" ht="19">
      <c r="A331" s="305"/>
      <c r="B331" s="254"/>
      <c r="C331" s="239"/>
      <c r="D331" s="99" t="s">
        <v>90</v>
      </c>
      <c r="E331" s="151"/>
      <c r="F331" s="173">
        <f t="shared" si="110"/>
        <v>0</v>
      </c>
      <c r="G331" s="151">
        <v>0</v>
      </c>
      <c r="H331" s="259">
        <v>0</v>
      </c>
      <c r="I331" s="259"/>
      <c r="J331" s="259"/>
      <c r="K331" s="259"/>
      <c r="L331" s="259"/>
      <c r="M331" s="151">
        <v>0</v>
      </c>
      <c r="N331" s="151">
        <v>0</v>
      </c>
      <c r="O331" s="151">
        <v>0</v>
      </c>
      <c r="P331" s="258"/>
    </row>
    <row r="332" spans="1:21" s="43" customFormat="1" ht="24" customHeight="1">
      <c r="A332" s="305"/>
      <c r="B332" s="237" t="s">
        <v>200</v>
      </c>
      <c r="C332" s="234" t="s">
        <v>129</v>
      </c>
      <c r="D332" s="234" t="s">
        <v>129</v>
      </c>
      <c r="E332" s="145"/>
      <c r="F332" s="248" t="s">
        <v>130</v>
      </c>
      <c r="G332" s="146" t="s">
        <v>287</v>
      </c>
      <c r="H332" s="246" t="s">
        <v>288</v>
      </c>
      <c r="I332" s="247" t="s">
        <v>131</v>
      </c>
      <c r="J332" s="247"/>
      <c r="K332" s="247"/>
      <c r="L332" s="247"/>
      <c r="M332" s="146" t="s">
        <v>136</v>
      </c>
      <c r="N332" s="146" t="s">
        <v>137</v>
      </c>
      <c r="O332" s="146" t="s">
        <v>138</v>
      </c>
      <c r="P332" s="257" t="s">
        <v>129</v>
      </c>
      <c r="Q332" s="44"/>
    </row>
    <row r="333" spans="1:21" s="43" customFormat="1" ht="19.5" customHeight="1">
      <c r="A333" s="305"/>
      <c r="B333" s="237"/>
      <c r="C333" s="234"/>
      <c r="D333" s="234"/>
      <c r="E333" s="145"/>
      <c r="F333" s="248"/>
      <c r="G333" s="145"/>
      <c r="H333" s="246"/>
      <c r="I333" s="145" t="s">
        <v>132</v>
      </c>
      <c r="J333" s="145" t="s">
        <v>133</v>
      </c>
      <c r="K333" s="145" t="s">
        <v>134</v>
      </c>
      <c r="L333" s="145" t="s">
        <v>135</v>
      </c>
      <c r="M333" s="145"/>
      <c r="N333" s="145"/>
      <c r="O333" s="145"/>
      <c r="P333" s="257"/>
      <c r="Q333" s="44"/>
    </row>
    <row r="334" spans="1:21" s="43" customFormat="1" ht="31.5" customHeight="1">
      <c r="A334" s="305"/>
      <c r="B334" s="237"/>
      <c r="C334" s="234"/>
      <c r="D334" s="234"/>
      <c r="E334" s="145"/>
      <c r="F334" s="174">
        <f>H334+G334+M334</f>
        <v>1</v>
      </c>
      <c r="G334" s="147">
        <v>1</v>
      </c>
      <c r="H334" s="147">
        <v>0</v>
      </c>
      <c r="I334" s="147">
        <v>0</v>
      </c>
      <c r="J334" s="147">
        <v>0</v>
      </c>
      <c r="K334" s="147">
        <v>0</v>
      </c>
      <c r="L334" s="147">
        <v>0</v>
      </c>
      <c r="M334" s="147">
        <v>0</v>
      </c>
      <c r="N334" s="147">
        <v>0</v>
      </c>
      <c r="O334" s="147">
        <v>0</v>
      </c>
      <c r="P334" s="257"/>
      <c r="Q334" s="44"/>
    </row>
    <row r="335" spans="1:21" s="9" customFormat="1" ht="18.75" customHeight="1">
      <c r="A335" s="313" t="s">
        <v>37</v>
      </c>
      <c r="B335" s="235" t="s">
        <v>124</v>
      </c>
      <c r="C335" s="235" t="s">
        <v>89</v>
      </c>
      <c r="D335" s="209" t="s">
        <v>2</v>
      </c>
      <c r="E335" s="163">
        <f>E338</f>
        <v>0</v>
      </c>
      <c r="F335" s="173">
        <f>SUM(G335:O335)</f>
        <v>3053.4900000000002</v>
      </c>
      <c r="G335" s="163">
        <f t="shared" ref="G335" si="111">G336+G337+G338+G339</f>
        <v>3053.4900000000002</v>
      </c>
      <c r="H335" s="267">
        <f>H336+H337+H338+H339</f>
        <v>0</v>
      </c>
      <c r="I335" s="267"/>
      <c r="J335" s="267"/>
      <c r="K335" s="267"/>
      <c r="L335" s="267"/>
      <c r="M335" s="163">
        <f t="shared" ref="M335:O335" si="112">M336+M337+M338+M339</f>
        <v>0</v>
      </c>
      <c r="N335" s="163">
        <f t="shared" si="112"/>
        <v>0</v>
      </c>
      <c r="O335" s="163">
        <f t="shared" si="112"/>
        <v>0</v>
      </c>
      <c r="P335" s="260"/>
      <c r="T335" s="50"/>
      <c r="U335" s="50"/>
    </row>
    <row r="336" spans="1:21" s="9" customFormat="1" ht="36" customHeight="1">
      <c r="A336" s="313"/>
      <c r="B336" s="235"/>
      <c r="C336" s="235"/>
      <c r="D336" s="162" t="s">
        <v>41</v>
      </c>
      <c r="E336" s="163"/>
      <c r="F336" s="173">
        <f t="shared" ref="F336:F343" si="113">SUM(H336:O336)</f>
        <v>0</v>
      </c>
      <c r="G336" s="164">
        <f t="shared" ref="G336" si="114">G340</f>
        <v>0</v>
      </c>
      <c r="H336" s="268">
        <f>H340</f>
        <v>0</v>
      </c>
      <c r="I336" s="268"/>
      <c r="J336" s="268"/>
      <c r="K336" s="268"/>
      <c r="L336" s="268"/>
      <c r="M336" s="164">
        <f t="shared" ref="M336:O336" si="115">M340</f>
        <v>0</v>
      </c>
      <c r="N336" s="164">
        <f t="shared" si="115"/>
        <v>0</v>
      </c>
      <c r="O336" s="164">
        <f t="shared" si="115"/>
        <v>0</v>
      </c>
      <c r="P336" s="260"/>
      <c r="T336" s="50"/>
      <c r="U336" s="50"/>
    </row>
    <row r="337" spans="1:21" s="9" customFormat="1" ht="37.5" customHeight="1">
      <c r="A337" s="313"/>
      <c r="B337" s="235"/>
      <c r="C337" s="235"/>
      <c r="D337" s="162" t="s">
        <v>1</v>
      </c>
      <c r="E337" s="163"/>
      <c r="F337" s="173">
        <f>G337</f>
        <v>2775.9</v>
      </c>
      <c r="G337" s="164">
        <f t="shared" ref="G337" si="116">G341</f>
        <v>2775.9</v>
      </c>
      <c r="H337" s="268">
        <f>H341</f>
        <v>0</v>
      </c>
      <c r="I337" s="268"/>
      <c r="J337" s="268"/>
      <c r="K337" s="268"/>
      <c r="L337" s="268"/>
      <c r="M337" s="164">
        <f t="shared" ref="M337:O337" si="117">M341</f>
        <v>0</v>
      </c>
      <c r="N337" s="164">
        <f t="shared" si="117"/>
        <v>0</v>
      </c>
      <c r="O337" s="164">
        <f t="shared" si="117"/>
        <v>0</v>
      </c>
      <c r="P337" s="260"/>
      <c r="T337" s="50"/>
      <c r="U337" s="50"/>
    </row>
    <row r="338" spans="1:21" s="9" customFormat="1" ht="56.25" customHeight="1">
      <c r="A338" s="313"/>
      <c r="B338" s="235"/>
      <c r="C338" s="235"/>
      <c r="D338" s="162" t="s">
        <v>48</v>
      </c>
      <c r="E338" s="165">
        <f>E341</f>
        <v>0</v>
      </c>
      <c r="F338" s="173">
        <f>G338</f>
        <v>277.58999999999997</v>
      </c>
      <c r="G338" s="165">
        <f t="shared" ref="G338" si="118">G342</f>
        <v>277.58999999999997</v>
      </c>
      <c r="H338" s="269">
        <f>H342</f>
        <v>0</v>
      </c>
      <c r="I338" s="269"/>
      <c r="J338" s="269"/>
      <c r="K338" s="269"/>
      <c r="L338" s="269"/>
      <c r="M338" s="165">
        <f t="shared" ref="M338:O338" si="119">M342</f>
        <v>0</v>
      </c>
      <c r="N338" s="165">
        <f t="shared" si="119"/>
        <v>0</v>
      </c>
      <c r="O338" s="165">
        <f t="shared" si="119"/>
        <v>0</v>
      </c>
      <c r="P338" s="260"/>
      <c r="T338" s="50"/>
      <c r="U338" s="50"/>
    </row>
    <row r="339" spans="1:21" s="9" customFormat="1" ht="37.5" customHeight="1">
      <c r="A339" s="313"/>
      <c r="B339" s="235"/>
      <c r="C339" s="235"/>
      <c r="D339" s="162" t="s">
        <v>90</v>
      </c>
      <c r="E339" s="165"/>
      <c r="F339" s="173">
        <f t="shared" si="113"/>
        <v>0</v>
      </c>
      <c r="G339" s="165">
        <f t="shared" ref="G339" si="120">G343</f>
        <v>0</v>
      </c>
      <c r="H339" s="269">
        <f>H343</f>
        <v>0</v>
      </c>
      <c r="I339" s="269"/>
      <c r="J339" s="269"/>
      <c r="K339" s="269"/>
      <c r="L339" s="269"/>
      <c r="M339" s="165">
        <f t="shared" ref="M339:O339" si="121">M343</f>
        <v>0</v>
      </c>
      <c r="N339" s="165">
        <f t="shared" si="121"/>
        <v>0</v>
      </c>
      <c r="O339" s="165">
        <f t="shared" si="121"/>
        <v>0</v>
      </c>
      <c r="P339" s="260"/>
      <c r="T339" s="50"/>
      <c r="U339" s="50"/>
    </row>
    <row r="340" spans="1:21" s="9" customFormat="1" ht="37.5" customHeight="1">
      <c r="A340" s="286" t="s">
        <v>55</v>
      </c>
      <c r="B340" s="236" t="s">
        <v>109</v>
      </c>
      <c r="C340" s="271" t="s">
        <v>89</v>
      </c>
      <c r="D340" s="140" t="s">
        <v>41</v>
      </c>
      <c r="E340" s="78"/>
      <c r="F340" s="173">
        <f t="shared" si="113"/>
        <v>0</v>
      </c>
      <c r="G340" s="130">
        <v>0</v>
      </c>
      <c r="H340" s="264">
        <v>0</v>
      </c>
      <c r="I340" s="264"/>
      <c r="J340" s="264"/>
      <c r="K340" s="264"/>
      <c r="L340" s="264"/>
      <c r="M340" s="130">
        <v>0</v>
      </c>
      <c r="N340" s="130">
        <v>0</v>
      </c>
      <c r="O340" s="130">
        <v>0</v>
      </c>
      <c r="P340" s="257" t="s">
        <v>3</v>
      </c>
      <c r="T340" s="50"/>
      <c r="U340" s="50"/>
    </row>
    <row r="341" spans="1:21" s="43" customFormat="1" ht="37.5" customHeight="1">
      <c r="A341" s="286"/>
      <c r="B341" s="236"/>
      <c r="C341" s="271"/>
      <c r="D341" s="143" t="s">
        <v>1</v>
      </c>
      <c r="E341" s="144">
        <v>0</v>
      </c>
      <c r="F341" s="173">
        <f>G341</f>
        <v>2775.9</v>
      </c>
      <c r="G341" s="144">
        <v>2775.9</v>
      </c>
      <c r="H341" s="261">
        <v>0</v>
      </c>
      <c r="I341" s="261"/>
      <c r="J341" s="261"/>
      <c r="K341" s="261"/>
      <c r="L341" s="261"/>
      <c r="M341" s="144">
        <v>0</v>
      </c>
      <c r="N341" s="144">
        <v>0</v>
      </c>
      <c r="O341" s="144">
        <v>0</v>
      </c>
      <c r="P341" s="257"/>
    </row>
    <row r="342" spans="1:21" s="43" customFormat="1" ht="56.25" customHeight="1">
      <c r="A342" s="286"/>
      <c r="B342" s="236"/>
      <c r="C342" s="271"/>
      <c r="D342" s="143" t="s">
        <v>48</v>
      </c>
      <c r="E342" s="144">
        <v>0</v>
      </c>
      <c r="F342" s="173">
        <f>G342</f>
        <v>277.58999999999997</v>
      </c>
      <c r="G342" s="144">
        <v>277.58999999999997</v>
      </c>
      <c r="H342" s="261">
        <v>0</v>
      </c>
      <c r="I342" s="261"/>
      <c r="J342" s="261"/>
      <c r="K342" s="261"/>
      <c r="L342" s="261"/>
      <c r="M342" s="144">
        <v>0</v>
      </c>
      <c r="N342" s="144">
        <v>0</v>
      </c>
      <c r="O342" s="144">
        <v>0</v>
      </c>
      <c r="P342" s="257"/>
      <c r="Q342" s="44"/>
    </row>
    <row r="343" spans="1:21" s="43" customFormat="1" ht="37.5" customHeight="1">
      <c r="A343" s="286"/>
      <c r="B343" s="236"/>
      <c r="C343" s="271"/>
      <c r="D343" s="143" t="s">
        <v>90</v>
      </c>
      <c r="E343" s="144"/>
      <c r="F343" s="173">
        <f t="shared" si="113"/>
        <v>0</v>
      </c>
      <c r="G343" s="144">
        <v>0</v>
      </c>
      <c r="H343" s="261">
        <v>0</v>
      </c>
      <c r="I343" s="261"/>
      <c r="J343" s="261"/>
      <c r="K343" s="261"/>
      <c r="L343" s="261"/>
      <c r="M343" s="144">
        <v>0</v>
      </c>
      <c r="N343" s="144">
        <v>0</v>
      </c>
      <c r="O343" s="144">
        <v>0</v>
      </c>
      <c r="P343" s="257"/>
      <c r="Q343" s="44"/>
    </row>
    <row r="344" spans="1:21" s="43" customFormat="1" ht="39.75" customHeight="1">
      <c r="A344" s="286"/>
      <c r="B344" s="237" t="s">
        <v>201</v>
      </c>
      <c r="C344" s="234" t="s">
        <v>129</v>
      </c>
      <c r="D344" s="234" t="s">
        <v>129</v>
      </c>
      <c r="E344" s="145"/>
      <c r="F344" s="248" t="s">
        <v>130</v>
      </c>
      <c r="G344" s="146" t="s">
        <v>287</v>
      </c>
      <c r="H344" s="246" t="s">
        <v>288</v>
      </c>
      <c r="I344" s="247" t="s">
        <v>131</v>
      </c>
      <c r="J344" s="247"/>
      <c r="K344" s="247"/>
      <c r="L344" s="247"/>
      <c r="M344" s="146" t="s">
        <v>136</v>
      </c>
      <c r="N344" s="146" t="s">
        <v>137</v>
      </c>
      <c r="O344" s="146" t="s">
        <v>138</v>
      </c>
      <c r="P344" s="257" t="s">
        <v>129</v>
      </c>
      <c r="Q344" s="44"/>
    </row>
    <row r="345" spans="1:21" s="43" customFormat="1" ht="39.75" customHeight="1">
      <c r="A345" s="286"/>
      <c r="B345" s="237"/>
      <c r="C345" s="234"/>
      <c r="D345" s="234"/>
      <c r="E345" s="145"/>
      <c r="F345" s="248"/>
      <c r="G345" s="145"/>
      <c r="H345" s="246"/>
      <c r="I345" s="145" t="s">
        <v>132</v>
      </c>
      <c r="J345" s="145" t="s">
        <v>133</v>
      </c>
      <c r="K345" s="145" t="s">
        <v>134</v>
      </c>
      <c r="L345" s="145" t="s">
        <v>135</v>
      </c>
      <c r="M345" s="145"/>
      <c r="N345" s="145"/>
      <c r="O345" s="145"/>
      <c r="P345" s="257"/>
      <c r="Q345" s="44"/>
    </row>
    <row r="346" spans="1:21" s="43" customFormat="1" ht="39.75" customHeight="1">
      <c r="A346" s="286"/>
      <c r="B346" s="237"/>
      <c r="C346" s="234"/>
      <c r="D346" s="234"/>
      <c r="E346" s="145"/>
      <c r="F346" s="174">
        <f>G346</f>
        <v>1</v>
      </c>
      <c r="G346" s="147">
        <v>1</v>
      </c>
      <c r="H346" s="147">
        <v>0</v>
      </c>
      <c r="I346" s="147">
        <v>0</v>
      </c>
      <c r="J346" s="147">
        <v>0</v>
      </c>
      <c r="K346" s="147">
        <v>0</v>
      </c>
      <c r="L346" s="147">
        <v>0</v>
      </c>
      <c r="M346" s="147">
        <v>0</v>
      </c>
      <c r="N346" s="147">
        <v>0</v>
      </c>
      <c r="O346" s="147">
        <v>0</v>
      </c>
      <c r="P346" s="257"/>
      <c r="Q346" s="44"/>
    </row>
    <row r="347" spans="1:21" s="9" customFormat="1" ht="18.75" customHeight="1">
      <c r="A347" s="309" t="s">
        <v>12</v>
      </c>
      <c r="B347" s="238" t="s">
        <v>172</v>
      </c>
      <c r="C347" s="238" t="s">
        <v>89</v>
      </c>
      <c r="D347" s="157" t="s">
        <v>2</v>
      </c>
      <c r="E347" s="158" t="e">
        <f>E349+E350+E348</f>
        <v>#REF!</v>
      </c>
      <c r="F347" s="173">
        <f>SUM(G347:O347)</f>
        <v>52327.7</v>
      </c>
      <c r="G347" s="158">
        <f t="shared" ref="G347" si="122">G348+G349+G350+G351</f>
        <v>9771.2999999999993</v>
      </c>
      <c r="H347" s="252">
        <f>H348+H349+H350+H351</f>
        <v>9632.4</v>
      </c>
      <c r="I347" s="252"/>
      <c r="J347" s="252"/>
      <c r="K347" s="252"/>
      <c r="L347" s="252"/>
      <c r="M347" s="158">
        <f t="shared" ref="M347:O347" si="123">M348+M349+M350+M351</f>
        <v>9632.4</v>
      </c>
      <c r="N347" s="158">
        <f t="shared" si="123"/>
        <v>11645.8</v>
      </c>
      <c r="O347" s="158">
        <f t="shared" si="123"/>
        <v>11645.8</v>
      </c>
      <c r="P347" s="262"/>
      <c r="Q347" s="117"/>
      <c r="R347" s="117"/>
      <c r="S347" s="117"/>
      <c r="T347" s="50"/>
      <c r="U347" s="50"/>
    </row>
    <row r="348" spans="1:21" s="9" customFormat="1" ht="36.75" customHeight="1">
      <c r="A348" s="309"/>
      <c r="B348" s="238"/>
      <c r="C348" s="238"/>
      <c r="D348" s="157" t="s">
        <v>41</v>
      </c>
      <c r="E348" s="159">
        <f>E462</f>
        <v>0</v>
      </c>
      <c r="F348" s="173">
        <f t="shared" ref="F348:F355" si="124">SUM(G348:O348)</f>
        <v>33422.874980000001</v>
      </c>
      <c r="G348" s="159">
        <f t="shared" ref="G348" si="125">G352</f>
        <v>7328.47498</v>
      </c>
      <c r="H348" s="251">
        <f>H352</f>
        <v>7224.3</v>
      </c>
      <c r="I348" s="251"/>
      <c r="J348" s="251"/>
      <c r="K348" s="251"/>
      <c r="L348" s="251"/>
      <c r="M348" s="159">
        <f t="shared" ref="M348:O351" si="126">M352</f>
        <v>7224.3</v>
      </c>
      <c r="N348" s="159">
        <f t="shared" si="126"/>
        <v>5822.9</v>
      </c>
      <c r="O348" s="159">
        <f t="shared" si="126"/>
        <v>5822.9</v>
      </c>
      <c r="P348" s="262"/>
      <c r="Q348" s="117"/>
      <c r="R348" s="117"/>
      <c r="S348" s="117"/>
      <c r="T348" s="50"/>
      <c r="U348" s="50"/>
    </row>
    <row r="349" spans="1:21" s="9" customFormat="1" ht="39.75" customHeight="1">
      <c r="A349" s="309"/>
      <c r="B349" s="238"/>
      <c r="C349" s="238"/>
      <c r="D349" s="157" t="s">
        <v>1</v>
      </c>
      <c r="E349" s="159" t="e">
        <f>#REF!+E352+E353+#REF!+#REF!+#REF!+E463+E468</f>
        <v>#REF!</v>
      </c>
      <c r="F349" s="173">
        <f t="shared" si="124"/>
        <v>18904.82502</v>
      </c>
      <c r="G349" s="159">
        <f t="shared" ref="G349" si="127">G353</f>
        <v>2442.8250200000002</v>
      </c>
      <c r="H349" s="251">
        <f>H353</f>
        <v>2408.1</v>
      </c>
      <c r="I349" s="251"/>
      <c r="J349" s="251"/>
      <c r="K349" s="251"/>
      <c r="L349" s="251"/>
      <c r="M349" s="159">
        <f t="shared" si="126"/>
        <v>2408.1</v>
      </c>
      <c r="N349" s="159">
        <f t="shared" si="126"/>
        <v>5822.9</v>
      </c>
      <c r="O349" s="159">
        <f t="shared" si="126"/>
        <v>5822.9</v>
      </c>
      <c r="P349" s="262"/>
      <c r="Q349" s="117"/>
      <c r="R349" s="117"/>
      <c r="S349" s="117"/>
      <c r="T349" s="50"/>
      <c r="U349" s="50"/>
    </row>
    <row r="350" spans="1:21" s="9" customFormat="1" ht="58.5" customHeight="1">
      <c r="A350" s="309"/>
      <c r="B350" s="238"/>
      <c r="C350" s="238"/>
      <c r="D350" s="157" t="s">
        <v>49</v>
      </c>
      <c r="E350" s="159" t="e">
        <f>#REF!+E447+#REF!+#REF!+#REF!+E464+E470</f>
        <v>#REF!</v>
      </c>
      <c r="F350" s="173">
        <f t="shared" si="124"/>
        <v>0</v>
      </c>
      <c r="G350" s="159">
        <f t="shared" ref="G350" si="128">G354</f>
        <v>0</v>
      </c>
      <c r="H350" s="251">
        <f>H354</f>
        <v>0</v>
      </c>
      <c r="I350" s="251"/>
      <c r="J350" s="251"/>
      <c r="K350" s="251"/>
      <c r="L350" s="251"/>
      <c r="M350" s="159">
        <f t="shared" si="126"/>
        <v>0</v>
      </c>
      <c r="N350" s="159">
        <f t="shared" si="126"/>
        <v>0</v>
      </c>
      <c r="O350" s="159">
        <f t="shared" si="126"/>
        <v>0</v>
      </c>
      <c r="P350" s="262"/>
      <c r="Q350" s="117"/>
      <c r="R350" s="117"/>
      <c r="S350" s="117"/>
      <c r="T350" s="50"/>
      <c r="U350" s="50"/>
    </row>
    <row r="351" spans="1:21" s="9" customFormat="1" ht="19">
      <c r="A351" s="309"/>
      <c r="B351" s="238"/>
      <c r="C351" s="238"/>
      <c r="D351" s="157" t="s">
        <v>90</v>
      </c>
      <c r="E351" s="159"/>
      <c r="F351" s="173">
        <f t="shared" si="124"/>
        <v>0</v>
      </c>
      <c r="G351" s="159">
        <f t="shared" ref="G351" si="129">G355</f>
        <v>0</v>
      </c>
      <c r="H351" s="251">
        <f>H355</f>
        <v>0</v>
      </c>
      <c r="I351" s="251"/>
      <c r="J351" s="251"/>
      <c r="K351" s="251"/>
      <c r="L351" s="251"/>
      <c r="M351" s="159">
        <f t="shared" si="126"/>
        <v>0</v>
      </c>
      <c r="N351" s="159">
        <f t="shared" si="126"/>
        <v>0</v>
      </c>
      <c r="O351" s="159">
        <f t="shared" si="126"/>
        <v>0</v>
      </c>
      <c r="P351" s="262"/>
      <c r="Q351" s="117"/>
      <c r="R351" s="117"/>
      <c r="S351" s="117"/>
      <c r="T351" s="50"/>
      <c r="U351" s="50"/>
    </row>
    <row r="352" spans="1:21" s="43" customFormat="1" ht="73.5" customHeight="1">
      <c r="A352" s="305" t="s">
        <v>112</v>
      </c>
      <c r="B352" s="241" t="s">
        <v>171</v>
      </c>
      <c r="C352" s="239" t="s">
        <v>89</v>
      </c>
      <c r="D352" s="100" t="s">
        <v>41</v>
      </c>
      <c r="E352" s="131">
        <v>200475</v>
      </c>
      <c r="F352" s="173">
        <f t="shared" si="124"/>
        <v>33422.874980000001</v>
      </c>
      <c r="G352" s="131">
        <v>7328.47498</v>
      </c>
      <c r="H352" s="250">
        <v>7224.3</v>
      </c>
      <c r="I352" s="250"/>
      <c r="J352" s="250"/>
      <c r="K352" s="250"/>
      <c r="L352" s="250"/>
      <c r="M352" s="131">
        <v>7224.3</v>
      </c>
      <c r="N352" s="131">
        <f>5817+5.9</f>
        <v>5822.9</v>
      </c>
      <c r="O352" s="131">
        <f>5817+5.9</f>
        <v>5822.9</v>
      </c>
      <c r="P352" s="253" t="s">
        <v>3</v>
      </c>
      <c r="Q352" s="116"/>
      <c r="R352" s="116"/>
      <c r="S352" s="116"/>
    </row>
    <row r="353" spans="1:21" s="43" customFormat="1" ht="73.5" customHeight="1">
      <c r="A353" s="305"/>
      <c r="B353" s="241"/>
      <c r="C353" s="239"/>
      <c r="D353" s="100" t="s">
        <v>1</v>
      </c>
      <c r="E353" s="131">
        <v>93</v>
      </c>
      <c r="F353" s="173">
        <f t="shared" si="124"/>
        <v>18904.82502</v>
      </c>
      <c r="G353" s="131">
        <v>2442.8250200000002</v>
      </c>
      <c r="H353" s="250">
        <v>2408.1</v>
      </c>
      <c r="I353" s="250"/>
      <c r="J353" s="250"/>
      <c r="K353" s="250"/>
      <c r="L353" s="250"/>
      <c r="M353" s="131">
        <f>2408+0.1</f>
        <v>2408.1</v>
      </c>
      <c r="N353" s="131">
        <f>5817+5.9</f>
        <v>5822.9</v>
      </c>
      <c r="O353" s="131">
        <f>5817+5.9</f>
        <v>5822.9</v>
      </c>
      <c r="P353" s="253"/>
      <c r="Q353" s="116"/>
      <c r="R353" s="116"/>
      <c r="S353" s="116"/>
    </row>
    <row r="354" spans="1:21" s="43" customFormat="1" ht="73.5" customHeight="1">
      <c r="A354" s="305"/>
      <c r="B354" s="241"/>
      <c r="C354" s="239"/>
      <c r="D354" s="100" t="s">
        <v>48</v>
      </c>
      <c r="E354" s="131"/>
      <c r="F354" s="173">
        <f t="shared" si="124"/>
        <v>0</v>
      </c>
      <c r="G354" s="131">
        <v>0</v>
      </c>
      <c r="H354" s="250">
        <v>0</v>
      </c>
      <c r="I354" s="250"/>
      <c r="J354" s="250"/>
      <c r="K354" s="250"/>
      <c r="L354" s="250"/>
      <c r="M354" s="131">
        <v>0</v>
      </c>
      <c r="N354" s="131">
        <v>0</v>
      </c>
      <c r="O354" s="131">
        <v>0</v>
      </c>
      <c r="P354" s="253"/>
      <c r="Q354" s="116"/>
      <c r="R354" s="116"/>
      <c r="S354" s="116"/>
    </row>
    <row r="355" spans="1:21" s="43" customFormat="1" ht="73.5" customHeight="1">
      <c r="A355" s="305"/>
      <c r="B355" s="241"/>
      <c r="C355" s="239"/>
      <c r="D355" s="100" t="s">
        <v>90</v>
      </c>
      <c r="E355" s="131"/>
      <c r="F355" s="173">
        <f t="shared" si="124"/>
        <v>0</v>
      </c>
      <c r="G355" s="131">
        <v>0</v>
      </c>
      <c r="H355" s="250">
        <v>0</v>
      </c>
      <c r="I355" s="250"/>
      <c r="J355" s="250"/>
      <c r="K355" s="250"/>
      <c r="L355" s="250"/>
      <c r="M355" s="131">
        <v>0</v>
      </c>
      <c r="N355" s="131">
        <v>0</v>
      </c>
      <c r="O355" s="131">
        <v>0</v>
      </c>
      <c r="P355" s="253"/>
      <c r="Q355" s="116"/>
      <c r="R355" s="116"/>
      <c r="S355" s="116"/>
    </row>
    <row r="356" spans="1:21" s="43" customFormat="1" ht="27.75" customHeight="1">
      <c r="A356" s="305"/>
      <c r="B356" s="237" t="s">
        <v>272</v>
      </c>
      <c r="C356" s="234" t="s">
        <v>129</v>
      </c>
      <c r="D356" s="234" t="s">
        <v>129</v>
      </c>
      <c r="E356" s="145"/>
      <c r="F356" s="248" t="s">
        <v>130</v>
      </c>
      <c r="G356" s="146" t="s">
        <v>287</v>
      </c>
      <c r="H356" s="246" t="s">
        <v>288</v>
      </c>
      <c r="I356" s="247" t="s">
        <v>131</v>
      </c>
      <c r="J356" s="247"/>
      <c r="K356" s="247"/>
      <c r="L356" s="247"/>
      <c r="M356" s="146" t="s">
        <v>136</v>
      </c>
      <c r="N356" s="146" t="s">
        <v>137</v>
      </c>
      <c r="O356" s="146" t="s">
        <v>138</v>
      </c>
      <c r="P356" s="257" t="s">
        <v>129</v>
      </c>
      <c r="Q356" s="44"/>
    </row>
    <row r="357" spans="1:21" s="43" customFormat="1" ht="24" customHeight="1">
      <c r="A357" s="305"/>
      <c r="B357" s="237"/>
      <c r="C357" s="234"/>
      <c r="D357" s="234"/>
      <c r="E357" s="145"/>
      <c r="F357" s="248"/>
      <c r="G357" s="145"/>
      <c r="H357" s="246"/>
      <c r="I357" s="145" t="s">
        <v>132</v>
      </c>
      <c r="J357" s="145" t="s">
        <v>133</v>
      </c>
      <c r="K357" s="145" t="s">
        <v>134</v>
      </c>
      <c r="L357" s="145" t="s">
        <v>135</v>
      </c>
      <c r="M357" s="145"/>
      <c r="N357" s="145"/>
      <c r="O357" s="145"/>
      <c r="P357" s="257"/>
      <c r="Q357" s="44"/>
    </row>
    <row r="358" spans="1:21" s="43" customFormat="1" ht="28.5" customHeight="1">
      <c r="A358" s="305"/>
      <c r="B358" s="237"/>
      <c r="C358" s="234"/>
      <c r="D358" s="234"/>
      <c r="E358" s="145"/>
      <c r="F358" s="174">
        <v>23</v>
      </c>
      <c r="G358" s="147">
        <v>23</v>
      </c>
      <c r="H358" s="147">
        <v>23</v>
      </c>
      <c r="I358" s="147">
        <v>23</v>
      </c>
      <c r="J358" s="147">
        <v>23</v>
      </c>
      <c r="K358" s="147">
        <v>23</v>
      </c>
      <c r="L358" s="147">
        <v>23</v>
      </c>
      <c r="M358" s="147">
        <v>23</v>
      </c>
      <c r="N358" s="147">
        <v>23</v>
      </c>
      <c r="O358" s="147">
        <v>23</v>
      </c>
      <c r="P358" s="257"/>
      <c r="Q358" s="44"/>
    </row>
    <row r="359" spans="1:21" s="9" customFormat="1" ht="18.75" customHeight="1">
      <c r="A359" s="309" t="s">
        <v>13</v>
      </c>
      <c r="B359" s="238" t="s">
        <v>276</v>
      </c>
      <c r="C359" s="238" t="s">
        <v>89</v>
      </c>
      <c r="D359" s="157" t="s">
        <v>2</v>
      </c>
      <c r="E359" s="158" t="e">
        <f>E360+E361+E362</f>
        <v>#REF!</v>
      </c>
      <c r="F359" s="173">
        <f>SUM(G359:O359)</f>
        <v>34100.579160000001</v>
      </c>
      <c r="G359" s="158">
        <f>G360+G361+G362+G363</f>
        <v>15328.57841</v>
      </c>
      <c r="H359" s="252">
        <f>H360+H361+H362+H363</f>
        <v>18772.000749999999</v>
      </c>
      <c r="I359" s="252"/>
      <c r="J359" s="252"/>
      <c r="K359" s="252"/>
      <c r="L359" s="252"/>
      <c r="M359" s="158">
        <f t="shared" ref="M359:O359" si="130">M360+M361+M362+M363</f>
        <v>0</v>
      </c>
      <c r="N359" s="158">
        <f t="shared" si="130"/>
        <v>0</v>
      </c>
      <c r="O359" s="158">
        <f t="shared" si="130"/>
        <v>0</v>
      </c>
      <c r="P359" s="262"/>
      <c r="T359" s="50"/>
      <c r="U359" s="50"/>
    </row>
    <row r="360" spans="1:21" s="9" customFormat="1" ht="37.5" customHeight="1">
      <c r="A360" s="309"/>
      <c r="B360" s="238"/>
      <c r="C360" s="238"/>
      <c r="D360" s="157" t="s">
        <v>41</v>
      </c>
      <c r="E360" s="159" t="e">
        <f>#REF!+E378</f>
        <v>#REF!</v>
      </c>
      <c r="F360" s="173">
        <f t="shared" ref="F360:F367" si="131">SUM(G360:O360)</f>
        <v>20480.393469999999</v>
      </c>
      <c r="G360" s="159">
        <f>G364+G371+G378+G385</f>
        <v>7557.4963900000002</v>
      </c>
      <c r="H360" s="251">
        <f>H364+H371+H378+H385</f>
        <v>12922.897079999999</v>
      </c>
      <c r="I360" s="251"/>
      <c r="J360" s="251"/>
      <c r="K360" s="251"/>
      <c r="L360" s="251"/>
      <c r="M360" s="159">
        <f t="shared" ref="M360:O363" si="132">M364+M371+M378+M385</f>
        <v>0</v>
      </c>
      <c r="N360" s="159">
        <f t="shared" si="132"/>
        <v>0</v>
      </c>
      <c r="O360" s="159">
        <f t="shared" si="132"/>
        <v>0</v>
      </c>
      <c r="P360" s="262"/>
      <c r="T360" s="50"/>
      <c r="U360" s="50"/>
    </row>
    <row r="361" spans="1:21" s="9" customFormat="1" ht="39.75" customHeight="1">
      <c r="A361" s="309"/>
      <c r="B361" s="238"/>
      <c r="C361" s="238"/>
      <c r="D361" s="157" t="s">
        <v>1</v>
      </c>
      <c r="E361" s="159" t="e">
        <f>#REF!+E379+E372+E386+#REF!</f>
        <v>#REF!</v>
      </c>
      <c r="F361" s="173">
        <f t="shared" si="131"/>
        <v>6826.8091399999994</v>
      </c>
      <c r="G361" s="159">
        <f>G365+G372+G379+G386</f>
        <v>2519.1654699999999</v>
      </c>
      <c r="H361" s="251">
        <f>H365+H372+H379+H386</f>
        <v>4307.6436699999995</v>
      </c>
      <c r="I361" s="251"/>
      <c r="J361" s="251"/>
      <c r="K361" s="251"/>
      <c r="L361" s="251"/>
      <c r="M361" s="159">
        <f t="shared" si="132"/>
        <v>0</v>
      </c>
      <c r="N361" s="159">
        <f t="shared" si="132"/>
        <v>0</v>
      </c>
      <c r="O361" s="159">
        <f t="shared" si="132"/>
        <v>0</v>
      </c>
      <c r="P361" s="262"/>
      <c r="T361" s="50"/>
      <c r="U361" s="50"/>
    </row>
    <row r="362" spans="1:21" s="9" customFormat="1" ht="58.5" customHeight="1">
      <c r="A362" s="309"/>
      <c r="B362" s="238"/>
      <c r="C362" s="238"/>
      <c r="D362" s="157" t="s">
        <v>49</v>
      </c>
      <c r="E362" s="159" t="e">
        <f>#REF!+E380+E373+E387+#REF!+#REF!</f>
        <v>#REF!</v>
      </c>
      <c r="F362" s="173">
        <f t="shared" si="131"/>
        <v>6793.37655</v>
      </c>
      <c r="G362" s="159">
        <f t="shared" ref="G362" si="133">G366+G373+G380+G387</f>
        <v>5251.9165499999999</v>
      </c>
      <c r="H362" s="251">
        <f>H366+H373+H380+H387</f>
        <v>1541.46</v>
      </c>
      <c r="I362" s="251"/>
      <c r="J362" s="251"/>
      <c r="K362" s="251"/>
      <c r="L362" s="251"/>
      <c r="M362" s="159">
        <f t="shared" si="132"/>
        <v>0</v>
      </c>
      <c r="N362" s="159">
        <f t="shared" si="132"/>
        <v>0</v>
      </c>
      <c r="O362" s="159">
        <f t="shared" si="132"/>
        <v>0</v>
      </c>
      <c r="P362" s="262"/>
      <c r="T362" s="50"/>
      <c r="U362" s="50"/>
    </row>
    <row r="363" spans="1:21" s="9" customFormat="1" ht="19">
      <c r="A363" s="309"/>
      <c r="B363" s="238"/>
      <c r="C363" s="238"/>
      <c r="D363" s="157" t="s">
        <v>90</v>
      </c>
      <c r="E363" s="159"/>
      <c r="F363" s="173">
        <f t="shared" si="131"/>
        <v>0</v>
      </c>
      <c r="G363" s="159">
        <f t="shared" ref="G363" si="134">G367+G374+G381+G388</f>
        <v>0</v>
      </c>
      <c r="H363" s="251">
        <f>H367+H374+H381+H388</f>
        <v>0</v>
      </c>
      <c r="I363" s="251"/>
      <c r="J363" s="251"/>
      <c r="K363" s="251"/>
      <c r="L363" s="251"/>
      <c r="M363" s="159">
        <f t="shared" si="132"/>
        <v>0</v>
      </c>
      <c r="N363" s="159">
        <f t="shared" si="132"/>
        <v>0</v>
      </c>
      <c r="O363" s="159">
        <f t="shared" si="132"/>
        <v>0</v>
      </c>
      <c r="P363" s="262"/>
      <c r="T363" s="50"/>
      <c r="U363" s="50"/>
    </row>
    <row r="364" spans="1:21" s="43" customFormat="1" ht="36.75" customHeight="1">
      <c r="A364" s="318" t="s">
        <v>113</v>
      </c>
      <c r="B364" s="254" t="s">
        <v>164</v>
      </c>
      <c r="C364" s="239" t="s">
        <v>89</v>
      </c>
      <c r="D364" s="99" t="s">
        <v>41</v>
      </c>
      <c r="E364" s="131">
        <v>2407.6675399999999</v>
      </c>
      <c r="F364" s="173">
        <f t="shared" si="131"/>
        <v>9217.7649000000001</v>
      </c>
      <c r="G364" s="131">
        <v>7557.4963900000002</v>
      </c>
      <c r="H364" s="250">
        <f>4980.8-3320.53149</f>
        <v>1660.2685100000003</v>
      </c>
      <c r="I364" s="250"/>
      <c r="J364" s="250"/>
      <c r="K364" s="250"/>
      <c r="L364" s="250"/>
      <c r="M364" s="131">
        <v>0</v>
      </c>
      <c r="N364" s="131">
        <v>0</v>
      </c>
      <c r="O364" s="131">
        <v>0</v>
      </c>
      <c r="P364" s="253" t="s">
        <v>3</v>
      </c>
    </row>
    <row r="365" spans="1:21" s="43" customFormat="1" ht="38">
      <c r="A365" s="319"/>
      <c r="B365" s="254"/>
      <c r="C365" s="239"/>
      <c r="D365" s="99" t="s">
        <v>1</v>
      </c>
      <c r="E365" s="131">
        <v>802.55584999999996</v>
      </c>
      <c r="F365" s="173">
        <f t="shared" si="131"/>
        <v>3072.59771</v>
      </c>
      <c r="G365" s="131">
        <v>2519.1654699999999</v>
      </c>
      <c r="H365" s="250">
        <f>1660.28-1106.84776</f>
        <v>553.43223999999987</v>
      </c>
      <c r="I365" s="250"/>
      <c r="J365" s="250"/>
      <c r="K365" s="250"/>
      <c r="L365" s="250"/>
      <c r="M365" s="131">
        <v>0</v>
      </c>
      <c r="N365" s="131">
        <v>0</v>
      </c>
      <c r="O365" s="131">
        <v>0</v>
      </c>
      <c r="P365" s="253"/>
    </row>
    <row r="366" spans="1:21" s="43" customFormat="1" ht="58.5" customHeight="1">
      <c r="A366" s="319"/>
      <c r="B366" s="254"/>
      <c r="C366" s="239"/>
      <c r="D366" s="99" t="s">
        <v>50</v>
      </c>
      <c r="E366" s="131">
        <v>80.255589999999998</v>
      </c>
      <c r="F366" s="173">
        <f t="shared" si="131"/>
        <v>417.94655</v>
      </c>
      <c r="G366" s="131">
        <v>251.91655</v>
      </c>
      <c r="H366" s="250">
        <v>166.03</v>
      </c>
      <c r="I366" s="250"/>
      <c r="J366" s="250"/>
      <c r="K366" s="250"/>
      <c r="L366" s="250"/>
      <c r="M366" s="131">
        <v>0</v>
      </c>
      <c r="N366" s="131">
        <v>0</v>
      </c>
      <c r="O366" s="131">
        <v>0</v>
      </c>
      <c r="P366" s="253"/>
    </row>
    <row r="367" spans="1:21" s="43" customFormat="1" ht="19">
      <c r="A367" s="319"/>
      <c r="B367" s="254"/>
      <c r="C367" s="239"/>
      <c r="D367" s="99" t="s">
        <v>90</v>
      </c>
      <c r="E367" s="131"/>
      <c r="F367" s="173">
        <f t="shared" si="131"/>
        <v>0</v>
      </c>
      <c r="G367" s="131">
        <v>0</v>
      </c>
      <c r="H367" s="250">
        <v>0</v>
      </c>
      <c r="I367" s="250"/>
      <c r="J367" s="250"/>
      <c r="K367" s="250"/>
      <c r="L367" s="250"/>
      <c r="M367" s="131">
        <v>0</v>
      </c>
      <c r="N367" s="131">
        <v>0</v>
      </c>
      <c r="O367" s="131">
        <v>0</v>
      </c>
      <c r="P367" s="253"/>
    </row>
    <row r="368" spans="1:21" s="43" customFormat="1" ht="26.25" customHeight="1">
      <c r="A368" s="319"/>
      <c r="B368" s="237" t="s">
        <v>202</v>
      </c>
      <c r="C368" s="234" t="s">
        <v>129</v>
      </c>
      <c r="D368" s="234" t="s">
        <v>129</v>
      </c>
      <c r="E368" s="145"/>
      <c r="F368" s="248" t="s">
        <v>130</v>
      </c>
      <c r="G368" s="146" t="s">
        <v>287</v>
      </c>
      <c r="H368" s="246" t="s">
        <v>288</v>
      </c>
      <c r="I368" s="247" t="s">
        <v>131</v>
      </c>
      <c r="J368" s="247"/>
      <c r="K368" s="247"/>
      <c r="L368" s="247"/>
      <c r="M368" s="146" t="s">
        <v>136</v>
      </c>
      <c r="N368" s="146" t="s">
        <v>137</v>
      </c>
      <c r="O368" s="146" t="s">
        <v>138</v>
      </c>
      <c r="P368" s="257" t="s">
        <v>129</v>
      </c>
      <c r="Q368" s="44"/>
    </row>
    <row r="369" spans="1:17" s="43" customFormat="1" ht="26.25" customHeight="1">
      <c r="A369" s="319"/>
      <c r="B369" s="237"/>
      <c r="C369" s="234"/>
      <c r="D369" s="234"/>
      <c r="E369" s="145"/>
      <c r="F369" s="248"/>
      <c r="G369" s="145"/>
      <c r="H369" s="246"/>
      <c r="I369" s="145" t="s">
        <v>132</v>
      </c>
      <c r="J369" s="145" t="s">
        <v>133</v>
      </c>
      <c r="K369" s="145" t="s">
        <v>134</v>
      </c>
      <c r="L369" s="145" t="s">
        <v>135</v>
      </c>
      <c r="M369" s="145"/>
      <c r="N369" s="145"/>
      <c r="O369" s="145"/>
      <c r="P369" s="257"/>
      <c r="Q369" s="44"/>
    </row>
    <row r="370" spans="1:17" s="43" customFormat="1" ht="33" customHeight="1">
      <c r="A370" s="320"/>
      <c r="B370" s="237"/>
      <c r="C370" s="234"/>
      <c r="D370" s="234"/>
      <c r="E370" s="145"/>
      <c r="F370" s="400">
        <f>H370+G370+M370+N370+O370</f>
        <v>8</v>
      </c>
      <c r="G370" s="232">
        <v>5</v>
      </c>
      <c r="H370" s="232">
        <v>3</v>
      </c>
      <c r="I370" s="232">
        <v>0</v>
      </c>
      <c r="J370" s="232">
        <v>0</v>
      </c>
      <c r="K370" s="232">
        <v>0</v>
      </c>
      <c r="L370" s="232">
        <v>3</v>
      </c>
      <c r="M370" s="147">
        <v>0</v>
      </c>
      <c r="N370" s="147">
        <v>0</v>
      </c>
      <c r="O370" s="147">
        <v>0</v>
      </c>
      <c r="P370" s="257"/>
      <c r="Q370" s="44"/>
    </row>
    <row r="371" spans="1:17" s="43" customFormat="1" ht="38.25" customHeight="1">
      <c r="A371" s="305" t="s">
        <v>289</v>
      </c>
      <c r="B371" s="254" t="s">
        <v>110</v>
      </c>
      <c r="C371" s="239" t="s">
        <v>89</v>
      </c>
      <c r="D371" s="99" t="s">
        <v>41</v>
      </c>
      <c r="E371" s="131"/>
      <c r="F371" s="173">
        <f>SUM(G371:O371)</f>
        <v>0</v>
      </c>
      <c r="G371" s="131">
        <v>0</v>
      </c>
      <c r="H371" s="250">
        <v>0</v>
      </c>
      <c r="I371" s="250"/>
      <c r="J371" s="250"/>
      <c r="K371" s="250"/>
      <c r="L371" s="250"/>
      <c r="M371" s="131">
        <v>0</v>
      </c>
      <c r="N371" s="131">
        <v>0</v>
      </c>
      <c r="O371" s="131">
        <v>0</v>
      </c>
      <c r="P371" s="258" t="s">
        <v>3</v>
      </c>
    </row>
    <row r="372" spans="1:17" s="43" customFormat="1" ht="37.5" customHeight="1">
      <c r="A372" s="305"/>
      <c r="B372" s="254"/>
      <c r="C372" s="239"/>
      <c r="D372" s="99" t="s">
        <v>1</v>
      </c>
      <c r="E372" s="151">
        <v>497</v>
      </c>
      <c r="F372" s="173">
        <f t="shared" ref="F372:F374" si="135">SUM(G372:O372)</f>
        <v>0</v>
      </c>
      <c r="G372" s="151">
        <v>0</v>
      </c>
      <c r="H372" s="259">
        <v>0</v>
      </c>
      <c r="I372" s="259"/>
      <c r="J372" s="259"/>
      <c r="K372" s="259"/>
      <c r="L372" s="259"/>
      <c r="M372" s="151">
        <v>0</v>
      </c>
      <c r="N372" s="151">
        <v>0</v>
      </c>
      <c r="O372" s="151">
        <v>0</v>
      </c>
      <c r="P372" s="258"/>
    </row>
    <row r="373" spans="1:17" s="43" customFormat="1" ht="57">
      <c r="A373" s="305"/>
      <c r="B373" s="254"/>
      <c r="C373" s="239"/>
      <c r="D373" s="99" t="s">
        <v>50</v>
      </c>
      <c r="E373" s="151">
        <v>1488.3896299999999</v>
      </c>
      <c r="F373" s="173">
        <f t="shared" si="135"/>
        <v>6000</v>
      </c>
      <c r="G373" s="151">
        <v>5000</v>
      </c>
      <c r="H373" s="399">
        <v>1000</v>
      </c>
      <c r="I373" s="399"/>
      <c r="J373" s="399"/>
      <c r="K373" s="399"/>
      <c r="L373" s="399"/>
      <c r="M373" s="151">
        <v>0</v>
      </c>
      <c r="N373" s="151">
        <v>0</v>
      </c>
      <c r="O373" s="151">
        <v>0</v>
      </c>
      <c r="P373" s="258"/>
    </row>
    <row r="374" spans="1:17" s="43" customFormat="1" ht="19">
      <c r="A374" s="305"/>
      <c r="B374" s="254"/>
      <c r="C374" s="239"/>
      <c r="D374" s="99" t="s">
        <v>90</v>
      </c>
      <c r="E374" s="151"/>
      <c r="F374" s="173">
        <f t="shared" si="135"/>
        <v>0</v>
      </c>
      <c r="G374" s="151">
        <v>0</v>
      </c>
      <c r="H374" s="259">
        <v>0</v>
      </c>
      <c r="I374" s="259"/>
      <c r="J374" s="259"/>
      <c r="K374" s="259"/>
      <c r="L374" s="259"/>
      <c r="M374" s="151">
        <v>0</v>
      </c>
      <c r="N374" s="151">
        <v>0</v>
      </c>
      <c r="O374" s="151">
        <v>0</v>
      </c>
      <c r="P374" s="258"/>
    </row>
    <row r="375" spans="1:17" s="43" customFormat="1" ht="27" customHeight="1">
      <c r="A375" s="305"/>
      <c r="B375" s="237" t="s">
        <v>203</v>
      </c>
      <c r="C375" s="234" t="s">
        <v>129</v>
      </c>
      <c r="D375" s="234" t="s">
        <v>129</v>
      </c>
      <c r="E375" s="145"/>
      <c r="F375" s="248" t="s">
        <v>130</v>
      </c>
      <c r="G375" s="146" t="s">
        <v>287</v>
      </c>
      <c r="H375" s="246" t="s">
        <v>288</v>
      </c>
      <c r="I375" s="247" t="s">
        <v>131</v>
      </c>
      <c r="J375" s="247"/>
      <c r="K375" s="247"/>
      <c r="L375" s="247"/>
      <c r="M375" s="146" t="s">
        <v>136</v>
      </c>
      <c r="N375" s="146" t="s">
        <v>137</v>
      </c>
      <c r="O375" s="146" t="s">
        <v>138</v>
      </c>
      <c r="P375" s="257" t="s">
        <v>129</v>
      </c>
      <c r="Q375" s="44"/>
    </row>
    <row r="376" spans="1:17" s="43" customFormat="1" ht="23.25" customHeight="1">
      <c r="A376" s="305"/>
      <c r="B376" s="237"/>
      <c r="C376" s="234"/>
      <c r="D376" s="234"/>
      <c r="E376" s="145"/>
      <c r="F376" s="248"/>
      <c r="G376" s="145"/>
      <c r="H376" s="246"/>
      <c r="I376" s="145" t="s">
        <v>132</v>
      </c>
      <c r="J376" s="145" t="s">
        <v>133</v>
      </c>
      <c r="K376" s="145" t="s">
        <v>134</v>
      </c>
      <c r="L376" s="145" t="s">
        <v>135</v>
      </c>
      <c r="M376" s="145"/>
      <c r="N376" s="145"/>
      <c r="O376" s="145"/>
      <c r="P376" s="257"/>
      <c r="Q376" s="44"/>
    </row>
    <row r="377" spans="1:17" s="43" customFormat="1" ht="27.75" customHeight="1">
      <c r="A377" s="305"/>
      <c r="B377" s="237"/>
      <c r="C377" s="234"/>
      <c r="D377" s="234"/>
      <c r="E377" s="145"/>
      <c r="F377" s="400">
        <f>H377+G377+M377+N377+O377</f>
        <v>8</v>
      </c>
      <c r="G377" s="232">
        <v>5</v>
      </c>
      <c r="H377" s="232">
        <v>3</v>
      </c>
      <c r="I377" s="232">
        <v>0</v>
      </c>
      <c r="J377" s="232">
        <v>0</v>
      </c>
      <c r="K377" s="232">
        <v>0</v>
      </c>
      <c r="L377" s="232">
        <v>3</v>
      </c>
      <c r="M377" s="147">
        <v>0</v>
      </c>
      <c r="N377" s="147">
        <v>0</v>
      </c>
      <c r="O377" s="147">
        <v>0</v>
      </c>
      <c r="P377" s="257"/>
      <c r="Q377" s="44"/>
    </row>
    <row r="378" spans="1:17" s="43" customFormat="1" ht="55.5" customHeight="1">
      <c r="A378" s="305" t="s">
        <v>290</v>
      </c>
      <c r="B378" s="254" t="s">
        <v>153</v>
      </c>
      <c r="C378" s="239" t="s">
        <v>89</v>
      </c>
      <c r="D378" s="99" t="s">
        <v>41</v>
      </c>
      <c r="E378" s="131">
        <v>3107.4</v>
      </c>
      <c r="F378" s="173">
        <f>SUM(G378:O378)</f>
        <v>11262.628569999999</v>
      </c>
      <c r="G378" s="131">
        <v>0</v>
      </c>
      <c r="H378" s="250">
        <f>11262.63-0.00143</f>
        <v>11262.628569999999</v>
      </c>
      <c r="I378" s="250"/>
      <c r="J378" s="250"/>
      <c r="K378" s="250"/>
      <c r="L378" s="250"/>
      <c r="M378" s="131">
        <v>0</v>
      </c>
      <c r="N378" s="131">
        <v>0</v>
      </c>
      <c r="O378" s="131">
        <v>0</v>
      </c>
      <c r="P378" s="253" t="s">
        <v>3</v>
      </c>
    </row>
    <row r="379" spans="1:17" s="43" customFormat="1" ht="55.5" customHeight="1">
      <c r="A379" s="305"/>
      <c r="B379" s="254"/>
      <c r="C379" s="239"/>
      <c r="D379" s="99" t="s">
        <v>1</v>
      </c>
      <c r="E379" s="131">
        <v>1035.8</v>
      </c>
      <c r="F379" s="173">
        <f t="shared" ref="F379:F381" si="136">SUM(G379:O379)</f>
        <v>3754.2114299999998</v>
      </c>
      <c r="G379" s="131">
        <v>0</v>
      </c>
      <c r="H379" s="250">
        <f>3754.21+0.00143</f>
        <v>3754.2114299999998</v>
      </c>
      <c r="I379" s="250"/>
      <c r="J379" s="250"/>
      <c r="K379" s="250"/>
      <c r="L379" s="250"/>
      <c r="M379" s="131">
        <v>0</v>
      </c>
      <c r="N379" s="131">
        <v>0</v>
      </c>
      <c r="O379" s="131">
        <v>0</v>
      </c>
      <c r="P379" s="253"/>
    </row>
    <row r="380" spans="1:17" s="43" customFormat="1" ht="55.5" customHeight="1">
      <c r="A380" s="305"/>
      <c r="B380" s="254"/>
      <c r="C380" s="239"/>
      <c r="D380" s="99" t="s">
        <v>50</v>
      </c>
      <c r="E380" s="131">
        <v>103.58</v>
      </c>
      <c r="F380" s="173">
        <f t="shared" si="136"/>
        <v>375.43</v>
      </c>
      <c r="G380" s="131">
        <v>0</v>
      </c>
      <c r="H380" s="250">
        <v>375.43</v>
      </c>
      <c r="I380" s="250"/>
      <c r="J380" s="250"/>
      <c r="K380" s="250"/>
      <c r="L380" s="250"/>
      <c r="M380" s="131">
        <v>0</v>
      </c>
      <c r="N380" s="131">
        <v>0</v>
      </c>
      <c r="O380" s="131">
        <v>0</v>
      </c>
      <c r="P380" s="253"/>
    </row>
    <row r="381" spans="1:17" s="43" customFormat="1" ht="55.5" customHeight="1">
      <c r="A381" s="305"/>
      <c r="B381" s="254"/>
      <c r="C381" s="239"/>
      <c r="D381" s="99" t="s">
        <v>90</v>
      </c>
      <c r="E381" s="131"/>
      <c r="F381" s="173">
        <f t="shared" si="136"/>
        <v>0</v>
      </c>
      <c r="G381" s="131">
        <v>0</v>
      </c>
      <c r="H381" s="250">
        <v>0</v>
      </c>
      <c r="I381" s="250"/>
      <c r="J381" s="250"/>
      <c r="K381" s="250"/>
      <c r="L381" s="250"/>
      <c r="M381" s="131">
        <v>0</v>
      </c>
      <c r="N381" s="131">
        <v>0</v>
      </c>
      <c r="O381" s="131">
        <v>0</v>
      </c>
      <c r="P381" s="253"/>
    </row>
    <row r="382" spans="1:17" s="43" customFormat="1" ht="23.25" customHeight="1">
      <c r="A382" s="305"/>
      <c r="B382" s="237" t="s">
        <v>204</v>
      </c>
      <c r="C382" s="234" t="s">
        <v>129</v>
      </c>
      <c r="D382" s="234" t="s">
        <v>129</v>
      </c>
      <c r="E382" s="145"/>
      <c r="F382" s="248" t="s">
        <v>130</v>
      </c>
      <c r="G382" s="146" t="s">
        <v>287</v>
      </c>
      <c r="H382" s="246" t="s">
        <v>288</v>
      </c>
      <c r="I382" s="247" t="s">
        <v>131</v>
      </c>
      <c r="J382" s="247"/>
      <c r="K382" s="247"/>
      <c r="L382" s="247"/>
      <c r="M382" s="146" t="s">
        <v>136</v>
      </c>
      <c r="N382" s="146" t="s">
        <v>137</v>
      </c>
      <c r="O382" s="146" t="s">
        <v>138</v>
      </c>
      <c r="P382" s="257" t="s">
        <v>129</v>
      </c>
      <c r="Q382" s="44"/>
    </row>
    <row r="383" spans="1:17" s="43" customFormat="1" ht="23.25" customHeight="1">
      <c r="A383" s="305"/>
      <c r="B383" s="237"/>
      <c r="C383" s="234"/>
      <c r="D383" s="234"/>
      <c r="E383" s="145"/>
      <c r="F383" s="248"/>
      <c r="G383" s="145"/>
      <c r="H383" s="246"/>
      <c r="I383" s="145" t="s">
        <v>132</v>
      </c>
      <c r="J383" s="145" t="s">
        <v>133</v>
      </c>
      <c r="K383" s="145" t="s">
        <v>134</v>
      </c>
      <c r="L383" s="145" t="s">
        <v>135</v>
      </c>
      <c r="M383" s="145"/>
      <c r="N383" s="145"/>
      <c r="O383" s="145"/>
      <c r="P383" s="257"/>
      <c r="Q383" s="44"/>
    </row>
    <row r="384" spans="1:17" s="43" customFormat="1" ht="27.75" customHeight="1">
      <c r="A384" s="305"/>
      <c r="B384" s="237"/>
      <c r="C384" s="234"/>
      <c r="D384" s="234"/>
      <c r="E384" s="145"/>
      <c r="F384" s="174">
        <f>H384+G384+M384+N384+O384</f>
        <v>3</v>
      </c>
      <c r="G384" s="147">
        <v>0</v>
      </c>
      <c r="H384" s="147">
        <v>3</v>
      </c>
      <c r="I384" s="147">
        <v>1</v>
      </c>
      <c r="J384" s="147">
        <v>1</v>
      </c>
      <c r="K384" s="147">
        <v>1</v>
      </c>
      <c r="L384" s="147">
        <v>3</v>
      </c>
      <c r="M384" s="147">
        <v>0</v>
      </c>
      <c r="N384" s="147">
        <v>0</v>
      </c>
      <c r="O384" s="147">
        <v>0</v>
      </c>
      <c r="P384" s="257"/>
      <c r="Q384" s="44"/>
    </row>
    <row r="385" spans="1:17" s="43" customFormat="1" ht="36" customHeight="1">
      <c r="A385" s="328" t="s">
        <v>274</v>
      </c>
      <c r="B385" s="240" t="s">
        <v>154</v>
      </c>
      <c r="C385" s="316" t="s">
        <v>89</v>
      </c>
      <c r="D385" s="99" t="s">
        <v>41</v>
      </c>
      <c r="E385" s="131"/>
      <c r="F385" s="173">
        <f>SUM(H385:O385)</f>
        <v>0</v>
      </c>
      <c r="G385" s="131">
        <v>0</v>
      </c>
      <c r="H385" s="250">
        <v>0</v>
      </c>
      <c r="I385" s="250"/>
      <c r="J385" s="250"/>
      <c r="K385" s="250"/>
      <c r="L385" s="250"/>
      <c r="M385" s="131">
        <v>0</v>
      </c>
      <c r="N385" s="131">
        <v>0</v>
      </c>
      <c r="O385" s="131">
        <v>0</v>
      </c>
      <c r="P385" s="253" t="s">
        <v>3</v>
      </c>
    </row>
    <row r="386" spans="1:17" s="43" customFormat="1" ht="37.5" customHeight="1">
      <c r="A386" s="328"/>
      <c r="B386" s="240"/>
      <c r="C386" s="316"/>
      <c r="D386" s="140" t="s">
        <v>1</v>
      </c>
      <c r="E386" s="152">
        <v>0</v>
      </c>
      <c r="F386" s="173">
        <f>SUM(H386:O386)</f>
        <v>0</v>
      </c>
      <c r="G386" s="152">
        <v>0</v>
      </c>
      <c r="H386" s="292">
        <v>0</v>
      </c>
      <c r="I386" s="292"/>
      <c r="J386" s="292"/>
      <c r="K386" s="292"/>
      <c r="L386" s="292"/>
      <c r="M386" s="152">
        <v>0</v>
      </c>
      <c r="N386" s="152">
        <v>0</v>
      </c>
      <c r="O386" s="152">
        <v>0</v>
      </c>
      <c r="P386" s="253"/>
    </row>
    <row r="387" spans="1:17" s="43" customFormat="1" ht="56.25" customHeight="1">
      <c r="A387" s="328"/>
      <c r="B387" s="240"/>
      <c r="C387" s="316"/>
      <c r="D387" s="99" t="s">
        <v>50</v>
      </c>
      <c r="E387" s="151">
        <v>0</v>
      </c>
      <c r="F387" s="173">
        <f>SUM(H387:O387)</f>
        <v>0</v>
      </c>
      <c r="G387" s="152">
        <v>0</v>
      </c>
      <c r="H387" s="292">
        <v>0</v>
      </c>
      <c r="I387" s="292"/>
      <c r="J387" s="292"/>
      <c r="K387" s="292"/>
      <c r="L387" s="292"/>
      <c r="M387" s="152">
        <v>0</v>
      </c>
      <c r="N387" s="152">
        <v>0</v>
      </c>
      <c r="O387" s="152">
        <v>0</v>
      </c>
      <c r="P387" s="253"/>
    </row>
    <row r="388" spans="1:17" s="43" customFormat="1" ht="37.5" customHeight="1">
      <c r="A388" s="328"/>
      <c r="B388" s="240"/>
      <c r="C388" s="316"/>
      <c r="D388" s="99" t="s">
        <v>90</v>
      </c>
      <c r="E388" s="151"/>
      <c r="F388" s="173">
        <f>SUM(H388:O388)</f>
        <v>0</v>
      </c>
      <c r="G388" s="152">
        <v>0</v>
      </c>
      <c r="H388" s="292">
        <v>0</v>
      </c>
      <c r="I388" s="292"/>
      <c r="J388" s="292"/>
      <c r="K388" s="292"/>
      <c r="L388" s="292"/>
      <c r="M388" s="152">
        <v>0</v>
      </c>
      <c r="N388" s="152">
        <v>0</v>
      </c>
      <c r="O388" s="152">
        <v>0</v>
      </c>
      <c r="P388" s="253"/>
    </row>
    <row r="389" spans="1:17" s="43" customFormat="1" ht="22.5" customHeight="1">
      <c r="A389" s="328"/>
      <c r="B389" s="237" t="s">
        <v>205</v>
      </c>
      <c r="C389" s="234" t="s">
        <v>129</v>
      </c>
      <c r="D389" s="234" t="s">
        <v>129</v>
      </c>
      <c r="E389" s="145"/>
      <c r="F389" s="248" t="s">
        <v>130</v>
      </c>
      <c r="G389" s="146">
        <v>2024</v>
      </c>
      <c r="H389" s="246">
        <v>2023</v>
      </c>
      <c r="I389" s="247" t="s">
        <v>131</v>
      </c>
      <c r="J389" s="247"/>
      <c r="K389" s="247"/>
      <c r="L389" s="247"/>
      <c r="M389" s="146" t="s">
        <v>136</v>
      </c>
      <c r="N389" s="146" t="s">
        <v>137</v>
      </c>
      <c r="O389" s="146" t="s">
        <v>138</v>
      </c>
      <c r="P389" s="257" t="s">
        <v>129</v>
      </c>
      <c r="Q389" s="44"/>
    </row>
    <row r="390" spans="1:17" s="43" customFormat="1" ht="21" customHeight="1">
      <c r="A390" s="328"/>
      <c r="B390" s="237"/>
      <c r="C390" s="234"/>
      <c r="D390" s="234"/>
      <c r="E390" s="145"/>
      <c r="F390" s="248"/>
      <c r="G390" s="145"/>
      <c r="H390" s="246"/>
      <c r="I390" s="145" t="s">
        <v>132</v>
      </c>
      <c r="J390" s="145" t="s">
        <v>133</v>
      </c>
      <c r="K390" s="145" t="s">
        <v>134</v>
      </c>
      <c r="L390" s="145" t="s">
        <v>135</v>
      </c>
      <c r="M390" s="145"/>
      <c r="N390" s="145"/>
      <c r="O390" s="145"/>
      <c r="P390" s="257"/>
      <c r="Q390" s="44"/>
    </row>
    <row r="391" spans="1:17" s="43" customFormat="1" ht="27.75" customHeight="1">
      <c r="A391" s="328"/>
      <c r="B391" s="237"/>
      <c r="C391" s="234"/>
      <c r="D391" s="234"/>
      <c r="E391" s="145"/>
      <c r="F391" s="174">
        <v>0</v>
      </c>
      <c r="G391" s="147">
        <v>0</v>
      </c>
      <c r="H391" s="147">
        <v>0</v>
      </c>
      <c r="I391" s="147">
        <v>0</v>
      </c>
      <c r="J391" s="147">
        <v>0</v>
      </c>
      <c r="K391" s="147">
        <v>0</v>
      </c>
      <c r="L391" s="147">
        <v>0</v>
      </c>
      <c r="M391" s="147">
        <v>0</v>
      </c>
      <c r="N391" s="147">
        <v>0</v>
      </c>
      <c r="O391" s="147">
        <v>0</v>
      </c>
      <c r="P391" s="257"/>
      <c r="Q391" s="44"/>
    </row>
    <row r="392" spans="1:17" s="9" customFormat="1" ht="18.75" customHeight="1">
      <c r="A392" s="309" t="s">
        <v>15</v>
      </c>
      <c r="B392" s="238" t="s">
        <v>79</v>
      </c>
      <c r="C392" s="238" t="s">
        <v>89</v>
      </c>
      <c r="D392" s="157" t="s">
        <v>2</v>
      </c>
      <c r="E392" s="158">
        <f>E394+E395</f>
        <v>0</v>
      </c>
      <c r="F392" s="173">
        <f>SUM(G392:O392)</f>
        <v>0</v>
      </c>
      <c r="G392" s="158">
        <f t="shared" ref="G392" si="137">G393+G394+G395+G396</f>
        <v>0</v>
      </c>
      <c r="H392" s="252">
        <f>H393+H394+H395+H396</f>
        <v>0</v>
      </c>
      <c r="I392" s="252"/>
      <c r="J392" s="252"/>
      <c r="K392" s="252"/>
      <c r="L392" s="252"/>
      <c r="M392" s="158">
        <f t="shared" ref="M392:O392" si="138">M393+M394+M395+M396</f>
        <v>0</v>
      </c>
      <c r="N392" s="158">
        <f t="shared" si="138"/>
        <v>0</v>
      </c>
      <c r="O392" s="158">
        <f t="shared" si="138"/>
        <v>0</v>
      </c>
      <c r="P392" s="262"/>
    </row>
    <row r="393" spans="1:17" s="9" customFormat="1" ht="37.5" customHeight="1">
      <c r="A393" s="309"/>
      <c r="B393" s="238"/>
      <c r="C393" s="238"/>
      <c r="D393" s="157" t="s">
        <v>41</v>
      </c>
      <c r="E393" s="158"/>
      <c r="F393" s="173">
        <f t="shared" ref="F393:F400" si="139">SUM(G393:O393)</f>
        <v>0</v>
      </c>
      <c r="G393" s="159">
        <f t="shared" ref="G393" si="140">G397</f>
        <v>0</v>
      </c>
      <c r="H393" s="251">
        <f>H397</f>
        <v>0</v>
      </c>
      <c r="I393" s="251"/>
      <c r="J393" s="251"/>
      <c r="K393" s="251"/>
      <c r="L393" s="251"/>
      <c r="M393" s="159">
        <f t="shared" ref="M393:O393" si="141">M397</f>
        <v>0</v>
      </c>
      <c r="N393" s="159">
        <f t="shared" si="141"/>
        <v>0</v>
      </c>
      <c r="O393" s="159">
        <f t="shared" si="141"/>
        <v>0</v>
      </c>
      <c r="P393" s="262"/>
    </row>
    <row r="394" spans="1:17" s="9" customFormat="1" ht="39.75" customHeight="1">
      <c r="A394" s="309"/>
      <c r="B394" s="238"/>
      <c r="C394" s="238"/>
      <c r="D394" s="157" t="s">
        <v>1</v>
      </c>
      <c r="E394" s="159">
        <f>E398</f>
        <v>0</v>
      </c>
      <c r="F394" s="173">
        <f t="shared" si="139"/>
        <v>0</v>
      </c>
      <c r="G394" s="159">
        <f t="shared" ref="G394" si="142">G398</f>
        <v>0</v>
      </c>
      <c r="H394" s="251">
        <f>H398</f>
        <v>0</v>
      </c>
      <c r="I394" s="251"/>
      <c r="J394" s="251"/>
      <c r="K394" s="251"/>
      <c r="L394" s="251"/>
      <c r="M394" s="159">
        <f t="shared" ref="M394:O394" si="143">M398</f>
        <v>0</v>
      </c>
      <c r="N394" s="159">
        <f t="shared" si="143"/>
        <v>0</v>
      </c>
      <c r="O394" s="159">
        <f t="shared" si="143"/>
        <v>0</v>
      </c>
      <c r="P394" s="262"/>
    </row>
    <row r="395" spans="1:17" s="9" customFormat="1" ht="58.5" customHeight="1">
      <c r="A395" s="309"/>
      <c r="B395" s="238"/>
      <c r="C395" s="238"/>
      <c r="D395" s="157" t="s">
        <v>50</v>
      </c>
      <c r="E395" s="159">
        <f>E399</f>
        <v>0</v>
      </c>
      <c r="F395" s="173">
        <f t="shared" si="139"/>
        <v>0</v>
      </c>
      <c r="G395" s="159">
        <f t="shared" ref="G395" si="144">G399</f>
        <v>0</v>
      </c>
      <c r="H395" s="251">
        <f>H399</f>
        <v>0</v>
      </c>
      <c r="I395" s="251"/>
      <c r="J395" s="251"/>
      <c r="K395" s="251"/>
      <c r="L395" s="251"/>
      <c r="M395" s="159">
        <f t="shared" ref="M395:O395" si="145">M399</f>
        <v>0</v>
      </c>
      <c r="N395" s="159">
        <f t="shared" si="145"/>
        <v>0</v>
      </c>
      <c r="O395" s="159">
        <f t="shared" si="145"/>
        <v>0</v>
      </c>
      <c r="P395" s="262"/>
    </row>
    <row r="396" spans="1:17" s="9" customFormat="1" ht="19">
      <c r="A396" s="309"/>
      <c r="B396" s="238"/>
      <c r="C396" s="238"/>
      <c r="D396" s="157" t="s">
        <v>90</v>
      </c>
      <c r="E396" s="159"/>
      <c r="F396" s="173">
        <f t="shared" si="139"/>
        <v>0</v>
      </c>
      <c r="G396" s="159">
        <f t="shared" ref="G396" si="146">G400</f>
        <v>0</v>
      </c>
      <c r="H396" s="251">
        <f>H400</f>
        <v>0</v>
      </c>
      <c r="I396" s="251"/>
      <c r="J396" s="251"/>
      <c r="K396" s="251"/>
      <c r="L396" s="251"/>
      <c r="M396" s="159">
        <f t="shared" ref="M396:O396" si="147">M400</f>
        <v>0</v>
      </c>
      <c r="N396" s="159">
        <f t="shared" si="147"/>
        <v>0</v>
      </c>
      <c r="O396" s="159">
        <f t="shared" si="147"/>
        <v>0</v>
      </c>
      <c r="P396" s="262"/>
    </row>
    <row r="397" spans="1:17" s="9" customFormat="1" ht="38.25" customHeight="1">
      <c r="A397" s="305" t="s">
        <v>128</v>
      </c>
      <c r="B397" s="254" t="s">
        <v>111</v>
      </c>
      <c r="C397" s="239" t="s">
        <v>89</v>
      </c>
      <c r="D397" s="99" t="s">
        <v>41</v>
      </c>
      <c r="E397" s="134"/>
      <c r="F397" s="173">
        <f t="shared" si="139"/>
        <v>0</v>
      </c>
      <c r="G397" s="134">
        <v>0</v>
      </c>
      <c r="H397" s="270">
        <v>0</v>
      </c>
      <c r="I397" s="270"/>
      <c r="J397" s="270"/>
      <c r="K397" s="270"/>
      <c r="L397" s="270"/>
      <c r="M397" s="134">
        <v>0</v>
      </c>
      <c r="N397" s="134">
        <v>0</v>
      </c>
      <c r="O397" s="134">
        <v>0</v>
      </c>
      <c r="P397" s="258" t="s">
        <v>3</v>
      </c>
    </row>
    <row r="398" spans="1:17" s="43" customFormat="1" ht="37.5" customHeight="1">
      <c r="A398" s="305"/>
      <c r="B398" s="254"/>
      <c r="C398" s="239"/>
      <c r="D398" s="99" t="s">
        <v>1</v>
      </c>
      <c r="E398" s="151">
        <v>0</v>
      </c>
      <c r="F398" s="173">
        <f t="shared" si="139"/>
        <v>0</v>
      </c>
      <c r="G398" s="151">
        <v>0</v>
      </c>
      <c r="H398" s="259">
        <v>0</v>
      </c>
      <c r="I398" s="259"/>
      <c r="J398" s="259"/>
      <c r="K398" s="259"/>
      <c r="L398" s="259"/>
      <c r="M398" s="151">
        <v>0</v>
      </c>
      <c r="N398" s="151">
        <v>0</v>
      </c>
      <c r="O398" s="151">
        <v>0</v>
      </c>
      <c r="P398" s="258"/>
    </row>
    <row r="399" spans="1:17" s="43" customFormat="1" ht="60" customHeight="1">
      <c r="A399" s="305"/>
      <c r="B399" s="254"/>
      <c r="C399" s="239"/>
      <c r="D399" s="99" t="s">
        <v>50</v>
      </c>
      <c r="E399" s="151">
        <v>0</v>
      </c>
      <c r="F399" s="173">
        <f t="shared" si="139"/>
        <v>0</v>
      </c>
      <c r="G399" s="151">
        <v>0</v>
      </c>
      <c r="H399" s="259">
        <v>0</v>
      </c>
      <c r="I399" s="259"/>
      <c r="J399" s="259"/>
      <c r="K399" s="259"/>
      <c r="L399" s="259"/>
      <c r="M399" s="151">
        <v>0</v>
      </c>
      <c r="N399" s="151">
        <v>0</v>
      </c>
      <c r="O399" s="151">
        <v>0</v>
      </c>
      <c r="P399" s="258"/>
    </row>
    <row r="400" spans="1:17" s="43" customFormat="1" ht="19">
      <c r="A400" s="305"/>
      <c r="B400" s="254"/>
      <c r="C400" s="239"/>
      <c r="D400" s="99" t="s">
        <v>90</v>
      </c>
      <c r="E400" s="151"/>
      <c r="F400" s="173">
        <f t="shared" si="139"/>
        <v>0</v>
      </c>
      <c r="G400" s="151">
        <v>0</v>
      </c>
      <c r="H400" s="259">
        <v>0</v>
      </c>
      <c r="I400" s="259"/>
      <c r="J400" s="259"/>
      <c r="K400" s="259"/>
      <c r="L400" s="259"/>
      <c r="M400" s="151">
        <v>0</v>
      </c>
      <c r="N400" s="151">
        <v>0</v>
      </c>
      <c r="O400" s="151">
        <v>0</v>
      </c>
      <c r="P400" s="258"/>
    </row>
    <row r="401" spans="1:20" s="43" customFormat="1" ht="27" customHeight="1">
      <c r="A401" s="305"/>
      <c r="B401" s="237" t="s">
        <v>206</v>
      </c>
      <c r="C401" s="234" t="s">
        <v>129</v>
      </c>
      <c r="D401" s="234" t="s">
        <v>129</v>
      </c>
      <c r="E401" s="145"/>
      <c r="F401" s="248" t="s">
        <v>130</v>
      </c>
      <c r="G401" s="146" t="s">
        <v>287</v>
      </c>
      <c r="H401" s="246" t="s">
        <v>288</v>
      </c>
      <c r="I401" s="247" t="s">
        <v>131</v>
      </c>
      <c r="J401" s="247"/>
      <c r="K401" s="247"/>
      <c r="L401" s="247"/>
      <c r="M401" s="146" t="s">
        <v>136</v>
      </c>
      <c r="N401" s="146" t="s">
        <v>137</v>
      </c>
      <c r="O401" s="146" t="s">
        <v>138</v>
      </c>
      <c r="P401" s="257" t="s">
        <v>129</v>
      </c>
      <c r="Q401" s="44"/>
    </row>
    <row r="402" spans="1:20" s="43" customFormat="1" ht="21.75" customHeight="1">
      <c r="A402" s="305"/>
      <c r="B402" s="237"/>
      <c r="C402" s="234"/>
      <c r="D402" s="234"/>
      <c r="E402" s="145"/>
      <c r="F402" s="248"/>
      <c r="G402" s="145"/>
      <c r="H402" s="246"/>
      <c r="I402" s="145" t="s">
        <v>132</v>
      </c>
      <c r="J402" s="145" t="s">
        <v>133</v>
      </c>
      <c r="K402" s="145" t="s">
        <v>134</v>
      </c>
      <c r="L402" s="145" t="s">
        <v>135</v>
      </c>
      <c r="M402" s="145"/>
      <c r="N402" s="145"/>
      <c r="O402" s="145"/>
      <c r="P402" s="257"/>
      <c r="Q402" s="44"/>
    </row>
    <row r="403" spans="1:20" s="43" customFormat="1" ht="30" customHeight="1">
      <c r="A403" s="305"/>
      <c r="B403" s="237"/>
      <c r="C403" s="234"/>
      <c r="D403" s="234"/>
      <c r="E403" s="145"/>
      <c r="F403" s="174">
        <v>0</v>
      </c>
      <c r="G403" s="147">
        <v>0</v>
      </c>
      <c r="H403" s="147">
        <v>0</v>
      </c>
      <c r="I403" s="147">
        <v>0</v>
      </c>
      <c r="J403" s="147">
        <v>0</v>
      </c>
      <c r="K403" s="147">
        <v>0</v>
      </c>
      <c r="L403" s="147">
        <v>0</v>
      </c>
      <c r="M403" s="147">
        <v>0</v>
      </c>
      <c r="N403" s="147">
        <v>0</v>
      </c>
      <c r="O403" s="147">
        <v>0</v>
      </c>
      <c r="P403" s="257"/>
      <c r="Q403" s="44"/>
    </row>
    <row r="404" spans="1:20" s="9" customFormat="1" ht="18.75" customHeight="1">
      <c r="A404" s="315" t="s">
        <v>291</v>
      </c>
      <c r="B404" s="317" t="s">
        <v>277</v>
      </c>
      <c r="C404" s="282" t="s">
        <v>89</v>
      </c>
      <c r="D404" s="166" t="s">
        <v>2</v>
      </c>
      <c r="E404" s="167" t="e">
        <f>E406+E407+E405</f>
        <v>#REF!</v>
      </c>
      <c r="F404" s="173">
        <f>SUM(G404:O404)</f>
        <v>361044</v>
      </c>
      <c r="G404" s="167">
        <f t="shared" ref="G404" si="148">G405+G406+G407+G408</f>
        <v>69708</v>
      </c>
      <c r="H404" s="295">
        <f>H405+H406+H407+H408</f>
        <v>64467</v>
      </c>
      <c r="I404" s="295"/>
      <c r="J404" s="295"/>
      <c r="K404" s="295"/>
      <c r="L404" s="295"/>
      <c r="M404" s="167">
        <f t="shared" ref="M404:O404" si="149">M405+M406+M407+M408</f>
        <v>75623</v>
      </c>
      <c r="N404" s="167">
        <f t="shared" si="149"/>
        <v>75623</v>
      </c>
      <c r="O404" s="167">
        <f t="shared" si="149"/>
        <v>75623</v>
      </c>
      <c r="P404" s="294"/>
      <c r="T404" s="50"/>
    </row>
    <row r="405" spans="1:20" s="9" customFormat="1" ht="39" customHeight="1">
      <c r="A405" s="315"/>
      <c r="B405" s="317"/>
      <c r="C405" s="282"/>
      <c r="D405" s="168" t="s">
        <v>41</v>
      </c>
      <c r="E405" s="169" t="e">
        <f>E435</f>
        <v>#REF!</v>
      </c>
      <c r="F405" s="173">
        <f t="shared" ref="F405:F412" si="150">SUM(G405:O405)</f>
        <v>0</v>
      </c>
      <c r="G405" s="169">
        <f t="shared" ref="G405" si="151">G409+G416</f>
        <v>0</v>
      </c>
      <c r="H405" s="296">
        <f>H409+H416</f>
        <v>0</v>
      </c>
      <c r="I405" s="296"/>
      <c r="J405" s="296"/>
      <c r="K405" s="296"/>
      <c r="L405" s="296"/>
      <c r="M405" s="169">
        <f t="shared" ref="M405:O405" si="152">M409+M416</f>
        <v>0</v>
      </c>
      <c r="N405" s="169">
        <f t="shared" si="152"/>
        <v>0</v>
      </c>
      <c r="O405" s="169">
        <f t="shared" si="152"/>
        <v>0</v>
      </c>
      <c r="P405" s="294"/>
      <c r="T405" s="50"/>
    </row>
    <row r="406" spans="1:20" s="9" customFormat="1" ht="36.75" customHeight="1">
      <c r="A406" s="315"/>
      <c r="B406" s="317"/>
      <c r="C406" s="282"/>
      <c r="D406" s="168" t="s">
        <v>1</v>
      </c>
      <c r="E406" s="169" t="e">
        <f>E410+E436</f>
        <v>#REF!</v>
      </c>
      <c r="F406" s="173">
        <f t="shared" si="150"/>
        <v>224455</v>
      </c>
      <c r="G406" s="169">
        <f t="shared" ref="G406" si="153">G410+G417</f>
        <v>42661</v>
      </c>
      <c r="H406" s="296">
        <f>H410+H417</f>
        <v>40227</v>
      </c>
      <c r="I406" s="296"/>
      <c r="J406" s="296"/>
      <c r="K406" s="296"/>
      <c r="L406" s="296"/>
      <c r="M406" s="169">
        <f t="shared" ref="M406:O406" si="154">M410+M417</f>
        <v>47189</v>
      </c>
      <c r="N406" s="169">
        <f t="shared" si="154"/>
        <v>47189</v>
      </c>
      <c r="O406" s="169">
        <f t="shared" si="154"/>
        <v>47189</v>
      </c>
      <c r="P406" s="294"/>
      <c r="T406" s="50"/>
    </row>
    <row r="407" spans="1:20" s="9" customFormat="1" ht="57" customHeight="1">
      <c r="A407" s="315"/>
      <c r="B407" s="317"/>
      <c r="C407" s="282"/>
      <c r="D407" s="168" t="s">
        <v>48</v>
      </c>
      <c r="E407" s="161" t="e">
        <f>E411+E437</f>
        <v>#REF!</v>
      </c>
      <c r="F407" s="173">
        <f t="shared" si="150"/>
        <v>136589</v>
      </c>
      <c r="G407" s="161">
        <f t="shared" ref="G407" si="155">G411+G418</f>
        <v>27047</v>
      </c>
      <c r="H407" s="281">
        <f>H411+H418</f>
        <v>24240</v>
      </c>
      <c r="I407" s="281"/>
      <c r="J407" s="281"/>
      <c r="K407" s="281"/>
      <c r="L407" s="281"/>
      <c r="M407" s="161">
        <f t="shared" ref="M407:O407" si="156">M411+M418</f>
        <v>28434</v>
      </c>
      <c r="N407" s="161">
        <f t="shared" si="156"/>
        <v>28434</v>
      </c>
      <c r="O407" s="161">
        <f t="shared" si="156"/>
        <v>28434</v>
      </c>
      <c r="P407" s="294"/>
      <c r="T407" s="50"/>
    </row>
    <row r="408" spans="1:20" s="9" customFormat="1" ht="19">
      <c r="A408" s="315"/>
      <c r="B408" s="317"/>
      <c r="C408" s="282"/>
      <c r="D408" s="168" t="s">
        <v>90</v>
      </c>
      <c r="E408" s="161"/>
      <c r="F408" s="173">
        <f t="shared" si="150"/>
        <v>0</v>
      </c>
      <c r="G408" s="161">
        <f t="shared" ref="G408" si="157">G412+G419</f>
        <v>0</v>
      </c>
      <c r="H408" s="281">
        <f>H412+H419</f>
        <v>0</v>
      </c>
      <c r="I408" s="281"/>
      <c r="J408" s="281"/>
      <c r="K408" s="281"/>
      <c r="L408" s="281"/>
      <c r="M408" s="161">
        <f t="shared" ref="M408:O408" si="158">M412+M419</f>
        <v>0</v>
      </c>
      <c r="N408" s="161">
        <f t="shared" si="158"/>
        <v>0</v>
      </c>
      <c r="O408" s="161">
        <f t="shared" si="158"/>
        <v>0</v>
      </c>
      <c r="P408" s="294"/>
      <c r="T408" s="50"/>
    </row>
    <row r="409" spans="1:20" s="9" customFormat="1" ht="36" customHeight="1">
      <c r="A409" s="286" t="s">
        <v>292</v>
      </c>
      <c r="B409" s="236" t="s">
        <v>114</v>
      </c>
      <c r="C409" s="271" t="s">
        <v>89</v>
      </c>
      <c r="D409" s="100" t="s">
        <v>41</v>
      </c>
      <c r="E409" s="135"/>
      <c r="F409" s="173">
        <f t="shared" si="150"/>
        <v>0</v>
      </c>
      <c r="G409" s="135">
        <v>0</v>
      </c>
      <c r="H409" s="291">
        <v>0</v>
      </c>
      <c r="I409" s="291"/>
      <c r="J409" s="291"/>
      <c r="K409" s="291"/>
      <c r="L409" s="291"/>
      <c r="M409" s="135">
        <v>0</v>
      </c>
      <c r="N409" s="135">
        <v>0</v>
      </c>
      <c r="O409" s="135">
        <v>0</v>
      </c>
      <c r="P409" s="293" t="s">
        <v>3</v>
      </c>
      <c r="T409" s="50"/>
    </row>
    <row r="410" spans="1:20" s="43" customFormat="1" ht="38">
      <c r="A410" s="286"/>
      <c r="B410" s="236"/>
      <c r="C410" s="271"/>
      <c r="D410" s="143" t="s">
        <v>1</v>
      </c>
      <c r="E410" s="144">
        <v>34122</v>
      </c>
      <c r="F410" s="173">
        <f t="shared" si="150"/>
        <v>224455</v>
      </c>
      <c r="G410" s="144">
        <v>42661</v>
      </c>
      <c r="H410" s="331">
        <f>47189-6962</f>
        <v>40227</v>
      </c>
      <c r="I410" s="331"/>
      <c r="J410" s="331"/>
      <c r="K410" s="331"/>
      <c r="L410" s="331"/>
      <c r="M410" s="144">
        <f t="shared" ref="M410:O410" si="159">60925-13736</f>
        <v>47189</v>
      </c>
      <c r="N410" s="144">
        <f t="shared" si="159"/>
        <v>47189</v>
      </c>
      <c r="O410" s="144">
        <f t="shared" si="159"/>
        <v>47189</v>
      </c>
      <c r="P410" s="293"/>
    </row>
    <row r="411" spans="1:20" s="43" customFormat="1" ht="57">
      <c r="A411" s="286"/>
      <c r="B411" s="236"/>
      <c r="C411" s="271"/>
      <c r="D411" s="143" t="s">
        <v>48</v>
      </c>
      <c r="E411" s="144">
        <v>20473</v>
      </c>
      <c r="F411" s="173">
        <f t="shared" si="150"/>
        <v>136589</v>
      </c>
      <c r="G411" s="144">
        <v>27047</v>
      </c>
      <c r="H411" s="331">
        <f>28434-4194</f>
        <v>24240</v>
      </c>
      <c r="I411" s="331"/>
      <c r="J411" s="331"/>
      <c r="K411" s="331"/>
      <c r="L411" s="331"/>
      <c r="M411" s="144">
        <f t="shared" ref="M411:O411" si="160">38626-10192</f>
        <v>28434</v>
      </c>
      <c r="N411" s="144">
        <f t="shared" si="160"/>
        <v>28434</v>
      </c>
      <c r="O411" s="144">
        <f t="shared" si="160"/>
        <v>28434</v>
      </c>
      <c r="P411" s="293"/>
    </row>
    <row r="412" spans="1:20" s="43" customFormat="1" ht="19">
      <c r="A412" s="286"/>
      <c r="B412" s="236"/>
      <c r="C412" s="271"/>
      <c r="D412" s="143" t="s">
        <v>90</v>
      </c>
      <c r="E412" s="144"/>
      <c r="F412" s="173">
        <f t="shared" si="150"/>
        <v>0</v>
      </c>
      <c r="G412" s="144">
        <v>0</v>
      </c>
      <c r="H412" s="261">
        <v>0</v>
      </c>
      <c r="I412" s="261"/>
      <c r="J412" s="261"/>
      <c r="K412" s="261"/>
      <c r="L412" s="261"/>
      <c r="M412" s="144">
        <v>0</v>
      </c>
      <c r="N412" s="144">
        <v>0</v>
      </c>
      <c r="O412" s="144">
        <v>0</v>
      </c>
      <c r="P412" s="293"/>
    </row>
    <row r="413" spans="1:20" s="43" customFormat="1" ht="86.25" customHeight="1">
      <c r="A413" s="286"/>
      <c r="B413" s="237" t="s">
        <v>207</v>
      </c>
      <c r="C413" s="234" t="s">
        <v>129</v>
      </c>
      <c r="D413" s="234" t="s">
        <v>129</v>
      </c>
      <c r="E413" s="145"/>
      <c r="F413" s="248" t="s">
        <v>130</v>
      </c>
      <c r="G413" s="146" t="s">
        <v>287</v>
      </c>
      <c r="H413" s="246" t="s">
        <v>288</v>
      </c>
      <c r="I413" s="247" t="s">
        <v>131</v>
      </c>
      <c r="J413" s="247"/>
      <c r="K413" s="247"/>
      <c r="L413" s="247"/>
      <c r="M413" s="146" t="s">
        <v>136</v>
      </c>
      <c r="N413" s="146" t="s">
        <v>137</v>
      </c>
      <c r="O413" s="146" t="s">
        <v>138</v>
      </c>
      <c r="P413" s="257" t="s">
        <v>129</v>
      </c>
      <c r="Q413" s="44"/>
    </row>
    <row r="414" spans="1:20" s="43" customFormat="1" ht="61.5" customHeight="1">
      <c r="A414" s="286"/>
      <c r="B414" s="237"/>
      <c r="C414" s="234"/>
      <c r="D414" s="234"/>
      <c r="E414" s="145"/>
      <c r="F414" s="248"/>
      <c r="G414" s="145"/>
      <c r="H414" s="246"/>
      <c r="I414" s="145" t="s">
        <v>132</v>
      </c>
      <c r="J414" s="145" t="s">
        <v>133</v>
      </c>
      <c r="K414" s="145" t="s">
        <v>134</v>
      </c>
      <c r="L414" s="145" t="s">
        <v>135</v>
      </c>
      <c r="M414" s="145"/>
      <c r="N414" s="145"/>
      <c r="O414" s="145"/>
      <c r="P414" s="257"/>
      <c r="Q414" s="44"/>
    </row>
    <row r="415" spans="1:20" s="43" customFormat="1" ht="86.25" customHeight="1">
      <c r="A415" s="286"/>
      <c r="B415" s="237"/>
      <c r="C415" s="234"/>
      <c r="D415" s="234"/>
      <c r="E415" s="145"/>
      <c r="F415" s="174">
        <v>77</v>
      </c>
      <c r="G415" s="147">
        <v>77</v>
      </c>
      <c r="H415" s="147">
        <v>77</v>
      </c>
      <c r="I415" s="147">
        <v>77</v>
      </c>
      <c r="J415" s="147">
        <v>77</v>
      </c>
      <c r="K415" s="147">
        <v>77</v>
      </c>
      <c r="L415" s="147">
        <v>77</v>
      </c>
      <c r="M415" s="147">
        <v>77</v>
      </c>
      <c r="N415" s="147">
        <v>77</v>
      </c>
      <c r="O415" s="147">
        <v>77</v>
      </c>
      <c r="P415" s="257"/>
      <c r="Q415" s="44"/>
    </row>
    <row r="416" spans="1:20" s="43" customFormat="1" ht="36.75" customHeight="1">
      <c r="A416" s="286" t="s">
        <v>293</v>
      </c>
      <c r="B416" s="236" t="s">
        <v>115</v>
      </c>
      <c r="C416" s="271" t="s">
        <v>89</v>
      </c>
      <c r="D416" s="143" t="s">
        <v>41</v>
      </c>
      <c r="E416" s="144">
        <v>0</v>
      </c>
      <c r="F416" s="175">
        <f>SUM(G416:O416)</f>
        <v>0</v>
      </c>
      <c r="G416" s="144">
        <v>0</v>
      </c>
      <c r="H416" s="261">
        <v>0</v>
      </c>
      <c r="I416" s="261"/>
      <c r="J416" s="261"/>
      <c r="K416" s="261"/>
      <c r="L416" s="261"/>
      <c r="M416" s="144">
        <v>0</v>
      </c>
      <c r="N416" s="144">
        <v>0</v>
      </c>
      <c r="O416" s="144">
        <v>0</v>
      </c>
      <c r="P416" s="293" t="s">
        <v>3</v>
      </c>
    </row>
    <row r="417" spans="1:20" s="43" customFormat="1" ht="38">
      <c r="A417" s="286"/>
      <c r="B417" s="236"/>
      <c r="C417" s="271"/>
      <c r="D417" s="143" t="s">
        <v>1</v>
      </c>
      <c r="E417" s="144">
        <v>0</v>
      </c>
      <c r="F417" s="175">
        <f t="shared" ref="F417:F419" si="161">SUM(G417:O417)</f>
        <v>0</v>
      </c>
      <c r="G417" s="144">
        <v>0</v>
      </c>
      <c r="H417" s="261">
        <v>0</v>
      </c>
      <c r="I417" s="261"/>
      <c r="J417" s="261"/>
      <c r="K417" s="261"/>
      <c r="L417" s="261"/>
      <c r="M417" s="144">
        <v>0</v>
      </c>
      <c r="N417" s="144">
        <v>0</v>
      </c>
      <c r="O417" s="144">
        <v>0</v>
      </c>
      <c r="P417" s="293"/>
    </row>
    <row r="418" spans="1:20" s="43" customFormat="1" ht="57">
      <c r="A418" s="286"/>
      <c r="B418" s="236"/>
      <c r="C418" s="271"/>
      <c r="D418" s="143" t="s">
        <v>48</v>
      </c>
      <c r="E418" s="144">
        <v>0</v>
      </c>
      <c r="F418" s="175">
        <f t="shared" si="161"/>
        <v>0</v>
      </c>
      <c r="G418" s="144">
        <v>0</v>
      </c>
      <c r="H418" s="261">
        <v>0</v>
      </c>
      <c r="I418" s="261"/>
      <c r="J418" s="261"/>
      <c r="K418" s="261"/>
      <c r="L418" s="261"/>
      <c r="M418" s="144">
        <v>0</v>
      </c>
      <c r="N418" s="144">
        <v>0</v>
      </c>
      <c r="O418" s="144">
        <v>0</v>
      </c>
      <c r="P418" s="293"/>
    </row>
    <row r="419" spans="1:20" s="43" customFormat="1" ht="19">
      <c r="A419" s="286"/>
      <c r="B419" s="236"/>
      <c r="C419" s="271"/>
      <c r="D419" s="143" t="s">
        <v>90</v>
      </c>
      <c r="E419" s="144"/>
      <c r="F419" s="175">
        <f t="shared" si="161"/>
        <v>0</v>
      </c>
      <c r="G419" s="144">
        <v>0</v>
      </c>
      <c r="H419" s="261">
        <v>0</v>
      </c>
      <c r="I419" s="261"/>
      <c r="J419" s="261"/>
      <c r="K419" s="261"/>
      <c r="L419" s="261"/>
      <c r="M419" s="144">
        <v>0</v>
      </c>
      <c r="N419" s="144">
        <v>0</v>
      </c>
      <c r="O419" s="144">
        <v>0</v>
      </c>
      <c r="P419" s="293"/>
    </row>
    <row r="420" spans="1:20" s="43" customFormat="1" ht="39.75" customHeight="1">
      <c r="A420" s="286"/>
      <c r="B420" s="237" t="s">
        <v>208</v>
      </c>
      <c r="C420" s="234" t="s">
        <v>129</v>
      </c>
      <c r="D420" s="234" t="s">
        <v>129</v>
      </c>
      <c r="E420" s="145"/>
      <c r="F420" s="248" t="s">
        <v>130</v>
      </c>
      <c r="G420" s="146" t="s">
        <v>287</v>
      </c>
      <c r="H420" s="246" t="s">
        <v>288</v>
      </c>
      <c r="I420" s="247" t="s">
        <v>131</v>
      </c>
      <c r="J420" s="247"/>
      <c r="K420" s="247"/>
      <c r="L420" s="247"/>
      <c r="M420" s="146" t="s">
        <v>136</v>
      </c>
      <c r="N420" s="146" t="s">
        <v>137</v>
      </c>
      <c r="O420" s="146" t="s">
        <v>138</v>
      </c>
      <c r="P420" s="257" t="s">
        <v>129</v>
      </c>
      <c r="Q420" s="44"/>
    </row>
    <row r="421" spans="1:20" s="43" customFormat="1" ht="39.75" customHeight="1">
      <c r="A421" s="286"/>
      <c r="B421" s="237"/>
      <c r="C421" s="234"/>
      <c r="D421" s="234"/>
      <c r="E421" s="145"/>
      <c r="F421" s="248"/>
      <c r="G421" s="145"/>
      <c r="H421" s="246"/>
      <c r="I421" s="145" t="s">
        <v>132</v>
      </c>
      <c r="J421" s="145" t="s">
        <v>133</v>
      </c>
      <c r="K421" s="145" t="s">
        <v>134</v>
      </c>
      <c r="L421" s="145" t="s">
        <v>135</v>
      </c>
      <c r="M421" s="145"/>
      <c r="N421" s="145"/>
      <c r="O421" s="145"/>
      <c r="P421" s="257"/>
      <c r="Q421" s="44"/>
    </row>
    <row r="422" spans="1:20" s="43" customFormat="1" ht="56.25" customHeight="1">
      <c r="A422" s="286"/>
      <c r="B422" s="237"/>
      <c r="C422" s="234"/>
      <c r="D422" s="234"/>
      <c r="E422" s="145"/>
      <c r="F422" s="174">
        <v>0</v>
      </c>
      <c r="G422" s="147">
        <v>0</v>
      </c>
      <c r="H422" s="147">
        <v>0</v>
      </c>
      <c r="I422" s="147">
        <v>0</v>
      </c>
      <c r="J422" s="147">
        <v>0</v>
      </c>
      <c r="K422" s="147">
        <v>0</v>
      </c>
      <c r="L422" s="147">
        <v>0</v>
      </c>
      <c r="M422" s="147">
        <v>0</v>
      </c>
      <c r="N422" s="147">
        <v>0</v>
      </c>
      <c r="O422" s="147">
        <v>0</v>
      </c>
      <c r="P422" s="257"/>
      <c r="Q422" s="44"/>
    </row>
    <row r="423" spans="1:20" s="9" customFormat="1" ht="18.75" customHeight="1">
      <c r="A423" s="287" t="s">
        <v>298</v>
      </c>
      <c r="B423" s="288" t="s">
        <v>300</v>
      </c>
      <c r="C423" s="289" t="s">
        <v>254</v>
      </c>
      <c r="D423" s="213" t="s">
        <v>2</v>
      </c>
      <c r="E423" s="214" t="e">
        <f>E425+E426+E424</f>
        <v>#REF!</v>
      </c>
      <c r="F423" s="215">
        <f>SUM(G423:O423)</f>
        <v>0</v>
      </c>
      <c r="G423" s="214">
        <f t="shared" ref="G423" si="162">G424+G425+G426+G427</f>
        <v>0</v>
      </c>
      <c r="H423" s="290">
        <f>H424+H425+H426+H427</f>
        <v>0</v>
      </c>
      <c r="I423" s="290"/>
      <c r="J423" s="290"/>
      <c r="K423" s="290"/>
      <c r="L423" s="290"/>
      <c r="M423" s="214">
        <f t="shared" ref="M423:O423" si="163">M424+M425+M426+M427</f>
        <v>0</v>
      </c>
      <c r="N423" s="214">
        <f t="shared" si="163"/>
        <v>0</v>
      </c>
      <c r="O423" s="214">
        <f t="shared" si="163"/>
        <v>0</v>
      </c>
      <c r="P423" s="344"/>
      <c r="T423" s="50"/>
    </row>
    <row r="424" spans="1:20" s="9" customFormat="1" ht="39" customHeight="1">
      <c r="A424" s="287"/>
      <c r="B424" s="288"/>
      <c r="C424" s="289"/>
      <c r="D424" s="216" t="s">
        <v>41</v>
      </c>
      <c r="E424" s="217">
        <f>E454</f>
        <v>262352.43170000002</v>
      </c>
      <c r="F424" s="215">
        <f t="shared" ref="F424:F431" si="164">SUM(G424:O424)</f>
        <v>0</v>
      </c>
      <c r="G424" s="217">
        <f t="shared" ref="G424:H427" si="165">G428</f>
        <v>0</v>
      </c>
      <c r="H424" s="345">
        <f t="shared" si="165"/>
        <v>0</v>
      </c>
      <c r="I424" s="345"/>
      <c r="J424" s="345"/>
      <c r="K424" s="345"/>
      <c r="L424" s="345"/>
      <c r="M424" s="217">
        <f>M428</f>
        <v>0</v>
      </c>
      <c r="N424" s="217">
        <f t="shared" ref="N424:O424" si="166">N428</f>
        <v>0</v>
      </c>
      <c r="O424" s="217">
        <f t="shared" si="166"/>
        <v>0</v>
      </c>
      <c r="P424" s="344"/>
      <c r="T424" s="50"/>
    </row>
    <row r="425" spans="1:20" s="9" customFormat="1" ht="36.75" customHeight="1">
      <c r="A425" s="287"/>
      <c r="B425" s="288"/>
      <c r="C425" s="289"/>
      <c r="D425" s="216" t="s">
        <v>1</v>
      </c>
      <c r="E425" s="217">
        <f>E429+E455</f>
        <v>42873.548000000003</v>
      </c>
      <c r="F425" s="215">
        <f t="shared" si="164"/>
        <v>0</v>
      </c>
      <c r="G425" s="217">
        <f t="shared" si="165"/>
        <v>0</v>
      </c>
      <c r="H425" s="345">
        <f t="shared" si="165"/>
        <v>0</v>
      </c>
      <c r="I425" s="345"/>
      <c r="J425" s="345"/>
      <c r="K425" s="345"/>
      <c r="L425" s="345"/>
      <c r="M425" s="217">
        <f t="shared" ref="M425:O427" si="167">M429</f>
        <v>0</v>
      </c>
      <c r="N425" s="217">
        <f t="shared" si="167"/>
        <v>0</v>
      </c>
      <c r="O425" s="217">
        <f t="shared" si="167"/>
        <v>0</v>
      </c>
      <c r="P425" s="344"/>
      <c r="T425" s="50"/>
    </row>
    <row r="426" spans="1:20" s="9" customFormat="1" ht="57" customHeight="1">
      <c r="A426" s="287"/>
      <c r="B426" s="288"/>
      <c r="C426" s="289"/>
      <c r="D426" s="216" t="s">
        <v>48</v>
      </c>
      <c r="E426" s="218" t="e">
        <f>E430+E456</f>
        <v>#REF!</v>
      </c>
      <c r="F426" s="215">
        <f t="shared" si="164"/>
        <v>0</v>
      </c>
      <c r="G426" s="218">
        <f t="shared" si="165"/>
        <v>0</v>
      </c>
      <c r="H426" s="346">
        <f t="shared" si="165"/>
        <v>0</v>
      </c>
      <c r="I426" s="346"/>
      <c r="J426" s="346"/>
      <c r="K426" s="346"/>
      <c r="L426" s="346"/>
      <c r="M426" s="217">
        <f t="shared" si="167"/>
        <v>0</v>
      </c>
      <c r="N426" s="217">
        <f t="shared" si="167"/>
        <v>0</v>
      </c>
      <c r="O426" s="217">
        <f t="shared" si="167"/>
        <v>0</v>
      </c>
      <c r="P426" s="344"/>
      <c r="T426" s="50"/>
    </row>
    <row r="427" spans="1:20" s="9" customFormat="1" ht="19">
      <c r="A427" s="287"/>
      <c r="B427" s="288"/>
      <c r="C427" s="289"/>
      <c r="D427" s="216" t="s">
        <v>90</v>
      </c>
      <c r="E427" s="218"/>
      <c r="F427" s="215">
        <f t="shared" si="164"/>
        <v>0</v>
      </c>
      <c r="G427" s="218">
        <f t="shared" si="165"/>
        <v>0</v>
      </c>
      <c r="H427" s="346">
        <f t="shared" si="165"/>
        <v>0</v>
      </c>
      <c r="I427" s="346"/>
      <c r="J427" s="346"/>
      <c r="K427" s="346"/>
      <c r="L427" s="346"/>
      <c r="M427" s="217">
        <f t="shared" si="167"/>
        <v>0</v>
      </c>
      <c r="N427" s="217">
        <f t="shared" si="167"/>
        <v>0</v>
      </c>
      <c r="O427" s="217">
        <f t="shared" si="167"/>
        <v>0</v>
      </c>
      <c r="P427" s="344"/>
      <c r="T427" s="50"/>
    </row>
    <row r="428" spans="1:20" s="9" customFormat="1" ht="36" customHeight="1">
      <c r="A428" s="347" t="s">
        <v>301</v>
      </c>
      <c r="B428" s="348" t="s">
        <v>299</v>
      </c>
      <c r="C428" s="349" t="s">
        <v>254</v>
      </c>
      <c r="D428" s="219" t="s">
        <v>41</v>
      </c>
      <c r="E428" s="220"/>
      <c r="F428" s="215">
        <f t="shared" si="164"/>
        <v>0</v>
      </c>
      <c r="G428" s="220">
        <v>0</v>
      </c>
      <c r="H428" s="350">
        <v>0</v>
      </c>
      <c r="I428" s="350"/>
      <c r="J428" s="350"/>
      <c r="K428" s="350"/>
      <c r="L428" s="350"/>
      <c r="M428" s="220">
        <v>0</v>
      </c>
      <c r="N428" s="220">
        <v>0</v>
      </c>
      <c r="O428" s="220">
        <v>0</v>
      </c>
      <c r="P428" s="351" t="s">
        <v>3</v>
      </c>
      <c r="T428" s="50"/>
    </row>
    <row r="429" spans="1:20" s="43" customFormat="1" ht="38">
      <c r="A429" s="347"/>
      <c r="B429" s="348"/>
      <c r="C429" s="349"/>
      <c r="D429" s="221" t="s">
        <v>1</v>
      </c>
      <c r="E429" s="222">
        <v>34122</v>
      </c>
      <c r="F429" s="215">
        <f t="shared" si="164"/>
        <v>0</v>
      </c>
      <c r="G429" s="222">
        <v>0</v>
      </c>
      <c r="H429" s="352">
        <v>0</v>
      </c>
      <c r="I429" s="352"/>
      <c r="J429" s="352"/>
      <c r="K429" s="352"/>
      <c r="L429" s="352"/>
      <c r="M429" s="222">
        <v>0</v>
      </c>
      <c r="N429" s="222">
        <v>0</v>
      </c>
      <c r="O429" s="222">
        <v>0</v>
      </c>
      <c r="P429" s="351"/>
    </row>
    <row r="430" spans="1:20" s="43" customFormat="1" ht="57">
      <c r="A430" s="347"/>
      <c r="B430" s="348"/>
      <c r="C430" s="349"/>
      <c r="D430" s="221" t="s">
        <v>48</v>
      </c>
      <c r="E430" s="222">
        <v>20473</v>
      </c>
      <c r="F430" s="215">
        <f t="shared" si="164"/>
        <v>0</v>
      </c>
      <c r="G430" s="222">
        <v>0</v>
      </c>
      <c r="H430" s="352">
        <v>0</v>
      </c>
      <c r="I430" s="352"/>
      <c r="J430" s="352"/>
      <c r="K430" s="352"/>
      <c r="L430" s="352"/>
      <c r="M430" s="222">
        <v>0</v>
      </c>
      <c r="N430" s="222">
        <v>0</v>
      </c>
      <c r="O430" s="222">
        <v>0</v>
      </c>
      <c r="P430" s="351"/>
    </row>
    <row r="431" spans="1:20" s="43" customFormat="1" ht="19">
      <c r="A431" s="347"/>
      <c r="B431" s="348"/>
      <c r="C431" s="349"/>
      <c r="D431" s="221" t="s">
        <v>90</v>
      </c>
      <c r="E431" s="222"/>
      <c r="F431" s="215">
        <f t="shared" si="164"/>
        <v>0</v>
      </c>
      <c r="G431" s="222">
        <v>0</v>
      </c>
      <c r="H431" s="352">
        <v>0</v>
      </c>
      <c r="I431" s="352"/>
      <c r="J431" s="352"/>
      <c r="K431" s="352"/>
      <c r="L431" s="352"/>
      <c r="M431" s="222">
        <v>0</v>
      </c>
      <c r="N431" s="222">
        <v>0</v>
      </c>
      <c r="O431" s="222">
        <v>0</v>
      </c>
      <c r="P431" s="351"/>
    </row>
    <row r="432" spans="1:20" s="43" customFormat="1" ht="46.5" customHeight="1">
      <c r="A432" s="347"/>
      <c r="B432" s="353" t="s">
        <v>302</v>
      </c>
      <c r="C432" s="354" t="s">
        <v>129</v>
      </c>
      <c r="D432" s="354" t="s">
        <v>129</v>
      </c>
      <c r="E432" s="223"/>
      <c r="F432" s="355" t="s">
        <v>130</v>
      </c>
      <c r="G432" s="224" t="s">
        <v>287</v>
      </c>
      <c r="H432" s="356" t="s">
        <v>288</v>
      </c>
      <c r="I432" s="357" t="s">
        <v>131</v>
      </c>
      <c r="J432" s="357"/>
      <c r="K432" s="357"/>
      <c r="L432" s="357"/>
      <c r="M432" s="224" t="s">
        <v>136</v>
      </c>
      <c r="N432" s="224" t="s">
        <v>137</v>
      </c>
      <c r="O432" s="224" t="s">
        <v>138</v>
      </c>
      <c r="P432" s="358" t="s">
        <v>129</v>
      </c>
      <c r="Q432" s="44"/>
    </row>
    <row r="433" spans="1:21" s="43" customFormat="1" ht="30.75" customHeight="1">
      <c r="A433" s="347"/>
      <c r="B433" s="353"/>
      <c r="C433" s="354"/>
      <c r="D433" s="354"/>
      <c r="E433" s="223"/>
      <c r="F433" s="355"/>
      <c r="G433" s="223"/>
      <c r="H433" s="356"/>
      <c r="I433" s="223" t="s">
        <v>132</v>
      </c>
      <c r="J433" s="223" t="s">
        <v>133</v>
      </c>
      <c r="K433" s="223" t="s">
        <v>134</v>
      </c>
      <c r="L433" s="223" t="s">
        <v>135</v>
      </c>
      <c r="M433" s="223"/>
      <c r="N433" s="223"/>
      <c r="O433" s="223"/>
      <c r="P433" s="358"/>
      <c r="Q433" s="44"/>
    </row>
    <row r="434" spans="1:21" s="43" customFormat="1" ht="44.25" customHeight="1">
      <c r="A434" s="347"/>
      <c r="B434" s="353"/>
      <c r="C434" s="354"/>
      <c r="D434" s="354"/>
      <c r="E434" s="223"/>
      <c r="F434" s="225">
        <v>0</v>
      </c>
      <c r="G434" s="212">
        <v>0</v>
      </c>
      <c r="H434" s="212">
        <v>0</v>
      </c>
      <c r="I434" s="212">
        <v>0</v>
      </c>
      <c r="J434" s="212">
        <v>0</v>
      </c>
      <c r="K434" s="212">
        <v>0</v>
      </c>
      <c r="L434" s="212">
        <v>0</v>
      </c>
      <c r="M434" s="212">
        <v>0</v>
      </c>
      <c r="N434" s="212">
        <v>0</v>
      </c>
      <c r="O434" s="212">
        <v>0</v>
      </c>
      <c r="P434" s="358"/>
      <c r="Q434" s="44"/>
    </row>
    <row r="435" spans="1:21" s="9" customFormat="1" ht="39" customHeight="1">
      <c r="A435" s="283" t="s">
        <v>223</v>
      </c>
      <c r="B435" s="284"/>
      <c r="C435" s="284"/>
      <c r="D435" s="284"/>
      <c r="E435" s="170" t="e">
        <f>E436+E437+E438+E441+E442</f>
        <v>#REF!</v>
      </c>
      <c r="F435" s="176">
        <f>SUM(G435:O435)</f>
        <v>61573441.275430001</v>
      </c>
      <c r="G435" s="170">
        <f t="shared" ref="G435" si="168">G436+G437+G438+G440</f>
        <v>12260123.436870003</v>
      </c>
      <c r="H435" s="278">
        <f>H436+H437+H438+H440</f>
        <v>12576293.459319999</v>
      </c>
      <c r="I435" s="278"/>
      <c r="J435" s="278"/>
      <c r="K435" s="278"/>
      <c r="L435" s="278"/>
      <c r="M435" s="170">
        <f t="shared" ref="M435:O435" si="169">M436+M437+M438+M440</f>
        <v>12248876.39006</v>
      </c>
      <c r="N435" s="170">
        <f t="shared" si="169"/>
        <v>12247004.281749999</v>
      </c>
      <c r="O435" s="170">
        <f t="shared" si="169"/>
        <v>12241143.707429999</v>
      </c>
      <c r="P435" s="171"/>
      <c r="T435" s="50"/>
      <c r="U435" s="50"/>
    </row>
    <row r="436" spans="1:21" ht="18">
      <c r="A436" s="285" t="s">
        <v>41</v>
      </c>
      <c r="B436" s="285"/>
      <c r="C436" s="285"/>
      <c r="D436" s="285"/>
      <c r="E436" s="53" t="e">
        <f>E360</f>
        <v>#REF!</v>
      </c>
      <c r="F436" s="176">
        <f t="shared" ref="F436:F442" si="170">SUM(G436:O436)</f>
        <v>1867291.9178800003</v>
      </c>
      <c r="G436" s="53">
        <f>G17+G149+G203+G215+G246+G272+G336+G360+G393+G405+G348</f>
        <v>397968.84916999994</v>
      </c>
      <c r="H436" s="250">
        <f>H17+H149+H203+H215+H246+H272+H336+H360+H393+H405+H348</f>
        <v>393045.76278000005</v>
      </c>
      <c r="I436" s="250"/>
      <c r="J436" s="250"/>
      <c r="K436" s="250"/>
      <c r="L436" s="250"/>
      <c r="M436" s="53">
        <f t="shared" ref="M436:O437" si="171">M17+M149+M203+M215+M246+M272+M336+M360+M393+M405+M348</f>
        <v>370867.20355999999</v>
      </c>
      <c r="N436" s="53">
        <f t="shared" si="171"/>
        <v>352705.05237000005</v>
      </c>
      <c r="O436" s="53">
        <f t="shared" si="171"/>
        <v>352705.05000000005</v>
      </c>
      <c r="P436" s="12"/>
      <c r="T436" s="51"/>
      <c r="U436" s="51"/>
    </row>
    <row r="437" spans="1:21" ht="18">
      <c r="A437" s="285" t="s">
        <v>1</v>
      </c>
      <c r="B437" s="285"/>
      <c r="C437" s="285"/>
      <c r="D437" s="285"/>
      <c r="E437" s="53" t="e">
        <f>E18+#REF!+E150+E361+E394</f>
        <v>#REF!</v>
      </c>
      <c r="F437" s="176">
        <f t="shared" si="170"/>
        <v>38643885.624100007</v>
      </c>
      <c r="G437" s="53">
        <f>G18+G150+G204+G216+G247+G273+G337+G361+G394+G406+G349</f>
        <v>7623266.1103000017</v>
      </c>
      <c r="H437" s="250">
        <f>H18+H150+H204+H216+H247+H273+H337+H361+H394+H406+H349</f>
        <v>7860930.2727800002</v>
      </c>
      <c r="I437" s="250"/>
      <c r="J437" s="250"/>
      <c r="K437" s="250"/>
      <c r="L437" s="250"/>
      <c r="M437" s="53">
        <f t="shared" si="171"/>
        <v>7710356.36907</v>
      </c>
      <c r="N437" s="53">
        <f t="shared" si="171"/>
        <v>7727010.4219500003</v>
      </c>
      <c r="O437" s="53">
        <f t="shared" si="171"/>
        <v>7722322.4500000002</v>
      </c>
      <c r="P437" s="12"/>
      <c r="T437" s="51"/>
      <c r="U437" s="51"/>
    </row>
    <row r="438" spans="1:21" ht="18">
      <c r="A438" s="285" t="s">
        <v>49</v>
      </c>
      <c r="B438" s="285"/>
      <c r="C438" s="285"/>
      <c r="D438" s="285"/>
      <c r="E438" s="53" t="e">
        <f>E19+E151+E217+E362+E395</f>
        <v>#REF!</v>
      </c>
      <c r="F438" s="176">
        <f t="shared" si="170"/>
        <v>18038832.465049997</v>
      </c>
      <c r="G438" s="53">
        <f>G19+G151+G205+G217+G248+G274+G338+G362+G395+G407+G354</f>
        <v>3745756.7187200002</v>
      </c>
      <c r="H438" s="250">
        <f>H19+H151+H205+H217+H248+H274+H338+H362+H395+H407+H354</f>
        <v>3689742.5463299993</v>
      </c>
      <c r="I438" s="250"/>
      <c r="J438" s="250"/>
      <c r="K438" s="250"/>
      <c r="L438" s="250"/>
      <c r="M438" s="53">
        <f>M19+M151+M205+M217+M248+M274+M338+M362+M395+M407+M354</f>
        <v>3535077.94</v>
      </c>
      <c r="N438" s="53">
        <f>N19+N151+N205+N217+N248+N274+N338+N362+N395+N407+N354</f>
        <v>3534713.9299999997</v>
      </c>
      <c r="O438" s="53">
        <f>O19+O151+O205+O217+O248+O274+O338+O362+O395+O407+O354</f>
        <v>3533541.33</v>
      </c>
      <c r="P438" s="97"/>
      <c r="T438" s="51"/>
      <c r="U438" s="51"/>
    </row>
    <row r="439" spans="1:21" ht="18">
      <c r="A439" s="325" t="s">
        <v>61</v>
      </c>
      <c r="B439" s="325"/>
      <c r="C439" s="325"/>
      <c r="D439" s="325"/>
      <c r="E439" s="101">
        <f>E106</f>
        <v>0</v>
      </c>
      <c r="F439" s="176">
        <f t="shared" si="170"/>
        <v>2529243</v>
      </c>
      <c r="G439" s="101">
        <f>G20</f>
        <v>413035</v>
      </c>
      <c r="H439" s="279">
        <f>H20</f>
        <v>529052</v>
      </c>
      <c r="I439" s="279"/>
      <c r="J439" s="279"/>
      <c r="K439" s="279"/>
      <c r="L439" s="279"/>
      <c r="M439" s="101">
        <f>M20</f>
        <v>529052</v>
      </c>
      <c r="N439" s="101">
        <f>N20</f>
        <v>529052</v>
      </c>
      <c r="O439" s="101">
        <f>O20</f>
        <v>529052</v>
      </c>
      <c r="P439" s="6"/>
      <c r="T439" s="51"/>
      <c r="U439" s="51"/>
    </row>
    <row r="440" spans="1:21" ht="18">
      <c r="A440" s="326" t="s">
        <v>90</v>
      </c>
      <c r="B440" s="326"/>
      <c r="C440" s="326"/>
      <c r="D440" s="326"/>
      <c r="E440" s="49"/>
      <c r="F440" s="176">
        <f t="shared" si="170"/>
        <v>3023431.2683999999</v>
      </c>
      <c r="G440" s="49">
        <f>G21+G152+G206+G218+G249+G275+G339+G363+G396+G408</f>
        <v>493131.75868000003</v>
      </c>
      <c r="H440" s="280">
        <f>H21+H152+H206+H218+H249+H275+H339+H363+H396+H408+H351</f>
        <v>632574.87742999999</v>
      </c>
      <c r="I440" s="280"/>
      <c r="J440" s="280"/>
      <c r="K440" s="280"/>
      <c r="L440" s="280"/>
      <c r="M440" s="49">
        <f>M21+M152+M206+M218+M249+M275+M339+M363+M396+M408</f>
        <v>632574.87742999999</v>
      </c>
      <c r="N440" s="49">
        <f>N21+N152+N206+N218+N249+N275+N339+N363+N396+N408</f>
        <v>632574.87742999999</v>
      </c>
      <c r="O440" s="49">
        <f>O21+O152+O206+O218+O249+O275+O339+O363+O396+O408</f>
        <v>632574.87742999999</v>
      </c>
      <c r="P440" s="6"/>
      <c r="T440" s="51"/>
      <c r="U440" s="51"/>
    </row>
    <row r="441" spans="1:21" ht="18">
      <c r="A441" s="325" t="s">
        <v>91</v>
      </c>
      <c r="B441" s="325"/>
      <c r="C441" s="325"/>
      <c r="D441" s="325"/>
      <c r="E441" s="101">
        <f>E22</f>
        <v>262352.43170000002</v>
      </c>
      <c r="F441" s="176">
        <f t="shared" si="170"/>
        <v>2901357.9304000004</v>
      </c>
      <c r="G441" s="101">
        <f t="shared" ref="G441" si="172">G22</f>
        <v>469940.35668000003</v>
      </c>
      <c r="H441" s="279">
        <f>H22</f>
        <v>607854.39343000005</v>
      </c>
      <c r="I441" s="279"/>
      <c r="J441" s="279"/>
      <c r="K441" s="279"/>
      <c r="L441" s="279"/>
      <c r="M441" s="101">
        <f t="shared" ref="M441:O442" si="173">M22</f>
        <v>607854.39343000005</v>
      </c>
      <c r="N441" s="101">
        <f t="shared" si="173"/>
        <v>607854.39343000005</v>
      </c>
      <c r="O441" s="101">
        <f t="shared" si="173"/>
        <v>607854.39343000005</v>
      </c>
      <c r="P441" s="6"/>
      <c r="T441" s="51"/>
      <c r="U441" s="51"/>
    </row>
    <row r="442" spans="1:21" ht="18">
      <c r="A442" s="325" t="s">
        <v>92</v>
      </c>
      <c r="B442" s="325"/>
      <c r="C442" s="325"/>
      <c r="D442" s="325"/>
      <c r="E442" s="101">
        <f>E23</f>
        <v>8751.5480000000007</v>
      </c>
      <c r="F442" s="176">
        <f t="shared" si="170"/>
        <v>122073.33799999999</v>
      </c>
      <c r="G442" s="101">
        <f t="shared" ref="G442" si="174">G23</f>
        <v>23191.402000000002</v>
      </c>
      <c r="H442" s="279">
        <f>H23</f>
        <v>24720.484</v>
      </c>
      <c r="I442" s="279"/>
      <c r="J442" s="279"/>
      <c r="K442" s="279"/>
      <c r="L442" s="279"/>
      <c r="M442" s="101">
        <f t="shared" si="173"/>
        <v>24720.484</v>
      </c>
      <c r="N442" s="101">
        <f t="shared" si="173"/>
        <v>24720.484</v>
      </c>
      <c r="O442" s="101">
        <f t="shared" si="173"/>
        <v>24720.484</v>
      </c>
      <c r="P442" s="6"/>
      <c r="T442" s="51"/>
      <c r="U442" s="51"/>
    </row>
    <row r="443" spans="1:21" ht="16">
      <c r="A443" s="81"/>
      <c r="B443" s="81"/>
      <c r="C443" s="81"/>
      <c r="D443" s="81"/>
      <c r="E443" s="82"/>
      <c r="F443" s="177"/>
      <c r="G443" s="83"/>
      <c r="H443" s="82"/>
      <c r="I443" s="82"/>
      <c r="J443" s="82"/>
      <c r="K443" s="82"/>
      <c r="L443" s="82"/>
      <c r="M443" s="84"/>
      <c r="N443" s="85"/>
      <c r="O443" s="85"/>
      <c r="P443" s="86"/>
      <c r="T443" s="51"/>
      <c r="U443" s="51"/>
    </row>
    <row r="444" spans="1:21" ht="19">
      <c r="B444" s="323" t="s">
        <v>20</v>
      </c>
      <c r="C444" s="324"/>
      <c r="D444" s="324"/>
      <c r="E444" s="88" t="e">
        <f>#REF!</f>
        <v>#REF!</v>
      </c>
      <c r="F444" s="178">
        <f>SUM(H444:O444)</f>
        <v>0</v>
      </c>
      <c r="G444" s="88">
        <v>0</v>
      </c>
      <c r="H444" s="275">
        <v>0</v>
      </c>
      <c r="I444" s="276"/>
      <c r="J444" s="276"/>
      <c r="K444" s="276"/>
      <c r="L444" s="277"/>
      <c r="M444" s="88">
        <v>0</v>
      </c>
      <c r="N444" s="88">
        <v>0</v>
      </c>
      <c r="O444" s="88">
        <v>0</v>
      </c>
      <c r="P444" s="89"/>
      <c r="T444" s="51"/>
      <c r="U444" s="51"/>
    </row>
    <row r="445" spans="1:21" ht="19">
      <c r="B445" s="323" t="s">
        <v>22</v>
      </c>
      <c r="C445" s="324"/>
      <c r="D445" s="324"/>
      <c r="E445" s="88" t="e">
        <f>#REF!</f>
        <v>#REF!</v>
      </c>
      <c r="F445" s="178">
        <f>SUM(H445:O445)</f>
        <v>590845.51789999998</v>
      </c>
      <c r="G445" s="88">
        <f>150+19342+145735.24</f>
        <v>165227.24</v>
      </c>
      <c r="H445" s="275">
        <v>95163.797900000005</v>
      </c>
      <c r="I445" s="276"/>
      <c r="J445" s="276"/>
      <c r="K445" s="276"/>
      <c r="L445" s="277"/>
      <c r="M445" s="88">
        <v>165227.24</v>
      </c>
      <c r="N445" s="88">
        <v>165227.24</v>
      </c>
      <c r="O445" s="88">
        <v>165227.24</v>
      </c>
      <c r="T445" s="51"/>
      <c r="U445" s="51"/>
    </row>
    <row r="446" spans="1:21" ht="19">
      <c r="B446" s="321" t="s">
        <v>21</v>
      </c>
      <c r="C446" s="322"/>
      <c r="D446" s="322"/>
      <c r="E446" s="90" t="e">
        <f>SUM(E444:E445)</f>
        <v>#REF!</v>
      </c>
      <c r="F446" s="178">
        <f t="shared" ref="F446:O446" si="175">SUM(F444:F445)</f>
        <v>590845.51789999998</v>
      </c>
      <c r="G446" s="90">
        <f t="shared" si="175"/>
        <v>165227.24</v>
      </c>
      <c r="H446" s="272">
        <f t="shared" ref="H446" si="176">SUM(H444:H445)</f>
        <v>95163.797900000005</v>
      </c>
      <c r="I446" s="273"/>
      <c r="J446" s="273"/>
      <c r="K446" s="273"/>
      <c r="L446" s="274"/>
      <c r="M446" s="90">
        <f t="shared" si="175"/>
        <v>165227.24</v>
      </c>
      <c r="N446" s="90">
        <f t="shared" si="175"/>
        <v>165227.24</v>
      </c>
      <c r="O446" s="90">
        <f t="shared" si="175"/>
        <v>165227.24</v>
      </c>
      <c r="T446" s="51"/>
      <c r="U446" s="51"/>
    </row>
    <row r="447" spans="1:21" ht="19">
      <c r="B447" s="323" t="s">
        <v>63</v>
      </c>
      <c r="C447" s="324"/>
      <c r="D447" s="324"/>
      <c r="E447" s="88">
        <v>0</v>
      </c>
      <c r="F447" s="178">
        <f t="shared" ref="F447:F456" si="177">SUM(H447:O447)</f>
        <v>0</v>
      </c>
      <c r="G447" s="88">
        <v>0</v>
      </c>
      <c r="H447" s="275">
        <v>0</v>
      </c>
      <c r="I447" s="276"/>
      <c r="J447" s="276"/>
      <c r="K447" s="276"/>
      <c r="L447" s="277"/>
      <c r="M447" s="88">
        <v>0</v>
      </c>
      <c r="N447" s="88">
        <v>0</v>
      </c>
      <c r="O447" s="88">
        <v>0</v>
      </c>
      <c r="P447" s="91"/>
      <c r="T447" s="51"/>
      <c r="U447" s="51"/>
    </row>
    <row r="448" spans="1:21" ht="19">
      <c r="B448" s="323" t="s">
        <v>64</v>
      </c>
      <c r="C448" s="324"/>
      <c r="D448" s="324"/>
      <c r="E448" s="88">
        <v>0</v>
      </c>
      <c r="F448" s="178">
        <f t="shared" si="177"/>
        <v>27600</v>
      </c>
      <c r="G448" s="88">
        <v>6900</v>
      </c>
      <c r="H448" s="275">
        <v>6900</v>
      </c>
      <c r="I448" s="276"/>
      <c r="J448" s="276"/>
      <c r="K448" s="276"/>
      <c r="L448" s="277"/>
      <c r="M448" s="88">
        <v>6900</v>
      </c>
      <c r="N448" s="88">
        <v>6900</v>
      </c>
      <c r="O448" s="88">
        <v>6900</v>
      </c>
      <c r="P448" s="91"/>
      <c r="T448" s="51"/>
      <c r="U448" s="51"/>
    </row>
    <row r="449" spans="2:21" ht="19">
      <c r="B449" s="321" t="s">
        <v>65</v>
      </c>
      <c r="C449" s="322"/>
      <c r="D449" s="322"/>
      <c r="E449" s="90">
        <f>SUM(E447:E448)</f>
        <v>0</v>
      </c>
      <c r="F449" s="178">
        <f t="shared" si="177"/>
        <v>27600</v>
      </c>
      <c r="G449" s="90">
        <f>SUM(G447:G448)</f>
        <v>6900</v>
      </c>
      <c r="H449" s="272">
        <f>SUM(H447:H448)</f>
        <v>6900</v>
      </c>
      <c r="I449" s="273"/>
      <c r="J449" s="273"/>
      <c r="K449" s="273"/>
      <c r="L449" s="274"/>
      <c r="M449" s="90">
        <f>SUM(M447:M448)</f>
        <v>6900</v>
      </c>
      <c r="N449" s="90">
        <f>SUM(N447:N448)</f>
        <v>6900</v>
      </c>
      <c r="O449" s="90">
        <f>SUM(O447:O448)</f>
        <v>6900</v>
      </c>
      <c r="P449" s="91"/>
      <c r="T449" s="51"/>
      <c r="U449" s="51"/>
    </row>
    <row r="450" spans="2:21" ht="19">
      <c r="B450" s="323" t="s">
        <v>44</v>
      </c>
      <c r="C450" s="324"/>
      <c r="D450" s="324"/>
      <c r="E450" s="88" t="e">
        <f>E436</f>
        <v>#REF!</v>
      </c>
      <c r="F450" s="178">
        <f t="shared" si="177"/>
        <v>1469323.06871</v>
      </c>
      <c r="G450" s="88">
        <f>G436</f>
        <v>397968.84916999994</v>
      </c>
      <c r="H450" s="275">
        <f>H436</f>
        <v>393045.76278000005</v>
      </c>
      <c r="I450" s="276"/>
      <c r="J450" s="276"/>
      <c r="K450" s="276"/>
      <c r="L450" s="277"/>
      <c r="M450" s="88">
        <f>M436</f>
        <v>370867.20355999999</v>
      </c>
      <c r="N450" s="88">
        <f>N436</f>
        <v>352705.05237000005</v>
      </c>
      <c r="O450" s="88">
        <f>O436</f>
        <v>352705.05000000005</v>
      </c>
      <c r="T450" s="51"/>
      <c r="U450" s="51"/>
    </row>
    <row r="451" spans="2:21" ht="19">
      <c r="B451" s="323" t="s">
        <v>24</v>
      </c>
      <c r="C451" s="324"/>
      <c r="D451" s="324"/>
      <c r="E451" s="88" t="e">
        <f>E437-E444-E448</f>
        <v>#REF!</v>
      </c>
      <c r="F451" s="178">
        <f t="shared" si="177"/>
        <v>30993019.513799999</v>
      </c>
      <c r="G451" s="88">
        <f>G437-G444-G448</f>
        <v>7616366.1103000017</v>
      </c>
      <c r="H451" s="275">
        <f>H437-H444-H448</f>
        <v>7854030.2727800002</v>
      </c>
      <c r="I451" s="276"/>
      <c r="J451" s="276"/>
      <c r="K451" s="276"/>
      <c r="L451" s="277"/>
      <c r="M451" s="88">
        <f>M437-M444-M448</f>
        <v>7703456.36907</v>
      </c>
      <c r="N451" s="88">
        <f>N437-N444-N448</f>
        <v>7720110.4219500003</v>
      </c>
      <c r="O451" s="88">
        <f>O437-O444-O448</f>
        <v>7715422.4500000002</v>
      </c>
      <c r="T451" s="51"/>
      <c r="U451" s="51"/>
    </row>
    <row r="452" spans="2:21" ht="19">
      <c r="B452" s="323" t="s">
        <v>23</v>
      </c>
      <c r="C452" s="324"/>
      <c r="D452" s="324"/>
      <c r="E452" s="88" t="e">
        <f>E438-E445-E447</f>
        <v>#REF!</v>
      </c>
      <c r="F452" s="178">
        <f t="shared" si="177"/>
        <v>13702230.228429999</v>
      </c>
      <c r="G452" s="88">
        <f>G438-G445-G447</f>
        <v>3580529.47872</v>
      </c>
      <c r="H452" s="275">
        <f>H438-H445-H447</f>
        <v>3594578.7484299992</v>
      </c>
      <c r="I452" s="276"/>
      <c r="J452" s="276"/>
      <c r="K452" s="276"/>
      <c r="L452" s="277"/>
      <c r="M452" s="88">
        <f>M438-M445-M447</f>
        <v>3369850.7</v>
      </c>
      <c r="N452" s="88">
        <f>N438-N445-N447</f>
        <v>3369486.6899999995</v>
      </c>
      <c r="O452" s="88">
        <f>O438-O445-O447</f>
        <v>3368314.09</v>
      </c>
      <c r="T452" s="51"/>
      <c r="U452" s="51"/>
    </row>
    <row r="453" spans="2:21" ht="19">
      <c r="B453" s="323" t="s">
        <v>90</v>
      </c>
      <c r="C453" s="324"/>
      <c r="D453" s="327"/>
      <c r="E453" s="88"/>
      <c r="F453" s="178">
        <f t="shared" si="177"/>
        <v>2530299.5097200004</v>
      </c>
      <c r="G453" s="88">
        <f t="shared" ref="G453" si="178">G454+G455</f>
        <v>493131.75868000003</v>
      </c>
      <c r="H453" s="275">
        <f>H454+H455</f>
        <v>632574.87743000011</v>
      </c>
      <c r="I453" s="276"/>
      <c r="J453" s="276"/>
      <c r="K453" s="276"/>
      <c r="L453" s="277"/>
      <c r="M453" s="88">
        <f t="shared" ref="M453:O453" si="179">M454+M455</f>
        <v>632574.87743000011</v>
      </c>
      <c r="N453" s="88">
        <f t="shared" si="179"/>
        <v>632574.87743000011</v>
      </c>
      <c r="O453" s="88">
        <f t="shared" si="179"/>
        <v>632574.87743000011</v>
      </c>
      <c r="T453" s="51"/>
      <c r="U453" s="51"/>
    </row>
    <row r="454" spans="2:21" ht="19">
      <c r="B454" s="323" t="s">
        <v>91</v>
      </c>
      <c r="C454" s="324"/>
      <c r="D454" s="324"/>
      <c r="E454" s="88">
        <f>E441</f>
        <v>262352.43170000002</v>
      </c>
      <c r="F454" s="178">
        <f t="shared" si="177"/>
        <v>2431417.5737200002</v>
      </c>
      <c r="G454" s="88">
        <f t="shared" ref="G454:G455" si="180">G441</f>
        <v>469940.35668000003</v>
      </c>
      <c r="H454" s="275">
        <f>H441</f>
        <v>607854.39343000005</v>
      </c>
      <c r="I454" s="276"/>
      <c r="J454" s="276"/>
      <c r="K454" s="276"/>
      <c r="L454" s="277"/>
      <c r="M454" s="88">
        <f t="shared" ref="M454:O455" si="181">M441</f>
        <v>607854.39343000005</v>
      </c>
      <c r="N454" s="88">
        <f t="shared" si="181"/>
        <v>607854.39343000005</v>
      </c>
      <c r="O454" s="88">
        <f t="shared" si="181"/>
        <v>607854.39343000005</v>
      </c>
      <c r="T454" s="51"/>
      <c r="U454" s="51"/>
    </row>
    <row r="455" spans="2:21" ht="19">
      <c r="B455" s="323" t="s">
        <v>92</v>
      </c>
      <c r="C455" s="324"/>
      <c r="D455" s="324"/>
      <c r="E455" s="88">
        <f>E442</f>
        <v>8751.5480000000007</v>
      </c>
      <c r="F455" s="178">
        <f t="shared" si="177"/>
        <v>98881.936000000002</v>
      </c>
      <c r="G455" s="88">
        <f t="shared" si="180"/>
        <v>23191.402000000002</v>
      </c>
      <c r="H455" s="275">
        <f>H442</f>
        <v>24720.484</v>
      </c>
      <c r="I455" s="276"/>
      <c r="J455" s="276"/>
      <c r="K455" s="276"/>
      <c r="L455" s="277"/>
      <c r="M455" s="88">
        <f t="shared" si="181"/>
        <v>24720.484</v>
      </c>
      <c r="N455" s="88">
        <f t="shared" si="181"/>
        <v>24720.484</v>
      </c>
      <c r="O455" s="88">
        <f t="shared" si="181"/>
        <v>24720.484</v>
      </c>
      <c r="T455" s="51"/>
      <c r="U455" s="51"/>
    </row>
    <row r="456" spans="2:21" ht="19">
      <c r="B456" s="321" t="s">
        <v>25</v>
      </c>
      <c r="C456" s="322"/>
      <c r="D456" s="322"/>
      <c r="E456" s="90" t="e">
        <f t="shared" ref="E456" si="182">SUM(E450:E455)</f>
        <v>#REF!</v>
      </c>
      <c r="F456" s="178">
        <f t="shared" si="177"/>
        <v>48694872.320659995</v>
      </c>
      <c r="G456" s="90">
        <f t="shared" ref="G456" si="183">G450+G451+G452+G453</f>
        <v>12087996.196870003</v>
      </c>
      <c r="H456" s="272">
        <f>H450+H451+H452+H453</f>
        <v>12474229.661419999</v>
      </c>
      <c r="I456" s="273"/>
      <c r="J456" s="273"/>
      <c r="K456" s="273"/>
      <c r="L456" s="274"/>
      <c r="M456" s="90">
        <f t="shared" ref="M456:O456" si="184">M450+M451+M452+M453</f>
        <v>12076749.15006</v>
      </c>
      <c r="N456" s="90">
        <f t="shared" si="184"/>
        <v>12074877.041749999</v>
      </c>
      <c r="O456" s="90">
        <f t="shared" si="184"/>
        <v>12069016.467429999</v>
      </c>
      <c r="T456" s="51"/>
      <c r="U456" s="51"/>
    </row>
    <row r="457" spans="2:21">
      <c r="F457" s="179"/>
    </row>
    <row r="458" spans="2:21">
      <c r="F458" s="180"/>
      <c r="G458" s="89"/>
      <c r="H458" s="89"/>
      <c r="I458" s="89"/>
      <c r="J458" s="89"/>
      <c r="K458" s="89"/>
      <c r="L458" s="89"/>
      <c r="M458" s="89"/>
      <c r="N458" s="89"/>
      <c r="O458" s="89"/>
    </row>
    <row r="459" spans="2:21" ht="16">
      <c r="G459" s="93"/>
      <c r="M459" s="94"/>
      <c r="N459" s="95"/>
      <c r="O459" s="95"/>
    </row>
    <row r="460" spans="2:21" ht="16">
      <c r="G460" s="93"/>
      <c r="H460" s="89"/>
      <c r="I460" s="89"/>
      <c r="J460" s="89"/>
      <c r="K460" s="89"/>
      <c r="L460" s="89"/>
    </row>
    <row r="461" spans="2:21" ht="16">
      <c r="G461" s="93"/>
    </row>
    <row r="462" spans="2:21">
      <c r="G462" s="94"/>
      <c r="M462" s="94"/>
      <c r="N462" s="94"/>
    </row>
    <row r="463" spans="2:21">
      <c r="G463" s="94"/>
    </row>
    <row r="465" spans="7:7">
      <c r="G465" s="96"/>
    </row>
    <row r="466" spans="7:7">
      <c r="G466" s="96"/>
    </row>
    <row r="467" spans="7:7">
      <c r="G467" s="96"/>
    </row>
  </sheetData>
  <autoFilter ref="A13:U442" xr:uid="{00000000-0009-0000-0000-000000000000}">
    <filterColumn colId="7" showButton="0"/>
    <filterColumn colId="8" showButton="0"/>
    <filterColumn colId="9" showButton="0"/>
    <filterColumn colId="10" showButton="0"/>
  </autoFilter>
  <mergeCells count="928">
    <mergeCell ref="P423:P427"/>
    <mergeCell ref="H424:L424"/>
    <mergeCell ref="H425:L425"/>
    <mergeCell ref="H426:L426"/>
    <mergeCell ref="H427:L427"/>
    <mergeCell ref="A428:A434"/>
    <mergeCell ref="B428:B431"/>
    <mergeCell ref="C428:C431"/>
    <mergeCell ref="H428:L428"/>
    <mergeCell ref="P428:P431"/>
    <mergeCell ref="H429:L429"/>
    <mergeCell ref="H430:L430"/>
    <mergeCell ref="H431:L431"/>
    <mergeCell ref="B432:B434"/>
    <mergeCell ref="C432:C434"/>
    <mergeCell ref="D432:D434"/>
    <mergeCell ref="F432:F433"/>
    <mergeCell ref="H432:H433"/>
    <mergeCell ref="I432:L432"/>
    <mergeCell ref="P432:P434"/>
    <mergeCell ref="A66:A72"/>
    <mergeCell ref="A174:A180"/>
    <mergeCell ref="A181:A187"/>
    <mergeCell ref="A96:A102"/>
    <mergeCell ref="A59:A65"/>
    <mergeCell ref="A82:A85"/>
    <mergeCell ref="A214:A218"/>
    <mergeCell ref="A202:A206"/>
    <mergeCell ref="A188:A194"/>
    <mergeCell ref="A148:A152"/>
    <mergeCell ref="A153:A159"/>
    <mergeCell ref="A160:A166"/>
    <mergeCell ref="A86:A88"/>
    <mergeCell ref="A103:A112"/>
    <mergeCell ref="A141:A144"/>
    <mergeCell ref="A145:A147"/>
    <mergeCell ref="A134:A140"/>
    <mergeCell ref="A120:A126"/>
    <mergeCell ref="A127:A133"/>
    <mergeCell ref="A113:A119"/>
    <mergeCell ref="A207:A213"/>
    <mergeCell ref="A167:A173"/>
    <mergeCell ref="D11:D13"/>
    <mergeCell ref="H104:L104"/>
    <mergeCell ref="H89:L89"/>
    <mergeCell ref="I93:L93"/>
    <mergeCell ref="H74:L74"/>
    <mergeCell ref="H60:L60"/>
    <mergeCell ref="H76:L76"/>
    <mergeCell ref="H75:L75"/>
    <mergeCell ref="D211:D213"/>
    <mergeCell ref="D93:D95"/>
    <mergeCell ref="F124:F125"/>
    <mergeCell ref="F110:F111"/>
    <mergeCell ref="F131:F132"/>
    <mergeCell ref="F93:F94"/>
    <mergeCell ref="F86:F87"/>
    <mergeCell ref="H32:L32"/>
    <mergeCell ref="H31:L31"/>
    <mergeCell ref="H82:L82"/>
    <mergeCell ref="G11:O12"/>
    <mergeCell ref="F164:F165"/>
    <mergeCell ref="F157:F158"/>
    <mergeCell ref="D138:D140"/>
    <mergeCell ref="D117:D119"/>
    <mergeCell ref="F70:F71"/>
    <mergeCell ref="H24:L24"/>
    <mergeCell ref="H27:L27"/>
    <mergeCell ref="H26:L26"/>
    <mergeCell ref="I28:L28"/>
    <mergeCell ref="H267:L267"/>
    <mergeCell ref="D261:D263"/>
    <mergeCell ref="A250:A256"/>
    <mergeCell ref="B233:B237"/>
    <mergeCell ref="A233:A237"/>
    <mergeCell ref="C188:C191"/>
    <mergeCell ref="B93:B95"/>
    <mergeCell ref="C93:C95"/>
    <mergeCell ref="C66:C69"/>
    <mergeCell ref="C100:C102"/>
    <mergeCell ref="C181:C184"/>
    <mergeCell ref="C141:C144"/>
    <mergeCell ref="B120:B123"/>
    <mergeCell ref="D145:D147"/>
    <mergeCell ref="B59:B62"/>
    <mergeCell ref="A89:A95"/>
    <mergeCell ref="A195:A201"/>
    <mergeCell ref="A226:A229"/>
    <mergeCell ref="A230:A232"/>
    <mergeCell ref="B73:B78"/>
    <mergeCell ref="C134:C137"/>
    <mergeCell ref="F145:F146"/>
    <mergeCell ref="B100:B102"/>
    <mergeCell ref="B138:B140"/>
    <mergeCell ref="C138:C140"/>
    <mergeCell ref="C131:C133"/>
    <mergeCell ref="D131:D133"/>
    <mergeCell ref="B131:B133"/>
    <mergeCell ref="B103:B109"/>
    <mergeCell ref="D124:D126"/>
    <mergeCell ref="B124:B126"/>
    <mergeCell ref="C120:C123"/>
    <mergeCell ref="B145:B147"/>
    <mergeCell ref="C145:C147"/>
    <mergeCell ref="B134:B137"/>
    <mergeCell ref="B96:B99"/>
    <mergeCell ref="C110:C112"/>
    <mergeCell ref="D110:D112"/>
    <mergeCell ref="D100:D102"/>
    <mergeCell ref="B110:B112"/>
    <mergeCell ref="C96:C99"/>
    <mergeCell ref="C127:C130"/>
    <mergeCell ref="C124:C126"/>
    <mergeCell ref="B82:B85"/>
    <mergeCell ref="B117:B119"/>
    <mergeCell ref="B113:B116"/>
    <mergeCell ref="C103:C109"/>
    <mergeCell ref="B127:B130"/>
    <mergeCell ref="A52:A58"/>
    <mergeCell ref="B35:B37"/>
    <mergeCell ref="C35:C37"/>
    <mergeCell ref="H55:L55"/>
    <mergeCell ref="H54:L54"/>
    <mergeCell ref="F35:F36"/>
    <mergeCell ref="H46:L46"/>
    <mergeCell ref="B49:B51"/>
    <mergeCell ref="B31:B34"/>
    <mergeCell ref="B45:B48"/>
    <mergeCell ref="A35:A37"/>
    <mergeCell ref="A45:A51"/>
    <mergeCell ref="B38:B41"/>
    <mergeCell ref="H40:L40"/>
    <mergeCell ref="F56:F57"/>
    <mergeCell ref="C52:C55"/>
    <mergeCell ref="B56:B58"/>
    <mergeCell ref="A38:A44"/>
    <mergeCell ref="H38:L38"/>
    <mergeCell ref="F49:F50"/>
    <mergeCell ref="C45:C48"/>
    <mergeCell ref="C49:C51"/>
    <mergeCell ref="C38:C41"/>
    <mergeCell ref="H39:L39"/>
    <mergeCell ref="D268:D270"/>
    <mergeCell ref="F290:F291"/>
    <mergeCell ref="C28:C30"/>
    <mergeCell ref="D28:D30"/>
    <mergeCell ref="F28:F29"/>
    <mergeCell ref="H28:H29"/>
    <mergeCell ref="H25:L25"/>
    <mergeCell ref="D304:D306"/>
    <mergeCell ref="F304:F305"/>
    <mergeCell ref="H304:H305"/>
    <mergeCell ref="I304:L304"/>
    <mergeCell ref="H123:L123"/>
    <mergeCell ref="H145:H146"/>
    <mergeCell ref="H127:L127"/>
    <mergeCell ref="H131:H132"/>
    <mergeCell ref="H135:L135"/>
    <mergeCell ref="H141:L141"/>
    <mergeCell ref="H136:L136"/>
    <mergeCell ref="H129:L129"/>
    <mergeCell ref="H124:H125"/>
    <mergeCell ref="I124:L124"/>
    <mergeCell ref="H138:H139"/>
    <mergeCell ref="H137:L137"/>
    <mergeCell ref="H143:L143"/>
    <mergeCell ref="F268:F269"/>
    <mergeCell ref="H268:H269"/>
    <mergeCell ref="H286:L286"/>
    <mergeCell ref="H240:L240"/>
    <mergeCell ref="I261:L261"/>
    <mergeCell ref="H241:L241"/>
    <mergeCell ref="F242:F243"/>
    <mergeCell ref="H242:H243"/>
    <mergeCell ref="I242:L242"/>
    <mergeCell ref="D230:D232"/>
    <mergeCell ref="H249:L249"/>
    <mergeCell ref="C238:C241"/>
    <mergeCell ref="B261:B263"/>
    <mergeCell ref="H223:H224"/>
    <mergeCell ref="H230:H231"/>
    <mergeCell ref="I230:L230"/>
    <mergeCell ref="H227:L227"/>
    <mergeCell ref="H228:L228"/>
    <mergeCell ref="H229:L229"/>
    <mergeCell ref="F230:F231"/>
    <mergeCell ref="F254:F255"/>
    <mergeCell ref="D242:D244"/>
    <mergeCell ref="H248:L248"/>
    <mergeCell ref="C250:C253"/>
    <mergeCell ref="H253:L253"/>
    <mergeCell ref="H254:H255"/>
    <mergeCell ref="D254:D256"/>
    <mergeCell ref="H239:L239"/>
    <mergeCell ref="H247:L247"/>
    <mergeCell ref="H246:L246"/>
    <mergeCell ref="H245:L245"/>
    <mergeCell ref="H238:L238"/>
    <mergeCell ref="H257:L257"/>
    <mergeCell ref="D297:D299"/>
    <mergeCell ref="C344:C346"/>
    <mergeCell ref="B293:B296"/>
    <mergeCell ref="B300:B303"/>
    <mergeCell ref="B297:B299"/>
    <mergeCell ref="B283:B285"/>
    <mergeCell ref="C214:C218"/>
    <mergeCell ref="H221:L221"/>
    <mergeCell ref="H220:L220"/>
    <mergeCell ref="H219:L219"/>
    <mergeCell ref="H215:L215"/>
    <mergeCell ref="C230:C232"/>
    <mergeCell ref="C233:C237"/>
    <mergeCell ref="C264:C267"/>
    <mergeCell ref="F261:F262"/>
    <mergeCell ref="H261:H262"/>
    <mergeCell ref="H259:L259"/>
    <mergeCell ref="H260:L260"/>
    <mergeCell ref="H214:L214"/>
    <mergeCell ref="H218:L218"/>
    <mergeCell ref="F223:F224"/>
    <mergeCell ref="H252:L252"/>
    <mergeCell ref="H251:L251"/>
    <mergeCell ref="D223:D225"/>
    <mergeCell ref="A359:A363"/>
    <mergeCell ref="A397:A403"/>
    <mergeCell ref="B382:B384"/>
    <mergeCell ref="A385:A391"/>
    <mergeCell ref="A392:A396"/>
    <mergeCell ref="B364:B367"/>
    <mergeCell ref="B378:B381"/>
    <mergeCell ref="A378:A384"/>
    <mergeCell ref="B311:B313"/>
    <mergeCell ref="B340:B343"/>
    <mergeCell ref="B344:B346"/>
    <mergeCell ref="B359:B363"/>
    <mergeCell ref="B328:B331"/>
    <mergeCell ref="A344:A346"/>
    <mergeCell ref="A307:A313"/>
    <mergeCell ref="B321:B324"/>
    <mergeCell ref="A321:A327"/>
    <mergeCell ref="A347:A351"/>
    <mergeCell ref="A352:A358"/>
    <mergeCell ref="A340:A343"/>
    <mergeCell ref="B318:B320"/>
    <mergeCell ref="B352:B355"/>
    <mergeCell ref="B347:B351"/>
    <mergeCell ref="A314:A320"/>
    <mergeCell ref="B456:D456"/>
    <mergeCell ref="A438:D438"/>
    <mergeCell ref="A437:D437"/>
    <mergeCell ref="B454:D454"/>
    <mergeCell ref="B455:D455"/>
    <mergeCell ref="B445:D445"/>
    <mergeCell ref="B444:D444"/>
    <mergeCell ref="B446:D446"/>
    <mergeCell ref="A442:D442"/>
    <mergeCell ref="A441:D441"/>
    <mergeCell ref="B452:D452"/>
    <mergeCell ref="B451:D451"/>
    <mergeCell ref="B447:D447"/>
    <mergeCell ref="B448:D448"/>
    <mergeCell ref="B449:D449"/>
    <mergeCell ref="A439:D439"/>
    <mergeCell ref="A440:D440"/>
    <mergeCell ref="B453:D453"/>
    <mergeCell ref="B450:D450"/>
    <mergeCell ref="A404:A408"/>
    <mergeCell ref="C385:C388"/>
    <mergeCell ref="C392:C396"/>
    <mergeCell ref="B371:B374"/>
    <mergeCell ref="B368:B370"/>
    <mergeCell ref="B375:B377"/>
    <mergeCell ref="C375:C377"/>
    <mergeCell ref="B392:B396"/>
    <mergeCell ref="A371:A377"/>
    <mergeCell ref="C378:C381"/>
    <mergeCell ref="B404:B408"/>
    <mergeCell ref="B385:B388"/>
    <mergeCell ref="A364:A370"/>
    <mergeCell ref="B401:B403"/>
    <mergeCell ref="C401:C403"/>
    <mergeCell ref="C371:C374"/>
    <mergeCell ref="C382:C384"/>
    <mergeCell ref="C389:C391"/>
    <mergeCell ref="C368:C370"/>
    <mergeCell ref="C364:C367"/>
    <mergeCell ref="B356:B358"/>
    <mergeCell ref="A335:A339"/>
    <mergeCell ref="B160:B163"/>
    <mergeCell ref="A271:A275"/>
    <mergeCell ref="B268:B270"/>
    <mergeCell ref="B230:B232"/>
    <mergeCell ref="B192:B194"/>
    <mergeCell ref="B290:B292"/>
    <mergeCell ref="B238:B241"/>
    <mergeCell ref="B242:B244"/>
    <mergeCell ref="B286:B289"/>
    <mergeCell ref="B264:B267"/>
    <mergeCell ref="B245:B249"/>
    <mergeCell ref="A257:A263"/>
    <mergeCell ref="A264:A270"/>
    <mergeCell ref="A238:A244"/>
    <mergeCell ref="A293:A299"/>
    <mergeCell ref="A300:A306"/>
    <mergeCell ref="A276:A285"/>
    <mergeCell ref="A286:A292"/>
    <mergeCell ref="A219:A225"/>
    <mergeCell ref="A245:A249"/>
    <mergeCell ref="B167:B170"/>
    <mergeCell ref="C276:C279"/>
    <mergeCell ref="B304:B306"/>
    <mergeCell ref="B307:B310"/>
    <mergeCell ref="B335:B339"/>
    <mergeCell ref="B314:B317"/>
    <mergeCell ref="A328:A334"/>
    <mergeCell ref="B332:B334"/>
    <mergeCell ref="B325:B327"/>
    <mergeCell ref="C347:C351"/>
    <mergeCell ref="C283:C285"/>
    <mergeCell ref="B280:B282"/>
    <mergeCell ref="B276:B279"/>
    <mergeCell ref="A16:A23"/>
    <mergeCell ref="B16:B23"/>
    <mergeCell ref="C16:C23"/>
    <mergeCell ref="B89:B92"/>
    <mergeCell ref="A24:A30"/>
    <mergeCell ref="B86:B88"/>
    <mergeCell ref="B79:B81"/>
    <mergeCell ref="D79:D81"/>
    <mergeCell ref="C86:C88"/>
    <mergeCell ref="D86:D88"/>
    <mergeCell ref="C56:C58"/>
    <mergeCell ref="D63:D65"/>
    <mergeCell ref="C73:C78"/>
    <mergeCell ref="C82:C85"/>
    <mergeCell ref="B63:B65"/>
    <mergeCell ref="C59:C62"/>
    <mergeCell ref="C89:C92"/>
    <mergeCell ref="B70:B72"/>
    <mergeCell ref="A73:A81"/>
    <mergeCell ref="C70:C72"/>
    <mergeCell ref="D70:D72"/>
    <mergeCell ref="B52:B55"/>
    <mergeCell ref="A31:A34"/>
    <mergeCell ref="B66:B69"/>
    <mergeCell ref="P52:P55"/>
    <mergeCell ref="H67:L67"/>
    <mergeCell ref="H68:L68"/>
    <mergeCell ref="H69:L69"/>
    <mergeCell ref="H63:H64"/>
    <mergeCell ref="I63:L63"/>
    <mergeCell ref="H66:L66"/>
    <mergeCell ref="P59:P62"/>
    <mergeCell ref="H79:H80"/>
    <mergeCell ref="I79:L79"/>
    <mergeCell ref="P79:P81"/>
    <mergeCell ref="C79:C81"/>
    <mergeCell ref="D56:D58"/>
    <mergeCell ref="C63:C65"/>
    <mergeCell ref="F79:F80"/>
    <mergeCell ref="H56:H57"/>
    <mergeCell ref="P73:P78"/>
    <mergeCell ref="H100:H101"/>
    <mergeCell ref="I100:L100"/>
    <mergeCell ref="H99:L99"/>
    <mergeCell ref="H61:L61"/>
    <mergeCell ref="P96:P99"/>
    <mergeCell ref="H92:L92"/>
    <mergeCell ref="H83:L83"/>
    <mergeCell ref="H96:L96"/>
    <mergeCell ref="H84:L84"/>
    <mergeCell ref="P89:P92"/>
    <mergeCell ref="H90:L90"/>
    <mergeCell ref="H62:L62"/>
    <mergeCell ref="H78:L78"/>
    <mergeCell ref="H77:L77"/>
    <mergeCell ref="H85:L85"/>
    <mergeCell ref="P70:P72"/>
    <mergeCell ref="H70:H71"/>
    <mergeCell ref="I70:L70"/>
    <mergeCell ref="H41:L41"/>
    <mergeCell ref="B42:B44"/>
    <mergeCell ref="H49:H50"/>
    <mergeCell ref="I49:L49"/>
    <mergeCell ref="P35:P37"/>
    <mergeCell ref="C31:C34"/>
    <mergeCell ref="P31:P34"/>
    <mergeCell ref="C42:C44"/>
    <mergeCell ref="D42:D44"/>
    <mergeCell ref="F42:F43"/>
    <mergeCell ref="H42:H43"/>
    <mergeCell ref="I42:L42"/>
    <mergeCell ref="P42:P44"/>
    <mergeCell ref="D35:D37"/>
    <mergeCell ref="H48:L48"/>
    <mergeCell ref="H47:L47"/>
    <mergeCell ref="P45:P48"/>
    <mergeCell ref="H35:H36"/>
    <mergeCell ref="I35:L35"/>
    <mergeCell ref="P38:P41"/>
    <mergeCell ref="H33:L33"/>
    <mergeCell ref="D49:D51"/>
    <mergeCell ref="H34:L34"/>
    <mergeCell ref="B28:B30"/>
    <mergeCell ref="E6:L6"/>
    <mergeCell ref="C24:C27"/>
    <mergeCell ref="B24:B27"/>
    <mergeCell ref="P24:P27"/>
    <mergeCell ref="P11:P13"/>
    <mergeCell ref="B11:B13"/>
    <mergeCell ref="N6:P6"/>
    <mergeCell ref="B9:O9"/>
    <mergeCell ref="H18:L18"/>
    <mergeCell ref="E11:E13"/>
    <mergeCell ref="P16:P23"/>
    <mergeCell ref="H13:L13"/>
    <mergeCell ref="H21:L21"/>
    <mergeCell ref="H17:L17"/>
    <mergeCell ref="H16:L16"/>
    <mergeCell ref="H14:L14"/>
    <mergeCell ref="H23:L23"/>
    <mergeCell ref="H22:L22"/>
    <mergeCell ref="A15:P15"/>
    <mergeCell ref="H20:L20"/>
    <mergeCell ref="H19:L19"/>
    <mergeCell ref="A11:A13"/>
    <mergeCell ref="F11:F13"/>
    <mergeCell ref="C11:C13"/>
    <mergeCell ref="P66:P69"/>
    <mergeCell ref="C117:C119"/>
    <mergeCell ref="F63:F64"/>
    <mergeCell ref="C113:C116"/>
    <mergeCell ref="P49:P51"/>
    <mergeCell ref="H107:L107"/>
    <mergeCell ref="H108:L108"/>
    <mergeCell ref="H109:L109"/>
    <mergeCell ref="P56:P58"/>
    <mergeCell ref="H59:L59"/>
    <mergeCell ref="H52:L52"/>
    <mergeCell ref="P93:P95"/>
    <mergeCell ref="P86:P88"/>
    <mergeCell ref="H98:L98"/>
    <mergeCell ref="P63:P65"/>
    <mergeCell ref="H53:L53"/>
    <mergeCell ref="I56:L56"/>
    <mergeCell ref="H97:L97"/>
    <mergeCell ref="H73:L73"/>
    <mergeCell ref="F100:F101"/>
    <mergeCell ref="F117:F118"/>
    <mergeCell ref="P28:P30"/>
    <mergeCell ref="H45:L45"/>
    <mergeCell ref="H359:L359"/>
    <mergeCell ref="P382:P384"/>
    <mergeCell ref="H371:L371"/>
    <mergeCell ref="H338:L338"/>
    <mergeCell ref="H339:L339"/>
    <mergeCell ref="I332:L332"/>
    <mergeCell ref="H216:L216"/>
    <mergeCell ref="H250:L250"/>
    <mergeCell ref="H120:L120"/>
    <mergeCell ref="H122:L122"/>
    <mergeCell ref="H290:H291"/>
    <mergeCell ref="I290:L290"/>
    <mergeCell ref="H296:L296"/>
    <mergeCell ref="H295:L295"/>
    <mergeCell ref="H274:L274"/>
    <mergeCell ref="H273:L273"/>
    <mergeCell ref="P127:P130"/>
    <mergeCell ref="H121:L121"/>
    <mergeCell ref="P356:P358"/>
    <mergeCell ref="H361:L361"/>
    <mergeCell ref="P371:P374"/>
    <mergeCell ref="H375:H376"/>
    <mergeCell ref="H380:L380"/>
    <mergeCell ref="H379:L379"/>
    <mergeCell ref="H211:H212"/>
    <mergeCell ref="I211:L211"/>
    <mergeCell ref="P211:P213"/>
    <mergeCell ref="H210:L210"/>
    <mergeCell ref="P199:P201"/>
    <mergeCell ref="H226:L226"/>
    <mergeCell ref="P226:P229"/>
    <mergeCell ref="I344:L344"/>
    <mergeCell ref="H336:L336"/>
    <mergeCell ref="H328:L328"/>
    <mergeCell ref="H341:L341"/>
    <mergeCell ref="H217:L217"/>
    <mergeCell ref="H283:H284"/>
    <mergeCell ref="I283:L283"/>
    <mergeCell ref="P264:P267"/>
    <mergeCell ref="P214:P218"/>
    <mergeCell ref="P238:P241"/>
    <mergeCell ref="H209:L209"/>
    <mergeCell ref="H237:L237"/>
    <mergeCell ref="P230:P232"/>
    <mergeCell ref="P261:P263"/>
    <mergeCell ref="P223:P225"/>
    <mergeCell ref="P245:P249"/>
    <mergeCell ref="I254:L254"/>
    <mergeCell ref="P413:P415"/>
    <mergeCell ref="D420:D422"/>
    <mergeCell ref="F420:F421"/>
    <mergeCell ref="H420:H421"/>
    <mergeCell ref="I420:L420"/>
    <mergeCell ref="P416:P419"/>
    <mergeCell ref="P389:P391"/>
    <mergeCell ref="P420:P422"/>
    <mergeCell ref="P404:P408"/>
    <mergeCell ref="P401:P403"/>
    <mergeCell ref="H407:L407"/>
    <mergeCell ref="F413:F414"/>
    <mergeCell ref="H401:H402"/>
    <mergeCell ref="H404:L404"/>
    <mergeCell ref="H405:L405"/>
    <mergeCell ref="H406:L406"/>
    <mergeCell ref="D413:D415"/>
    <mergeCell ref="P409:P412"/>
    <mergeCell ref="H413:H414"/>
    <mergeCell ref="I413:L413"/>
    <mergeCell ref="P397:P400"/>
    <mergeCell ref="H395:L395"/>
    <mergeCell ref="H394:L394"/>
    <mergeCell ref="D389:D391"/>
    <mergeCell ref="H368:H369"/>
    <mergeCell ref="H378:L378"/>
    <mergeCell ref="H362:L362"/>
    <mergeCell ref="H363:L363"/>
    <mergeCell ref="P392:P396"/>
    <mergeCell ref="H393:L393"/>
    <mergeCell ref="I382:L382"/>
    <mergeCell ref="P385:P388"/>
    <mergeCell ref="H372:L372"/>
    <mergeCell ref="H373:L373"/>
    <mergeCell ref="H374:L374"/>
    <mergeCell ref="P378:P381"/>
    <mergeCell ref="H364:L364"/>
    <mergeCell ref="H388:L388"/>
    <mergeCell ref="H382:H383"/>
    <mergeCell ref="H385:L385"/>
    <mergeCell ref="H386:L386"/>
    <mergeCell ref="H387:L387"/>
    <mergeCell ref="I375:L375"/>
    <mergeCell ref="H381:L381"/>
    <mergeCell ref="I368:L368"/>
    <mergeCell ref="P375:P377"/>
    <mergeCell ref="P368:P370"/>
    <mergeCell ref="H367:L367"/>
    <mergeCell ref="D368:D370"/>
    <mergeCell ref="D382:D384"/>
    <mergeCell ref="F382:F383"/>
    <mergeCell ref="D280:D282"/>
    <mergeCell ref="D290:D292"/>
    <mergeCell ref="C332:C334"/>
    <mergeCell ref="D332:D334"/>
    <mergeCell ref="C356:C358"/>
    <mergeCell ref="D356:D358"/>
    <mergeCell ref="F375:F376"/>
    <mergeCell ref="D375:D377"/>
    <mergeCell ref="F368:F369"/>
    <mergeCell ref="C328:C331"/>
    <mergeCell ref="F280:F281"/>
    <mergeCell ref="C325:C327"/>
    <mergeCell ref="C321:C324"/>
    <mergeCell ref="F318:F319"/>
    <mergeCell ref="D325:D327"/>
    <mergeCell ref="F325:F326"/>
    <mergeCell ref="F332:F333"/>
    <mergeCell ref="F356:F357"/>
    <mergeCell ref="C359:C363"/>
    <mergeCell ref="D344:D346"/>
    <mergeCell ref="D283:D285"/>
    <mergeCell ref="B420:B422"/>
    <mergeCell ref="A435:D435"/>
    <mergeCell ref="A436:D436"/>
    <mergeCell ref="A409:A415"/>
    <mergeCell ref="A423:A427"/>
    <mergeCell ref="B423:B427"/>
    <mergeCell ref="C423:C427"/>
    <mergeCell ref="H423:L423"/>
    <mergeCell ref="H417:L417"/>
    <mergeCell ref="H416:L416"/>
    <mergeCell ref="H418:L418"/>
    <mergeCell ref="C420:C422"/>
    <mergeCell ref="B413:B415"/>
    <mergeCell ref="H409:L409"/>
    <mergeCell ref="H410:L410"/>
    <mergeCell ref="H419:L419"/>
    <mergeCell ref="A416:A422"/>
    <mergeCell ref="C416:C419"/>
    <mergeCell ref="C409:C412"/>
    <mergeCell ref="C413:C415"/>
    <mergeCell ref="F389:F390"/>
    <mergeCell ref="H389:H390"/>
    <mergeCell ref="I389:L389"/>
    <mergeCell ref="B409:B412"/>
    <mergeCell ref="B389:B391"/>
    <mergeCell ref="B416:B419"/>
    <mergeCell ref="D401:D403"/>
    <mergeCell ref="F401:F402"/>
    <mergeCell ref="H398:L398"/>
    <mergeCell ref="H397:L397"/>
    <mergeCell ref="B397:B400"/>
    <mergeCell ref="H408:L408"/>
    <mergeCell ref="C404:C408"/>
    <mergeCell ref="H412:L412"/>
    <mergeCell ref="H392:L392"/>
    <mergeCell ref="H400:L400"/>
    <mergeCell ref="I401:L401"/>
    <mergeCell ref="C397:C400"/>
    <mergeCell ref="H399:L399"/>
    <mergeCell ref="H411:L411"/>
    <mergeCell ref="H396:L396"/>
    <mergeCell ref="H456:L456"/>
    <mergeCell ref="H455:L455"/>
    <mergeCell ref="H454:L454"/>
    <mergeCell ref="H453:L453"/>
    <mergeCell ref="H452:L452"/>
    <mergeCell ref="H451:L451"/>
    <mergeCell ref="H450:L450"/>
    <mergeCell ref="H449:L449"/>
    <mergeCell ref="H435:L435"/>
    <mergeCell ref="H436:L436"/>
    <mergeCell ref="H437:L437"/>
    <mergeCell ref="H438:L438"/>
    <mergeCell ref="H439:L439"/>
    <mergeCell ref="H440:L440"/>
    <mergeCell ref="H441:L441"/>
    <mergeCell ref="H442:L442"/>
    <mergeCell ref="H448:L448"/>
    <mergeCell ref="H445:L445"/>
    <mergeCell ref="H444:L444"/>
    <mergeCell ref="H447:L447"/>
    <mergeCell ref="H446:L446"/>
    <mergeCell ref="H365:L365"/>
    <mergeCell ref="H366:L366"/>
    <mergeCell ref="P364:P367"/>
    <mergeCell ref="P271:P275"/>
    <mergeCell ref="H289:L289"/>
    <mergeCell ref="H318:H319"/>
    <mergeCell ref="H314:L314"/>
    <mergeCell ref="P283:P285"/>
    <mergeCell ref="P280:P282"/>
    <mergeCell ref="P307:P310"/>
    <mergeCell ref="P276:P279"/>
    <mergeCell ref="H297:H298"/>
    <mergeCell ref="P344:P346"/>
    <mergeCell ref="P340:P343"/>
    <mergeCell ref="H335:L335"/>
    <mergeCell ref="H332:H333"/>
    <mergeCell ref="H344:H345"/>
    <mergeCell ref="P359:P363"/>
    <mergeCell ref="P325:P327"/>
    <mergeCell ref="P314:P317"/>
    <mergeCell ref="H325:H326"/>
    <mergeCell ref="H353:L353"/>
    <mergeCell ref="H356:H357"/>
    <mergeCell ref="H337:L337"/>
    <mergeCell ref="C352:C355"/>
    <mergeCell ref="H360:L360"/>
    <mergeCell ref="H280:H281"/>
    <mergeCell ref="C293:C296"/>
    <mergeCell ref="I280:L280"/>
    <mergeCell ref="H279:L279"/>
    <mergeCell ref="H278:L278"/>
    <mergeCell ref="H275:L275"/>
    <mergeCell ref="H271:L271"/>
    <mergeCell ref="H340:L340"/>
    <mergeCell ref="F344:F345"/>
    <mergeCell ref="H300:L300"/>
    <mergeCell ref="H287:L287"/>
    <mergeCell ref="H303:L303"/>
    <mergeCell ref="C290:C292"/>
    <mergeCell ref="C335:C339"/>
    <mergeCell ref="H322:L322"/>
    <mergeCell ref="H288:L288"/>
    <mergeCell ref="H277:L277"/>
    <mergeCell ref="H276:L276"/>
    <mergeCell ref="I297:L297"/>
    <mergeCell ref="C280:C282"/>
    <mergeCell ref="C307:C310"/>
    <mergeCell ref="C340:C343"/>
    <mergeCell ref="F297:F298"/>
    <mergeCell ref="C286:C289"/>
    <mergeCell ref="D311:D313"/>
    <mergeCell ref="H258:L258"/>
    <mergeCell ref="C318:C320"/>
    <mergeCell ref="D318:D320"/>
    <mergeCell ref="C297:C299"/>
    <mergeCell ref="C300:C303"/>
    <mergeCell ref="C314:C317"/>
    <mergeCell ref="C304:C306"/>
    <mergeCell ref="C311:C313"/>
    <mergeCell ref="F311:F312"/>
    <mergeCell ref="F283:F284"/>
    <mergeCell ref="C271:C275"/>
    <mergeCell ref="C257:C260"/>
    <mergeCell ref="H311:H312"/>
    <mergeCell ref="I311:L311"/>
    <mergeCell ref="H293:L293"/>
    <mergeCell ref="H266:L266"/>
    <mergeCell ref="H265:L265"/>
    <mergeCell ref="H264:L264"/>
    <mergeCell ref="H302:L302"/>
    <mergeCell ref="H294:L294"/>
    <mergeCell ref="H301:L301"/>
    <mergeCell ref="H86:H87"/>
    <mergeCell ref="I86:L86"/>
    <mergeCell ref="H91:L91"/>
    <mergeCell ref="H93:H94"/>
    <mergeCell ref="H110:H111"/>
    <mergeCell ref="H117:H118"/>
    <mergeCell ref="P103:P109"/>
    <mergeCell ref="H103:L103"/>
    <mergeCell ref="P100:P102"/>
    <mergeCell ref="P117:P119"/>
    <mergeCell ref="P113:P116"/>
    <mergeCell ref="P192:P194"/>
    <mergeCell ref="H203:L203"/>
    <mergeCell ref="H206:L206"/>
    <mergeCell ref="H202:L202"/>
    <mergeCell ref="P171:P173"/>
    <mergeCell ref="H105:L105"/>
    <mergeCell ref="H106:L106"/>
    <mergeCell ref="H207:L207"/>
    <mergeCell ref="H199:H200"/>
    <mergeCell ref="I199:L199"/>
    <mergeCell ref="P124:P126"/>
    <mergeCell ref="H205:L205"/>
    <mergeCell ref="H204:L204"/>
    <mergeCell ref="I131:L131"/>
    <mergeCell ref="P131:P133"/>
    <mergeCell ref="H130:L130"/>
    <mergeCell ref="H128:L128"/>
    <mergeCell ref="H134:L134"/>
    <mergeCell ref="P138:P140"/>
    <mergeCell ref="P134:P137"/>
    <mergeCell ref="H156:L156"/>
    <mergeCell ref="H155:L155"/>
    <mergeCell ref="P178:P180"/>
    <mergeCell ref="P164:P166"/>
    <mergeCell ref="P82:P85"/>
    <mergeCell ref="I110:L110"/>
    <mergeCell ref="H116:L116"/>
    <mergeCell ref="H115:L115"/>
    <mergeCell ref="H114:L114"/>
    <mergeCell ref="H113:L113"/>
    <mergeCell ref="I117:L117"/>
    <mergeCell ref="I356:L356"/>
    <mergeCell ref="H347:L347"/>
    <mergeCell ref="H324:L324"/>
    <mergeCell ref="H321:L321"/>
    <mergeCell ref="H208:L208"/>
    <mergeCell ref="H330:L330"/>
    <mergeCell ref="H331:L331"/>
    <mergeCell ref="P268:P270"/>
    <mergeCell ref="I223:L223"/>
    <mergeCell ref="I268:L268"/>
    <mergeCell ref="H272:L272"/>
    <mergeCell ref="H233:L233"/>
    <mergeCell ref="P233:P237"/>
    <mergeCell ref="P242:P244"/>
    <mergeCell ref="H234:L234"/>
    <mergeCell ref="H235:L235"/>
    <mergeCell ref="H236:L236"/>
    <mergeCell ref="F211:F212"/>
    <mergeCell ref="P110:P112"/>
    <mergeCell ref="P120:P123"/>
    <mergeCell ref="P202:P206"/>
    <mergeCell ref="P195:P198"/>
    <mergeCell ref="P188:P191"/>
    <mergeCell ref="P207:P210"/>
    <mergeCell ref="P141:P144"/>
    <mergeCell ref="P145:P147"/>
    <mergeCell ref="H183:L183"/>
    <mergeCell ref="H182:L182"/>
    <mergeCell ref="H181:L181"/>
    <mergeCell ref="H162:L162"/>
    <mergeCell ref="I145:L145"/>
    <mergeCell ref="H154:L154"/>
    <mergeCell ref="P185:P187"/>
    <mergeCell ref="F192:F193"/>
    <mergeCell ref="P167:P170"/>
    <mergeCell ref="P153:P156"/>
    <mergeCell ref="P157:P159"/>
    <mergeCell ref="I178:L178"/>
    <mergeCell ref="H184:L184"/>
    <mergeCell ref="P181:P184"/>
    <mergeCell ref="P148:P152"/>
    <mergeCell ref="P219:P222"/>
    <mergeCell ref="H222:L222"/>
    <mergeCell ref="P257:P260"/>
    <mergeCell ref="P290:P292"/>
    <mergeCell ref="P293:P296"/>
    <mergeCell ref="P254:P256"/>
    <mergeCell ref="P250:P253"/>
    <mergeCell ref="P297:P299"/>
    <mergeCell ref="H352:L352"/>
    <mergeCell ref="H351:L351"/>
    <mergeCell ref="H350:L350"/>
    <mergeCell ref="H349:L349"/>
    <mergeCell ref="P321:P324"/>
    <mergeCell ref="P304:P306"/>
    <mergeCell ref="H316:L316"/>
    <mergeCell ref="H315:L315"/>
    <mergeCell ref="I325:L325"/>
    <mergeCell ref="I318:L318"/>
    <mergeCell ref="H310:L310"/>
    <mergeCell ref="H309:L309"/>
    <mergeCell ref="H308:L308"/>
    <mergeCell ref="H307:L307"/>
    <mergeCell ref="P300:P303"/>
    <mergeCell ref="H329:L329"/>
    <mergeCell ref="P311:P313"/>
    <mergeCell ref="P318:P320"/>
    <mergeCell ref="P328:P331"/>
    <mergeCell ref="H317:L317"/>
    <mergeCell ref="H323:L323"/>
    <mergeCell ref="P286:P289"/>
    <mergeCell ref="P352:P355"/>
    <mergeCell ref="P335:P339"/>
    <mergeCell ref="P332:P334"/>
    <mergeCell ref="H342:L342"/>
    <mergeCell ref="H354:L354"/>
    <mergeCell ref="H343:L343"/>
    <mergeCell ref="H355:L355"/>
    <mergeCell ref="P347:P351"/>
    <mergeCell ref="H348:L348"/>
    <mergeCell ref="C167:C170"/>
    <mergeCell ref="B164:B166"/>
    <mergeCell ref="C174:C177"/>
    <mergeCell ref="H189:L189"/>
    <mergeCell ref="H190:L190"/>
    <mergeCell ref="I185:L185"/>
    <mergeCell ref="B171:B173"/>
    <mergeCell ref="B174:B177"/>
    <mergeCell ref="B185:B187"/>
    <mergeCell ref="C185:C187"/>
    <mergeCell ref="D185:D187"/>
    <mergeCell ref="B178:B180"/>
    <mergeCell ref="H185:H186"/>
    <mergeCell ref="H175:L175"/>
    <mergeCell ref="H176:L176"/>
    <mergeCell ref="F185:F186"/>
    <mergeCell ref="C171:C173"/>
    <mergeCell ref="D171:D173"/>
    <mergeCell ref="F178:F179"/>
    <mergeCell ref="H169:L169"/>
    <mergeCell ref="D164:D166"/>
    <mergeCell ref="F171:F172"/>
    <mergeCell ref="D178:D180"/>
    <mergeCell ref="C164:C166"/>
    <mergeCell ref="H163:L163"/>
    <mergeCell ref="H160:L160"/>
    <mergeCell ref="P174:P177"/>
    <mergeCell ref="P160:P163"/>
    <mergeCell ref="H168:L168"/>
    <mergeCell ref="H167:L167"/>
    <mergeCell ref="H174:L174"/>
    <mergeCell ref="H171:H172"/>
    <mergeCell ref="I171:L171"/>
    <mergeCell ref="H177:L177"/>
    <mergeCell ref="H170:L170"/>
    <mergeCell ref="C153:C156"/>
    <mergeCell ref="B157:B159"/>
    <mergeCell ref="B141:B144"/>
    <mergeCell ref="H161:L161"/>
    <mergeCell ref="H164:H165"/>
    <mergeCell ref="I164:L164"/>
    <mergeCell ref="H153:L153"/>
    <mergeCell ref="F138:F139"/>
    <mergeCell ref="H151:L151"/>
    <mergeCell ref="H150:L150"/>
    <mergeCell ref="H149:L149"/>
    <mergeCell ref="I138:L138"/>
    <mergeCell ref="H144:L144"/>
    <mergeCell ref="H142:L142"/>
    <mergeCell ref="C160:C163"/>
    <mergeCell ref="I157:L157"/>
    <mergeCell ref="H148:L148"/>
    <mergeCell ref="H157:H158"/>
    <mergeCell ref="B148:B152"/>
    <mergeCell ref="H152:L152"/>
    <mergeCell ref="D157:D159"/>
    <mergeCell ref="C148:C152"/>
    <mergeCell ref="C157:C159"/>
    <mergeCell ref="B153:B156"/>
    <mergeCell ref="D199:D201"/>
    <mergeCell ref="H191:L191"/>
    <mergeCell ref="H178:H179"/>
    <mergeCell ref="H192:H193"/>
    <mergeCell ref="I192:L192"/>
    <mergeCell ref="F199:F200"/>
    <mergeCell ref="H196:L196"/>
    <mergeCell ref="H197:L197"/>
    <mergeCell ref="H198:L198"/>
    <mergeCell ref="H188:L188"/>
    <mergeCell ref="D192:D194"/>
    <mergeCell ref="H195:L195"/>
    <mergeCell ref="C207:C210"/>
    <mergeCell ref="C178:C180"/>
    <mergeCell ref="C202:C206"/>
    <mergeCell ref="B226:B229"/>
    <mergeCell ref="B202:B206"/>
    <mergeCell ref="B214:B218"/>
    <mergeCell ref="B207:B210"/>
    <mergeCell ref="C223:C225"/>
    <mergeCell ref="C199:C201"/>
    <mergeCell ref="B195:B198"/>
    <mergeCell ref="C195:C198"/>
    <mergeCell ref="B199:B201"/>
    <mergeCell ref="C211:C213"/>
    <mergeCell ref="C219:C222"/>
    <mergeCell ref="C226:C229"/>
    <mergeCell ref="B211:B213"/>
    <mergeCell ref="B219:B222"/>
    <mergeCell ref="B223:B225"/>
    <mergeCell ref="B181:B184"/>
    <mergeCell ref="B188:B191"/>
    <mergeCell ref="C192:C194"/>
    <mergeCell ref="C268:C270"/>
    <mergeCell ref="C254:C256"/>
    <mergeCell ref="C245:C249"/>
    <mergeCell ref="B250:B253"/>
    <mergeCell ref="B257:B260"/>
    <mergeCell ref="C261:C263"/>
    <mergeCell ref="C242:C244"/>
    <mergeCell ref="B254:B256"/>
    <mergeCell ref="B271:B275"/>
  </mergeCells>
  <pageMargins left="0.19685039370078741" right="0.19685039370078741" top="0.59055118110236227" bottom="0.19685039370078741" header="0.39370078740157483" footer="0"/>
  <pageSetup paperSize="9" scale="45" fitToHeight="0" orientation="landscape" useFirstPageNumber="1" r:id="rId1"/>
  <headerFooter differentFirst="1" alignWithMargins="0">
    <oddHeader>&amp;C&amp;P</oddHeader>
  </headerFooter>
  <rowBreaks count="13" manualBreakCount="13">
    <brk id="34" max="15" man="1"/>
    <brk id="58" max="15" man="1"/>
    <brk id="85" max="15" man="1"/>
    <brk id="112" max="15" man="1"/>
    <brk id="173" max="15" man="1"/>
    <brk id="201" max="15" man="1"/>
    <brk id="229" max="15" man="1"/>
    <brk id="256" max="15" man="1"/>
    <brk id="285" max="15" man="1"/>
    <brk id="313" max="15" man="1"/>
    <brk id="343" max="15" man="1"/>
    <brk id="403" max="15" man="1"/>
    <brk id="427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FFFF00"/>
    <pageSetUpPr fitToPage="1"/>
  </sheetPr>
  <dimension ref="A1:AE192"/>
  <sheetViews>
    <sheetView view="pageBreakPreview" zoomScale="85" zoomScaleNormal="80" zoomScaleSheetLayoutView="85" workbookViewId="0">
      <pane ySplit="4" topLeftCell="A148" activePane="bottomLeft" state="frozen"/>
      <selection pane="bottomLeft" activeCell="L169" sqref="H169:L169"/>
    </sheetView>
  </sheetViews>
  <sheetFormatPr baseColWidth="10" defaultColWidth="9.1640625" defaultRowHeight="15"/>
  <cols>
    <col min="1" max="1" width="8.33203125" style="1" customWidth="1"/>
    <col min="2" max="2" width="86.5" style="1" customWidth="1"/>
    <col min="3" max="3" width="18.5" style="14" customWidth="1"/>
    <col min="4" max="4" width="31.1640625" style="1" customWidth="1"/>
    <col min="5" max="5" width="20.6640625" style="1" hidden="1" customWidth="1"/>
    <col min="6" max="6" width="21.6640625" style="190" customWidth="1"/>
    <col min="7" max="7" width="18" style="43" customWidth="1"/>
    <col min="8" max="12" width="8.5" style="1" customWidth="1"/>
    <col min="13" max="13" width="18" style="43" customWidth="1"/>
    <col min="14" max="15" width="18" style="1" customWidth="1"/>
    <col min="16" max="16" width="25.83203125" style="1" customWidth="1"/>
    <col min="17" max="19" width="23.1640625" style="118" customWidth="1"/>
    <col min="20" max="20" width="20" style="1" customWidth="1"/>
    <col min="21" max="21" width="23.5" style="9" customWidth="1"/>
    <col min="22" max="22" width="9.1640625" style="9" customWidth="1"/>
    <col min="23" max="23" width="12.5" style="9" customWidth="1"/>
    <col min="24" max="31" width="9.1640625" style="9"/>
    <col min="32" max="16384" width="9.1640625" style="1"/>
  </cols>
  <sheetData>
    <row r="1" spans="1:19" ht="15.75" customHeight="1">
      <c r="A1" s="374" t="s">
        <v>0</v>
      </c>
      <c r="B1" s="372" t="s">
        <v>155</v>
      </c>
      <c r="C1" s="372" t="s">
        <v>54</v>
      </c>
      <c r="D1" s="372" t="s">
        <v>6</v>
      </c>
      <c r="E1" s="372" t="s">
        <v>45</v>
      </c>
      <c r="F1" s="377" t="s">
        <v>7</v>
      </c>
      <c r="G1" s="372" t="s">
        <v>16</v>
      </c>
      <c r="H1" s="372"/>
      <c r="I1" s="372"/>
      <c r="J1" s="372"/>
      <c r="K1" s="372"/>
      <c r="L1" s="372"/>
      <c r="M1" s="372"/>
      <c r="N1" s="372"/>
      <c r="O1" s="372"/>
      <c r="P1" s="373" t="s">
        <v>8</v>
      </c>
      <c r="Q1" s="33"/>
      <c r="R1" s="33"/>
      <c r="S1" s="33"/>
    </row>
    <row r="2" spans="1:19" ht="15.75" customHeight="1">
      <c r="A2" s="375"/>
      <c r="B2" s="372"/>
      <c r="C2" s="372"/>
      <c r="D2" s="376"/>
      <c r="E2" s="372"/>
      <c r="F2" s="377"/>
      <c r="G2" s="372"/>
      <c r="H2" s="372"/>
      <c r="I2" s="372"/>
      <c r="J2" s="372"/>
      <c r="K2" s="372"/>
      <c r="L2" s="372"/>
      <c r="M2" s="372"/>
      <c r="N2" s="372"/>
      <c r="O2" s="372"/>
      <c r="P2" s="373"/>
      <c r="Q2" s="33"/>
      <c r="R2" s="33"/>
      <c r="S2" s="33"/>
    </row>
    <row r="3" spans="1:19" ht="36.75" customHeight="1">
      <c r="A3" s="375"/>
      <c r="B3" s="372"/>
      <c r="C3" s="376"/>
      <c r="D3" s="376"/>
      <c r="E3" s="372"/>
      <c r="F3" s="377"/>
      <c r="G3" s="139" t="s">
        <v>46</v>
      </c>
      <c r="H3" s="304" t="s">
        <v>47</v>
      </c>
      <c r="I3" s="304"/>
      <c r="J3" s="304"/>
      <c r="K3" s="304"/>
      <c r="L3" s="304"/>
      <c r="M3" s="139" t="s">
        <v>85</v>
      </c>
      <c r="N3" s="139" t="s">
        <v>86</v>
      </c>
      <c r="O3" s="139" t="s">
        <v>87</v>
      </c>
      <c r="P3" s="373"/>
      <c r="Q3" s="33"/>
      <c r="R3" s="33"/>
      <c r="S3" s="33"/>
    </row>
    <row r="4" spans="1:19" ht="21" customHeight="1">
      <c r="A4" s="136">
        <v>1</v>
      </c>
      <c r="B4" s="136">
        <v>2</v>
      </c>
      <c r="C4" s="136" t="s">
        <v>9</v>
      </c>
      <c r="D4" s="136" t="s">
        <v>38</v>
      </c>
      <c r="E4" s="136" t="s">
        <v>10</v>
      </c>
      <c r="F4" s="172" t="s">
        <v>10</v>
      </c>
      <c r="G4" s="136" t="s">
        <v>36</v>
      </c>
      <c r="H4" s="305" t="s">
        <v>11</v>
      </c>
      <c r="I4" s="305"/>
      <c r="J4" s="305"/>
      <c r="K4" s="305"/>
      <c r="L4" s="305"/>
      <c r="M4" s="136" t="s">
        <v>37</v>
      </c>
      <c r="N4" s="136" t="s">
        <v>12</v>
      </c>
      <c r="O4" s="136" t="s">
        <v>13</v>
      </c>
      <c r="P4" s="136" t="s">
        <v>15</v>
      </c>
      <c r="Q4" s="31"/>
      <c r="R4" s="31"/>
      <c r="S4" s="31"/>
    </row>
    <row r="5" spans="1:19" ht="33" customHeight="1">
      <c r="A5" s="373" t="s">
        <v>165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3"/>
      <c r="R5" s="33"/>
      <c r="S5" s="33"/>
    </row>
    <row r="6" spans="1:19" s="9" customFormat="1" ht="18.75" customHeight="1">
      <c r="A6" s="309" t="s">
        <v>14</v>
      </c>
      <c r="B6" s="238" t="s">
        <v>116</v>
      </c>
      <c r="C6" s="238" t="s">
        <v>89</v>
      </c>
      <c r="D6" s="157" t="s">
        <v>2</v>
      </c>
      <c r="E6" s="158">
        <f>E9</f>
        <v>1000</v>
      </c>
      <c r="F6" s="173">
        <f t="shared" ref="F6:F14" si="0">SUM(G6:O6)</f>
        <v>5180</v>
      </c>
      <c r="G6" s="158">
        <f>G9</f>
        <v>1180</v>
      </c>
      <c r="H6" s="252">
        <f>H9</f>
        <v>1000</v>
      </c>
      <c r="I6" s="252"/>
      <c r="J6" s="252"/>
      <c r="K6" s="252"/>
      <c r="L6" s="252"/>
      <c r="M6" s="158">
        <f>M9</f>
        <v>1000</v>
      </c>
      <c r="N6" s="158">
        <f>N9</f>
        <v>1000</v>
      </c>
      <c r="O6" s="158">
        <f>O9</f>
        <v>1000</v>
      </c>
      <c r="P6" s="262"/>
      <c r="Q6" s="102"/>
      <c r="R6" s="102"/>
      <c r="S6" s="102"/>
    </row>
    <row r="7" spans="1:19" s="9" customFormat="1" ht="38.25" customHeight="1">
      <c r="A7" s="309"/>
      <c r="B7" s="238"/>
      <c r="C7" s="238"/>
      <c r="D7" s="157" t="s">
        <v>41</v>
      </c>
      <c r="E7" s="158"/>
      <c r="F7" s="173">
        <f t="shared" si="0"/>
        <v>0</v>
      </c>
      <c r="G7" s="159">
        <f t="shared" ref="G7" si="1">G11</f>
        <v>0</v>
      </c>
      <c r="H7" s="251">
        <f>H11</f>
        <v>0</v>
      </c>
      <c r="I7" s="251"/>
      <c r="J7" s="251"/>
      <c r="K7" s="251"/>
      <c r="L7" s="251"/>
      <c r="M7" s="159">
        <f t="shared" ref="M7:O7" si="2">M11</f>
        <v>0</v>
      </c>
      <c r="N7" s="159">
        <f t="shared" si="2"/>
        <v>0</v>
      </c>
      <c r="O7" s="159">
        <f t="shared" si="2"/>
        <v>0</v>
      </c>
      <c r="P7" s="262"/>
      <c r="Q7" s="102"/>
      <c r="R7" s="102"/>
      <c r="S7" s="102"/>
    </row>
    <row r="8" spans="1:19" s="9" customFormat="1" ht="38">
      <c r="A8" s="309"/>
      <c r="B8" s="238"/>
      <c r="C8" s="238"/>
      <c r="D8" s="157" t="s">
        <v>1</v>
      </c>
      <c r="E8" s="158"/>
      <c r="F8" s="173">
        <f t="shared" si="0"/>
        <v>0</v>
      </c>
      <c r="G8" s="159">
        <f t="shared" ref="G8" si="3">G12</f>
        <v>0</v>
      </c>
      <c r="H8" s="251">
        <f>H12</f>
        <v>0</v>
      </c>
      <c r="I8" s="251"/>
      <c r="J8" s="251"/>
      <c r="K8" s="251"/>
      <c r="L8" s="251"/>
      <c r="M8" s="159">
        <f t="shared" ref="M8:O8" si="4">M12</f>
        <v>0</v>
      </c>
      <c r="N8" s="159">
        <f t="shared" si="4"/>
        <v>0</v>
      </c>
      <c r="O8" s="159">
        <f t="shared" si="4"/>
        <v>0</v>
      </c>
      <c r="P8" s="262"/>
      <c r="Q8" s="102"/>
      <c r="R8" s="102"/>
      <c r="S8" s="102"/>
    </row>
    <row r="9" spans="1:19" s="9" customFormat="1" ht="58.5" customHeight="1">
      <c r="A9" s="309"/>
      <c r="B9" s="238"/>
      <c r="C9" s="238"/>
      <c r="D9" s="157" t="s">
        <v>49</v>
      </c>
      <c r="E9" s="159">
        <f>E13</f>
        <v>1000</v>
      </c>
      <c r="F9" s="173">
        <f t="shared" si="0"/>
        <v>5180</v>
      </c>
      <c r="G9" s="159">
        <f t="shared" ref="G9" si="5">G13</f>
        <v>1180</v>
      </c>
      <c r="H9" s="251">
        <f>H13</f>
        <v>1000</v>
      </c>
      <c r="I9" s="251"/>
      <c r="J9" s="251"/>
      <c r="K9" s="251"/>
      <c r="L9" s="251"/>
      <c r="M9" s="159">
        <f t="shared" ref="M9:O9" si="6">M13</f>
        <v>1000</v>
      </c>
      <c r="N9" s="159">
        <f t="shared" si="6"/>
        <v>1000</v>
      </c>
      <c r="O9" s="159">
        <f t="shared" si="6"/>
        <v>1000</v>
      </c>
      <c r="P9" s="262"/>
      <c r="Q9" s="102"/>
      <c r="R9" s="102"/>
      <c r="S9" s="102"/>
    </row>
    <row r="10" spans="1:19" s="9" customFormat="1" ht="19">
      <c r="A10" s="309"/>
      <c r="B10" s="238"/>
      <c r="C10" s="238"/>
      <c r="D10" s="157" t="s">
        <v>90</v>
      </c>
      <c r="E10" s="159"/>
      <c r="F10" s="173">
        <f t="shared" si="0"/>
        <v>0</v>
      </c>
      <c r="G10" s="159">
        <f t="shared" ref="G10" si="7">G14</f>
        <v>0</v>
      </c>
      <c r="H10" s="251">
        <f>H14</f>
        <v>0</v>
      </c>
      <c r="I10" s="251"/>
      <c r="J10" s="251"/>
      <c r="K10" s="251"/>
      <c r="L10" s="251"/>
      <c r="M10" s="159">
        <f t="shared" ref="M10:O10" si="8">M14</f>
        <v>0</v>
      </c>
      <c r="N10" s="159">
        <f t="shared" si="8"/>
        <v>0</v>
      </c>
      <c r="O10" s="159">
        <f t="shared" si="8"/>
        <v>0</v>
      </c>
      <c r="P10" s="262"/>
      <c r="Q10" s="102"/>
      <c r="R10" s="102"/>
      <c r="S10" s="102"/>
    </row>
    <row r="11" spans="1:19" s="9" customFormat="1" ht="37.5" customHeight="1">
      <c r="A11" s="305" t="s">
        <v>27</v>
      </c>
      <c r="B11" s="254" t="s">
        <v>156</v>
      </c>
      <c r="C11" s="239" t="s">
        <v>89</v>
      </c>
      <c r="D11" s="99" t="s">
        <v>41</v>
      </c>
      <c r="E11" s="134"/>
      <c r="F11" s="173">
        <f t="shared" si="0"/>
        <v>0</v>
      </c>
      <c r="G11" s="131">
        <v>0</v>
      </c>
      <c r="H11" s="250">
        <v>0</v>
      </c>
      <c r="I11" s="250"/>
      <c r="J11" s="250"/>
      <c r="K11" s="250"/>
      <c r="L11" s="250"/>
      <c r="M11" s="131">
        <v>0</v>
      </c>
      <c r="N11" s="131">
        <v>0</v>
      </c>
      <c r="O11" s="131">
        <v>0</v>
      </c>
      <c r="P11" s="258" t="s">
        <v>3</v>
      </c>
      <c r="Q11" s="102"/>
      <c r="R11" s="102"/>
      <c r="S11" s="102"/>
    </row>
    <row r="12" spans="1:19" s="9" customFormat="1" ht="38">
      <c r="A12" s="305"/>
      <c r="B12" s="254"/>
      <c r="C12" s="239"/>
      <c r="D12" s="99" t="s">
        <v>1</v>
      </c>
      <c r="E12" s="134"/>
      <c r="F12" s="173">
        <f t="shared" si="0"/>
        <v>0</v>
      </c>
      <c r="G12" s="131">
        <v>0</v>
      </c>
      <c r="H12" s="250">
        <v>0</v>
      </c>
      <c r="I12" s="250"/>
      <c r="J12" s="250"/>
      <c r="K12" s="250"/>
      <c r="L12" s="250"/>
      <c r="M12" s="131">
        <v>0</v>
      </c>
      <c r="N12" s="131">
        <v>0</v>
      </c>
      <c r="O12" s="131">
        <v>0</v>
      </c>
      <c r="P12" s="258"/>
      <c r="Q12" s="102"/>
      <c r="R12" s="102"/>
      <c r="S12" s="102"/>
    </row>
    <row r="13" spans="1:19" s="43" customFormat="1" ht="57">
      <c r="A13" s="305"/>
      <c r="B13" s="254"/>
      <c r="C13" s="239"/>
      <c r="D13" s="99" t="s">
        <v>49</v>
      </c>
      <c r="E13" s="151">
        <v>1000</v>
      </c>
      <c r="F13" s="173">
        <f t="shared" si="0"/>
        <v>5180</v>
      </c>
      <c r="G13" s="151">
        <v>1180</v>
      </c>
      <c r="H13" s="259">
        <v>1000</v>
      </c>
      <c r="I13" s="259"/>
      <c r="J13" s="259"/>
      <c r="K13" s="259"/>
      <c r="L13" s="259"/>
      <c r="M13" s="151">
        <v>1000</v>
      </c>
      <c r="N13" s="151">
        <v>1000</v>
      </c>
      <c r="O13" s="151">
        <v>1000</v>
      </c>
      <c r="P13" s="258"/>
      <c r="Q13" s="61"/>
      <c r="R13" s="103"/>
      <c r="S13" s="60"/>
    </row>
    <row r="14" spans="1:19" s="43" customFormat="1" ht="19">
      <c r="A14" s="305"/>
      <c r="B14" s="254"/>
      <c r="C14" s="239"/>
      <c r="D14" s="99" t="s">
        <v>90</v>
      </c>
      <c r="E14" s="151"/>
      <c r="F14" s="173">
        <f t="shared" si="0"/>
        <v>0</v>
      </c>
      <c r="G14" s="151">
        <v>0</v>
      </c>
      <c r="H14" s="259">
        <v>0</v>
      </c>
      <c r="I14" s="259"/>
      <c r="J14" s="259"/>
      <c r="K14" s="259"/>
      <c r="L14" s="259"/>
      <c r="M14" s="151">
        <v>0</v>
      </c>
      <c r="N14" s="151">
        <v>0</v>
      </c>
      <c r="O14" s="151">
        <v>0</v>
      </c>
      <c r="P14" s="258"/>
      <c r="Q14" s="61"/>
      <c r="R14" s="103"/>
      <c r="S14" s="60"/>
    </row>
    <row r="15" spans="1:19" s="43" customFormat="1" ht="21" customHeight="1">
      <c r="A15" s="305"/>
      <c r="B15" s="237" t="s">
        <v>209</v>
      </c>
      <c r="C15" s="234" t="s">
        <v>129</v>
      </c>
      <c r="D15" s="234" t="s">
        <v>129</v>
      </c>
      <c r="E15" s="145"/>
      <c r="F15" s="248" t="s">
        <v>130</v>
      </c>
      <c r="G15" s="146" t="s">
        <v>287</v>
      </c>
      <c r="H15" s="246" t="s">
        <v>288</v>
      </c>
      <c r="I15" s="247" t="s">
        <v>131</v>
      </c>
      <c r="J15" s="247"/>
      <c r="K15" s="247"/>
      <c r="L15" s="247"/>
      <c r="M15" s="146" t="s">
        <v>136</v>
      </c>
      <c r="N15" s="146" t="s">
        <v>137</v>
      </c>
      <c r="O15" s="146" t="s">
        <v>138</v>
      </c>
      <c r="P15" s="257" t="s">
        <v>129</v>
      </c>
      <c r="Q15" s="44"/>
    </row>
    <row r="16" spans="1:19" s="43" customFormat="1" ht="19.5" customHeight="1">
      <c r="A16" s="305"/>
      <c r="B16" s="237"/>
      <c r="C16" s="234"/>
      <c r="D16" s="234"/>
      <c r="E16" s="145"/>
      <c r="F16" s="248"/>
      <c r="G16" s="145"/>
      <c r="H16" s="246"/>
      <c r="I16" s="145" t="s">
        <v>132</v>
      </c>
      <c r="J16" s="145" t="s">
        <v>133</v>
      </c>
      <c r="K16" s="145" t="s">
        <v>134</v>
      </c>
      <c r="L16" s="145" t="s">
        <v>135</v>
      </c>
      <c r="M16" s="145"/>
      <c r="N16" s="145"/>
      <c r="O16" s="145"/>
      <c r="P16" s="257"/>
      <c r="Q16" s="44"/>
    </row>
    <row r="17" spans="1:23" s="43" customFormat="1" ht="27" customHeight="1">
      <c r="A17" s="305"/>
      <c r="B17" s="237"/>
      <c r="C17" s="234"/>
      <c r="D17" s="234"/>
      <c r="E17" s="145"/>
      <c r="F17" s="174">
        <v>511</v>
      </c>
      <c r="G17" s="147">
        <v>111</v>
      </c>
      <c r="H17" s="147">
        <v>100</v>
      </c>
      <c r="I17" s="147">
        <v>0</v>
      </c>
      <c r="J17" s="147">
        <v>0</v>
      </c>
      <c r="K17" s="147">
        <v>0</v>
      </c>
      <c r="L17" s="147">
        <v>100</v>
      </c>
      <c r="M17" s="147">
        <v>100</v>
      </c>
      <c r="N17" s="147">
        <v>100</v>
      </c>
      <c r="O17" s="147">
        <v>100</v>
      </c>
      <c r="P17" s="257"/>
      <c r="Q17" s="44"/>
    </row>
    <row r="18" spans="1:23" s="9" customFormat="1" ht="18">
      <c r="A18" s="315" t="s">
        <v>76</v>
      </c>
      <c r="B18" s="317" t="s">
        <v>125</v>
      </c>
      <c r="C18" s="282" t="s">
        <v>89</v>
      </c>
      <c r="D18" s="166" t="s">
        <v>2</v>
      </c>
      <c r="E18" s="167" t="e">
        <f>E21+E23</f>
        <v>#REF!</v>
      </c>
      <c r="F18" s="173">
        <f t="shared" ref="F18:F28" si="9">SUM(G18:O18)</f>
        <v>679678.69726000004</v>
      </c>
      <c r="G18" s="167">
        <f>G19+G20+G21+G22</f>
        <v>120523.37026</v>
      </c>
      <c r="H18" s="295">
        <f>H19+H20+H21+H22</f>
        <v>139827.62099999998</v>
      </c>
      <c r="I18" s="295"/>
      <c r="J18" s="295"/>
      <c r="K18" s="295"/>
      <c r="L18" s="295"/>
      <c r="M18" s="167">
        <f t="shared" ref="M18:O18" si="10">M19+M20+M21+M22</f>
        <v>139775.902</v>
      </c>
      <c r="N18" s="167">
        <f t="shared" si="10"/>
        <v>139775.902</v>
      </c>
      <c r="O18" s="167">
        <f t="shared" si="10"/>
        <v>139775.902</v>
      </c>
      <c r="P18" s="378"/>
      <c r="Q18" s="104"/>
      <c r="R18" s="104"/>
      <c r="S18" s="104"/>
    </row>
    <row r="19" spans="1:23" s="9" customFormat="1" ht="38">
      <c r="A19" s="315"/>
      <c r="B19" s="317"/>
      <c r="C19" s="282"/>
      <c r="D19" s="157" t="s">
        <v>41</v>
      </c>
      <c r="E19" s="167"/>
      <c r="F19" s="173">
        <f t="shared" si="9"/>
        <v>0</v>
      </c>
      <c r="G19" s="169">
        <f t="shared" ref="G19" si="11">G24+G32+G39+G46+G53</f>
        <v>0</v>
      </c>
      <c r="H19" s="296">
        <f>H24+H32+H39+H46+H53</f>
        <v>0</v>
      </c>
      <c r="I19" s="296"/>
      <c r="J19" s="296"/>
      <c r="K19" s="296"/>
      <c r="L19" s="296"/>
      <c r="M19" s="169">
        <f t="shared" ref="M19:O19" si="12">M24+M32+M39+M46+M53</f>
        <v>0</v>
      </c>
      <c r="N19" s="169">
        <f t="shared" si="12"/>
        <v>0</v>
      </c>
      <c r="O19" s="169">
        <f t="shared" si="12"/>
        <v>0</v>
      </c>
      <c r="P19" s="378"/>
      <c r="Q19" s="104"/>
      <c r="R19" s="104"/>
      <c r="S19" s="104"/>
    </row>
    <row r="20" spans="1:23" s="9" customFormat="1" ht="38">
      <c r="A20" s="315"/>
      <c r="B20" s="317"/>
      <c r="C20" s="282"/>
      <c r="D20" s="157" t="s">
        <v>1</v>
      </c>
      <c r="E20" s="167"/>
      <c r="F20" s="173">
        <f t="shared" si="9"/>
        <v>0</v>
      </c>
      <c r="G20" s="169">
        <f t="shared" ref="G20" si="13">G25+G33+G40+G47+G54</f>
        <v>0</v>
      </c>
      <c r="H20" s="296">
        <f>H25+H33+H40+H47+H54</f>
        <v>0</v>
      </c>
      <c r="I20" s="296"/>
      <c r="J20" s="296"/>
      <c r="K20" s="296"/>
      <c r="L20" s="296"/>
      <c r="M20" s="169">
        <f t="shared" ref="M20:O20" si="14">M25+M33+M40+M47+M54</f>
        <v>0</v>
      </c>
      <c r="N20" s="169">
        <f t="shared" si="14"/>
        <v>0</v>
      </c>
      <c r="O20" s="169">
        <f t="shared" si="14"/>
        <v>0</v>
      </c>
      <c r="P20" s="378"/>
      <c r="Q20" s="104"/>
      <c r="R20" s="104"/>
      <c r="S20" s="104"/>
    </row>
    <row r="21" spans="1:23" s="9" customFormat="1" ht="57">
      <c r="A21" s="315"/>
      <c r="B21" s="317"/>
      <c r="C21" s="282"/>
      <c r="D21" s="157" t="s">
        <v>49</v>
      </c>
      <c r="E21" s="169" t="e">
        <f>E26+E34+E41+#REF!+#REF!</f>
        <v>#REF!</v>
      </c>
      <c r="F21" s="173">
        <f t="shared" si="9"/>
        <v>532814.89726</v>
      </c>
      <c r="G21" s="169">
        <f t="shared" ref="G21" si="15">G26+G34+G41+G48+G55</f>
        <v>99268.178260000001</v>
      </c>
      <c r="H21" s="296">
        <f>H26+H34+H41+H48+H55</f>
        <v>108425.469</v>
      </c>
      <c r="I21" s="296"/>
      <c r="J21" s="296"/>
      <c r="K21" s="296"/>
      <c r="L21" s="296"/>
      <c r="M21" s="169">
        <f t="shared" ref="M21:O21" si="16">M26+M34+M41+M48+M55</f>
        <v>108373.75000000001</v>
      </c>
      <c r="N21" s="169">
        <f t="shared" si="16"/>
        <v>108373.75000000001</v>
      </c>
      <c r="O21" s="169">
        <f t="shared" si="16"/>
        <v>108373.75000000001</v>
      </c>
      <c r="P21" s="378"/>
      <c r="Q21" s="104"/>
      <c r="R21" s="104"/>
      <c r="S21" s="104"/>
      <c r="T21" s="8"/>
    </row>
    <row r="22" spans="1:23" s="9" customFormat="1" ht="19">
      <c r="A22" s="315"/>
      <c r="B22" s="317"/>
      <c r="C22" s="282"/>
      <c r="D22" s="157" t="s">
        <v>90</v>
      </c>
      <c r="E22" s="169"/>
      <c r="F22" s="173">
        <f t="shared" si="9"/>
        <v>146863.79999999999</v>
      </c>
      <c r="G22" s="169">
        <f t="shared" ref="G22" si="17">G27+G35+G42+G49+G56</f>
        <v>21255.191999999999</v>
      </c>
      <c r="H22" s="296">
        <f>H27+H35+H42+H49+H56</f>
        <v>31402.151999999998</v>
      </c>
      <c r="I22" s="296"/>
      <c r="J22" s="296"/>
      <c r="K22" s="296"/>
      <c r="L22" s="296"/>
      <c r="M22" s="169">
        <f t="shared" ref="M22:O22" si="18">M27+M35+M42+M49+M56</f>
        <v>31402.151999999998</v>
      </c>
      <c r="N22" s="169">
        <f t="shared" si="18"/>
        <v>31402.151999999998</v>
      </c>
      <c r="O22" s="169">
        <f t="shared" si="18"/>
        <v>31402.151999999998</v>
      </c>
      <c r="P22" s="378"/>
      <c r="Q22" s="104"/>
      <c r="R22" s="104"/>
      <c r="S22" s="104"/>
      <c r="T22" s="8"/>
    </row>
    <row r="23" spans="1:23" s="9" customFormat="1" ht="95">
      <c r="A23" s="315"/>
      <c r="B23" s="317"/>
      <c r="C23" s="282"/>
      <c r="D23" s="160" t="s">
        <v>91</v>
      </c>
      <c r="E23" s="161">
        <f>E28</f>
        <v>13879.4</v>
      </c>
      <c r="F23" s="173">
        <f t="shared" si="9"/>
        <v>146863.79999999999</v>
      </c>
      <c r="G23" s="161">
        <f t="shared" ref="G23" si="19">G28</f>
        <v>21255.191999999999</v>
      </c>
      <c r="H23" s="281">
        <f>H28</f>
        <v>31402.151999999998</v>
      </c>
      <c r="I23" s="281"/>
      <c r="J23" s="281"/>
      <c r="K23" s="281"/>
      <c r="L23" s="281"/>
      <c r="M23" s="161">
        <f t="shared" ref="M23:O23" si="20">M28</f>
        <v>31402.151999999998</v>
      </c>
      <c r="N23" s="161">
        <f t="shared" si="20"/>
        <v>31402.151999999998</v>
      </c>
      <c r="O23" s="161">
        <f t="shared" si="20"/>
        <v>31402.151999999998</v>
      </c>
      <c r="P23" s="378"/>
      <c r="Q23" s="104"/>
      <c r="R23" s="104"/>
      <c r="S23" s="104"/>
      <c r="U23" s="8"/>
      <c r="V23" s="105"/>
      <c r="W23" s="105"/>
    </row>
    <row r="24" spans="1:23" s="9" customFormat="1" ht="39" customHeight="1">
      <c r="A24" s="311" t="s">
        <v>31</v>
      </c>
      <c r="B24" s="342" t="s">
        <v>157</v>
      </c>
      <c r="C24" s="310" t="s">
        <v>89</v>
      </c>
      <c r="D24" s="139" t="s">
        <v>41</v>
      </c>
      <c r="E24" s="135"/>
      <c r="F24" s="173">
        <f t="shared" si="9"/>
        <v>0</v>
      </c>
      <c r="G24" s="137">
        <v>0</v>
      </c>
      <c r="H24" s="371">
        <v>0</v>
      </c>
      <c r="I24" s="371"/>
      <c r="J24" s="371"/>
      <c r="K24" s="371"/>
      <c r="L24" s="371"/>
      <c r="M24" s="137">
        <v>0</v>
      </c>
      <c r="N24" s="137">
        <v>0</v>
      </c>
      <c r="O24" s="137">
        <v>0</v>
      </c>
      <c r="P24" s="308" t="s">
        <v>62</v>
      </c>
      <c r="Q24" s="104"/>
      <c r="R24" s="104"/>
      <c r="S24" s="104"/>
      <c r="U24" s="8"/>
      <c r="V24" s="105"/>
      <c r="W24" s="105"/>
    </row>
    <row r="25" spans="1:23" s="9" customFormat="1" ht="38">
      <c r="A25" s="311"/>
      <c r="B25" s="342"/>
      <c r="C25" s="310"/>
      <c r="D25" s="139" t="s">
        <v>1</v>
      </c>
      <c r="E25" s="135"/>
      <c r="F25" s="173">
        <f t="shared" si="9"/>
        <v>0</v>
      </c>
      <c r="G25" s="137">
        <v>0</v>
      </c>
      <c r="H25" s="371">
        <v>0</v>
      </c>
      <c r="I25" s="371"/>
      <c r="J25" s="371"/>
      <c r="K25" s="371"/>
      <c r="L25" s="371"/>
      <c r="M25" s="137">
        <v>0</v>
      </c>
      <c r="N25" s="137">
        <v>0</v>
      </c>
      <c r="O25" s="137">
        <v>0</v>
      </c>
      <c r="P25" s="308"/>
      <c r="Q25" s="104"/>
      <c r="R25" s="104"/>
      <c r="S25" s="104"/>
      <c r="U25" s="8"/>
      <c r="V25" s="105"/>
      <c r="W25" s="105"/>
    </row>
    <row r="26" spans="1:23" s="43" customFormat="1" ht="56.25" customHeight="1">
      <c r="A26" s="311"/>
      <c r="B26" s="342"/>
      <c r="C26" s="310"/>
      <c r="D26" s="139" t="s">
        <v>49</v>
      </c>
      <c r="E26" s="137">
        <v>74745.548039999994</v>
      </c>
      <c r="F26" s="173">
        <f t="shared" si="9"/>
        <v>494217.26526000001</v>
      </c>
      <c r="G26" s="149">
        <v>93662.546260000003</v>
      </c>
      <c r="H26" s="379">
        <f>100125.75-172.475+224.194</f>
        <v>100177.469</v>
      </c>
      <c r="I26" s="379"/>
      <c r="J26" s="379"/>
      <c r="K26" s="379"/>
      <c r="L26" s="379"/>
      <c r="M26" s="149">
        <f>90660.421+164.566+9300.763</f>
        <v>100125.75000000001</v>
      </c>
      <c r="N26" s="149">
        <f>90660.421+164.566+9300.763</f>
        <v>100125.75000000001</v>
      </c>
      <c r="O26" s="149">
        <f>90660.421+164.566+9300.763</f>
        <v>100125.75000000001</v>
      </c>
      <c r="P26" s="308"/>
      <c r="Q26" s="61"/>
      <c r="R26" s="61"/>
      <c r="S26" s="61"/>
    </row>
    <row r="27" spans="1:23" s="43" customFormat="1" ht="19">
      <c r="A27" s="311"/>
      <c r="B27" s="342"/>
      <c r="C27" s="310"/>
      <c r="D27" s="139" t="s">
        <v>90</v>
      </c>
      <c r="E27" s="137"/>
      <c r="F27" s="173">
        <f t="shared" si="9"/>
        <v>146863.79999999999</v>
      </c>
      <c r="G27" s="149">
        <f t="shared" ref="G27" si="21">G28</f>
        <v>21255.191999999999</v>
      </c>
      <c r="H27" s="266">
        <f>H28</f>
        <v>31402.151999999998</v>
      </c>
      <c r="I27" s="266"/>
      <c r="J27" s="266"/>
      <c r="K27" s="266"/>
      <c r="L27" s="266"/>
      <c r="M27" s="228">
        <f t="shared" ref="M27:O27" si="22">M28</f>
        <v>31402.151999999998</v>
      </c>
      <c r="N27" s="228">
        <f t="shared" si="22"/>
        <v>31402.151999999998</v>
      </c>
      <c r="O27" s="228">
        <f t="shared" si="22"/>
        <v>31402.151999999998</v>
      </c>
      <c r="P27" s="308"/>
      <c r="Q27" s="61"/>
      <c r="R27" s="61"/>
      <c r="S27" s="61"/>
    </row>
    <row r="28" spans="1:23" s="43" customFormat="1" ht="95">
      <c r="A28" s="311"/>
      <c r="B28" s="342"/>
      <c r="C28" s="310"/>
      <c r="D28" s="139" t="s">
        <v>91</v>
      </c>
      <c r="E28" s="137">
        <v>13879.4</v>
      </c>
      <c r="F28" s="173">
        <f t="shared" si="9"/>
        <v>146863.79999999999</v>
      </c>
      <c r="G28" s="150">
        <v>21255.191999999999</v>
      </c>
      <c r="H28" s="298">
        <v>31402.151999999998</v>
      </c>
      <c r="I28" s="298"/>
      <c r="J28" s="298"/>
      <c r="K28" s="298"/>
      <c r="L28" s="298"/>
      <c r="M28" s="229">
        <v>31402.151999999998</v>
      </c>
      <c r="N28" s="229">
        <v>31402.151999999998</v>
      </c>
      <c r="O28" s="229">
        <v>31402.151999999998</v>
      </c>
      <c r="P28" s="308"/>
      <c r="Q28" s="61"/>
      <c r="R28" s="61"/>
      <c r="S28" s="61"/>
    </row>
    <row r="29" spans="1:23" s="43" customFormat="1" ht="23.25" customHeight="1">
      <c r="A29" s="311"/>
      <c r="B29" s="237" t="s">
        <v>210</v>
      </c>
      <c r="C29" s="234" t="s">
        <v>129</v>
      </c>
      <c r="D29" s="234" t="s">
        <v>129</v>
      </c>
      <c r="E29" s="145"/>
      <c r="F29" s="248" t="s">
        <v>130</v>
      </c>
      <c r="G29" s="146" t="s">
        <v>287</v>
      </c>
      <c r="H29" s="246" t="s">
        <v>288</v>
      </c>
      <c r="I29" s="247" t="s">
        <v>131</v>
      </c>
      <c r="J29" s="247"/>
      <c r="K29" s="247"/>
      <c r="L29" s="247"/>
      <c r="M29" s="146" t="s">
        <v>136</v>
      </c>
      <c r="N29" s="146" t="s">
        <v>137</v>
      </c>
      <c r="O29" s="146" t="s">
        <v>138</v>
      </c>
      <c r="P29" s="257" t="s">
        <v>129</v>
      </c>
      <c r="Q29" s="44"/>
    </row>
    <row r="30" spans="1:23" s="43" customFormat="1" ht="20.25" customHeight="1">
      <c r="A30" s="311"/>
      <c r="B30" s="237"/>
      <c r="C30" s="234"/>
      <c r="D30" s="234"/>
      <c r="E30" s="145"/>
      <c r="F30" s="248"/>
      <c r="G30" s="145"/>
      <c r="H30" s="246"/>
      <c r="I30" s="145" t="s">
        <v>132</v>
      </c>
      <c r="J30" s="145" t="s">
        <v>133</v>
      </c>
      <c r="K30" s="145" t="s">
        <v>134</v>
      </c>
      <c r="L30" s="145" t="s">
        <v>135</v>
      </c>
      <c r="M30" s="145"/>
      <c r="N30" s="145"/>
      <c r="O30" s="145"/>
      <c r="P30" s="257"/>
      <c r="Q30" s="44"/>
    </row>
    <row r="31" spans="1:23" s="43" customFormat="1" ht="24.75" customHeight="1">
      <c r="A31" s="311"/>
      <c r="B31" s="237"/>
      <c r="C31" s="234"/>
      <c r="D31" s="234"/>
      <c r="E31" s="145"/>
      <c r="F31" s="174">
        <v>4</v>
      </c>
      <c r="G31" s="147">
        <v>4</v>
      </c>
      <c r="H31" s="147">
        <v>4</v>
      </c>
      <c r="I31" s="147">
        <v>4</v>
      </c>
      <c r="J31" s="147">
        <v>4</v>
      </c>
      <c r="K31" s="147">
        <v>4</v>
      </c>
      <c r="L31" s="147">
        <v>4</v>
      </c>
      <c r="M31" s="147">
        <v>4</v>
      </c>
      <c r="N31" s="147">
        <v>4</v>
      </c>
      <c r="O31" s="147">
        <v>4</v>
      </c>
      <c r="P31" s="257"/>
      <c r="Q31" s="44"/>
    </row>
    <row r="32" spans="1:23" s="43" customFormat="1" ht="34.5" customHeight="1">
      <c r="A32" s="335" t="s">
        <v>32</v>
      </c>
      <c r="B32" s="242" t="s">
        <v>161</v>
      </c>
      <c r="C32" s="243" t="s">
        <v>89</v>
      </c>
      <c r="D32" s="139" t="s">
        <v>41</v>
      </c>
      <c r="E32" s="137"/>
      <c r="F32" s="173">
        <f>SUM(G32:O32)</f>
        <v>0</v>
      </c>
      <c r="G32" s="149">
        <v>0</v>
      </c>
      <c r="H32" s="245">
        <v>0</v>
      </c>
      <c r="I32" s="245"/>
      <c r="J32" s="245"/>
      <c r="K32" s="245"/>
      <c r="L32" s="245"/>
      <c r="M32" s="149">
        <v>0</v>
      </c>
      <c r="N32" s="149">
        <v>0</v>
      </c>
      <c r="O32" s="149">
        <v>0</v>
      </c>
      <c r="P32" s="265" t="s">
        <v>3</v>
      </c>
      <c r="Q32" s="61"/>
      <c r="R32" s="61"/>
      <c r="S32" s="61"/>
    </row>
    <row r="33" spans="1:19" s="43" customFormat="1" ht="38">
      <c r="A33" s="335"/>
      <c r="B33" s="242"/>
      <c r="C33" s="243"/>
      <c r="D33" s="139" t="s">
        <v>1</v>
      </c>
      <c r="E33" s="137"/>
      <c r="F33" s="173">
        <f>SUM(G33:O33)</f>
        <v>0</v>
      </c>
      <c r="G33" s="149">
        <v>0</v>
      </c>
      <c r="H33" s="245">
        <v>0</v>
      </c>
      <c r="I33" s="245"/>
      <c r="J33" s="245"/>
      <c r="K33" s="245"/>
      <c r="L33" s="245"/>
      <c r="M33" s="149">
        <v>0</v>
      </c>
      <c r="N33" s="149">
        <v>0</v>
      </c>
      <c r="O33" s="149">
        <v>0</v>
      </c>
      <c r="P33" s="265"/>
      <c r="Q33" s="61"/>
      <c r="R33" s="61"/>
      <c r="S33" s="61"/>
    </row>
    <row r="34" spans="1:19" s="43" customFormat="1" ht="57">
      <c r="A34" s="335"/>
      <c r="B34" s="242"/>
      <c r="C34" s="243"/>
      <c r="D34" s="100" t="s">
        <v>49</v>
      </c>
      <c r="E34" s="149">
        <v>0</v>
      </c>
      <c r="F34" s="173">
        <f>SUM(G34:O34)</f>
        <v>0</v>
      </c>
      <c r="G34" s="149">
        <v>0</v>
      </c>
      <c r="H34" s="245">
        <v>0</v>
      </c>
      <c r="I34" s="245"/>
      <c r="J34" s="245"/>
      <c r="K34" s="245"/>
      <c r="L34" s="245"/>
      <c r="M34" s="149">
        <v>0</v>
      </c>
      <c r="N34" s="149">
        <v>0</v>
      </c>
      <c r="O34" s="149">
        <v>0</v>
      </c>
      <c r="P34" s="265"/>
      <c r="Q34" s="116"/>
      <c r="R34" s="116"/>
      <c r="S34" s="116"/>
    </row>
    <row r="35" spans="1:19" s="43" customFormat="1" ht="19">
      <c r="A35" s="335"/>
      <c r="B35" s="242"/>
      <c r="C35" s="243"/>
      <c r="D35" s="100" t="s">
        <v>90</v>
      </c>
      <c r="E35" s="149"/>
      <c r="F35" s="173">
        <f>SUM(G35:O35)</f>
        <v>0</v>
      </c>
      <c r="G35" s="149">
        <v>0</v>
      </c>
      <c r="H35" s="245">
        <v>0</v>
      </c>
      <c r="I35" s="245"/>
      <c r="J35" s="245"/>
      <c r="K35" s="245"/>
      <c r="L35" s="245"/>
      <c r="M35" s="149">
        <v>0</v>
      </c>
      <c r="N35" s="149">
        <v>0</v>
      </c>
      <c r="O35" s="149">
        <v>0</v>
      </c>
      <c r="P35" s="265"/>
      <c r="Q35" s="116"/>
      <c r="R35" s="116"/>
      <c r="S35" s="116"/>
    </row>
    <row r="36" spans="1:19" s="43" customFormat="1" ht="23.25" customHeight="1">
      <c r="A36" s="335"/>
      <c r="B36" s="237" t="s">
        <v>211</v>
      </c>
      <c r="C36" s="234" t="s">
        <v>129</v>
      </c>
      <c r="D36" s="234" t="s">
        <v>129</v>
      </c>
      <c r="E36" s="145"/>
      <c r="F36" s="248" t="s">
        <v>130</v>
      </c>
      <c r="G36" s="146" t="s">
        <v>287</v>
      </c>
      <c r="H36" s="246" t="s">
        <v>288</v>
      </c>
      <c r="I36" s="247" t="s">
        <v>131</v>
      </c>
      <c r="J36" s="247"/>
      <c r="K36" s="247"/>
      <c r="L36" s="247"/>
      <c r="M36" s="146" t="s">
        <v>136</v>
      </c>
      <c r="N36" s="146" t="s">
        <v>137</v>
      </c>
      <c r="O36" s="146" t="s">
        <v>138</v>
      </c>
      <c r="P36" s="257" t="s">
        <v>129</v>
      </c>
      <c r="Q36" s="44"/>
    </row>
    <row r="37" spans="1:19" s="43" customFormat="1" ht="19.5" customHeight="1">
      <c r="A37" s="335"/>
      <c r="B37" s="237"/>
      <c r="C37" s="234"/>
      <c r="D37" s="234"/>
      <c r="E37" s="145"/>
      <c r="F37" s="248"/>
      <c r="G37" s="145"/>
      <c r="H37" s="246"/>
      <c r="I37" s="145" t="s">
        <v>132</v>
      </c>
      <c r="J37" s="145" t="s">
        <v>133</v>
      </c>
      <c r="K37" s="145" t="s">
        <v>134</v>
      </c>
      <c r="L37" s="145" t="s">
        <v>135</v>
      </c>
      <c r="M37" s="145"/>
      <c r="N37" s="145"/>
      <c r="O37" s="145"/>
      <c r="P37" s="257"/>
      <c r="Q37" s="44"/>
    </row>
    <row r="38" spans="1:19" s="43" customFormat="1" ht="23.25" customHeight="1">
      <c r="A38" s="335"/>
      <c r="B38" s="237"/>
      <c r="C38" s="234"/>
      <c r="D38" s="234"/>
      <c r="E38" s="145"/>
      <c r="F38" s="174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257"/>
      <c r="Q38" s="44"/>
    </row>
    <row r="39" spans="1:19" s="43" customFormat="1" ht="37.5" customHeight="1">
      <c r="A39" s="335" t="s">
        <v>33</v>
      </c>
      <c r="B39" s="242" t="s">
        <v>160</v>
      </c>
      <c r="C39" s="243" t="s">
        <v>89</v>
      </c>
      <c r="D39" s="100" t="s">
        <v>41</v>
      </c>
      <c r="E39" s="149"/>
      <c r="F39" s="173">
        <f>SUM(G39:O39)</f>
        <v>0</v>
      </c>
      <c r="G39" s="149">
        <v>0</v>
      </c>
      <c r="H39" s="245">
        <v>0</v>
      </c>
      <c r="I39" s="245"/>
      <c r="J39" s="245"/>
      <c r="K39" s="245"/>
      <c r="L39" s="245"/>
      <c r="M39" s="149">
        <v>0</v>
      </c>
      <c r="N39" s="149">
        <v>0</v>
      </c>
      <c r="O39" s="149">
        <v>0</v>
      </c>
      <c r="P39" s="265" t="s">
        <v>3</v>
      </c>
      <c r="Q39" s="116"/>
      <c r="R39" s="116"/>
      <c r="S39" s="116"/>
    </row>
    <row r="40" spans="1:19" s="43" customFormat="1" ht="38">
      <c r="A40" s="335"/>
      <c r="B40" s="242"/>
      <c r="C40" s="243"/>
      <c r="D40" s="100" t="s">
        <v>1</v>
      </c>
      <c r="E40" s="149"/>
      <c r="F40" s="173">
        <f>SUM(G40:O40)</f>
        <v>0</v>
      </c>
      <c r="G40" s="149">
        <v>0</v>
      </c>
      <c r="H40" s="245">
        <v>0</v>
      </c>
      <c r="I40" s="245"/>
      <c r="J40" s="245"/>
      <c r="K40" s="245"/>
      <c r="L40" s="245"/>
      <c r="M40" s="149">
        <v>0</v>
      </c>
      <c r="N40" s="149">
        <v>0</v>
      </c>
      <c r="O40" s="149">
        <v>0</v>
      </c>
      <c r="P40" s="265"/>
      <c r="Q40" s="116"/>
      <c r="R40" s="116"/>
      <c r="S40" s="116"/>
    </row>
    <row r="41" spans="1:19" s="43" customFormat="1" ht="57">
      <c r="A41" s="335"/>
      <c r="B41" s="242"/>
      <c r="C41" s="243"/>
      <c r="D41" s="100" t="s">
        <v>49</v>
      </c>
      <c r="E41" s="149">
        <v>0</v>
      </c>
      <c r="F41" s="173">
        <f>SUM(G41:O41)</f>
        <v>38597.631999999998</v>
      </c>
      <c r="G41" s="149">
        <v>5605.6319999999996</v>
      </c>
      <c r="H41" s="245">
        <v>8248</v>
      </c>
      <c r="I41" s="245"/>
      <c r="J41" s="245"/>
      <c r="K41" s="245"/>
      <c r="L41" s="245"/>
      <c r="M41" s="149">
        <v>8248</v>
      </c>
      <c r="N41" s="149">
        <v>8248</v>
      </c>
      <c r="O41" s="149">
        <v>8248</v>
      </c>
      <c r="P41" s="265"/>
      <c r="Q41" s="116"/>
      <c r="R41" s="116"/>
      <c r="S41" s="116"/>
    </row>
    <row r="42" spans="1:19" s="43" customFormat="1" ht="19">
      <c r="A42" s="335"/>
      <c r="B42" s="242"/>
      <c r="C42" s="243"/>
      <c r="D42" s="100" t="s">
        <v>90</v>
      </c>
      <c r="E42" s="149"/>
      <c r="F42" s="173">
        <f>SUM(G42:O42)</f>
        <v>0</v>
      </c>
      <c r="G42" s="149">
        <v>0</v>
      </c>
      <c r="H42" s="245">
        <v>0</v>
      </c>
      <c r="I42" s="245"/>
      <c r="J42" s="245"/>
      <c r="K42" s="245"/>
      <c r="L42" s="245"/>
      <c r="M42" s="149">
        <v>0</v>
      </c>
      <c r="N42" s="149">
        <v>0</v>
      </c>
      <c r="O42" s="149">
        <v>0</v>
      </c>
      <c r="P42" s="265"/>
      <c r="Q42" s="116"/>
      <c r="R42" s="116"/>
      <c r="S42" s="116"/>
    </row>
    <row r="43" spans="1:19" s="43" customFormat="1" ht="22.5" customHeight="1">
      <c r="A43" s="335"/>
      <c r="B43" s="237" t="s">
        <v>212</v>
      </c>
      <c r="C43" s="234" t="s">
        <v>129</v>
      </c>
      <c r="D43" s="234" t="s">
        <v>129</v>
      </c>
      <c r="E43" s="145"/>
      <c r="F43" s="248" t="s">
        <v>130</v>
      </c>
      <c r="G43" s="146" t="s">
        <v>287</v>
      </c>
      <c r="H43" s="246" t="s">
        <v>288</v>
      </c>
      <c r="I43" s="247" t="s">
        <v>131</v>
      </c>
      <c r="J43" s="247"/>
      <c r="K43" s="247"/>
      <c r="L43" s="247"/>
      <c r="M43" s="146" t="s">
        <v>136</v>
      </c>
      <c r="N43" s="146" t="s">
        <v>137</v>
      </c>
      <c r="O43" s="146" t="s">
        <v>138</v>
      </c>
      <c r="P43" s="257" t="s">
        <v>129</v>
      </c>
      <c r="Q43" s="44"/>
    </row>
    <row r="44" spans="1:19" s="43" customFormat="1" ht="19.5" customHeight="1">
      <c r="A44" s="335"/>
      <c r="B44" s="237"/>
      <c r="C44" s="234"/>
      <c r="D44" s="234"/>
      <c r="E44" s="145"/>
      <c r="F44" s="248"/>
      <c r="G44" s="145"/>
      <c r="H44" s="246"/>
      <c r="I44" s="145" t="s">
        <v>132</v>
      </c>
      <c r="J44" s="145" t="s">
        <v>133</v>
      </c>
      <c r="K44" s="145" t="s">
        <v>134</v>
      </c>
      <c r="L44" s="145" t="s">
        <v>135</v>
      </c>
      <c r="M44" s="145"/>
      <c r="N44" s="145"/>
      <c r="O44" s="145"/>
      <c r="P44" s="257"/>
      <c r="Q44" s="44"/>
    </row>
    <row r="45" spans="1:19" s="43" customFormat="1" ht="27" customHeight="1">
      <c r="A45" s="335"/>
      <c r="B45" s="237"/>
      <c r="C45" s="234"/>
      <c r="D45" s="234"/>
      <c r="E45" s="145"/>
      <c r="F45" s="174">
        <v>100</v>
      </c>
      <c r="G45" s="147">
        <v>100</v>
      </c>
      <c r="H45" s="147">
        <v>100</v>
      </c>
      <c r="I45" s="147">
        <v>100</v>
      </c>
      <c r="J45" s="147">
        <v>100</v>
      </c>
      <c r="K45" s="147">
        <v>100</v>
      </c>
      <c r="L45" s="147">
        <v>100</v>
      </c>
      <c r="M45" s="147">
        <v>100</v>
      </c>
      <c r="N45" s="147">
        <v>100</v>
      </c>
      <c r="O45" s="147">
        <v>100</v>
      </c>
      <c r="P45" s="257"/>
      <c r="Q45" s="44"/>
    </row>
    <row r="46" spans="1:19" s="43" customFormat="1" ht="38">
      <c r="A46" s="335" t="s">
        <v>34</v>
      </c>
      <c r="B46" s="242" t="s">
        <v>159</v>
      </c>
      <c r="C46" s="243" t="s">
        <v>89</v>
      </c>
      <c r="D46" s="100" t="s">
        <v>41</v>
      </c>
      <c r="E46" s="149"/>
      <c r="F46" s="173">
        <f>SUM(G46:O46)</f>
        <v>0</v>
      </c>
      <c r="G46" s="149">
        <v>0</v>
      </c>
      <c r="H46" s="245">
        <v>0</v>
      </c>
      <c r="I46" s="245"/>
      <c r="J46" s="245"/>
      <c r="K46" s="245"/>
      <c r="L46" s="245"/>
      <c r="M46" s="149">
        <v>0</v>
      </c>
      <c r="N46" s="149">
        <v>0</v>
      </c>
      <c r="O46" s="149">
        <v>0</v>
      </c>
      <c r="P46" s="265" t="s">
        <v>3</v>
      </c>
      <c r="Q46" s="116"/>
      <c r="R46" s="116"/>
      <c r="S46" s="116"/>
    </row>
    <row r="47" spans="1:19" s="43" customFormat="1" ht="38">
      <c r="A47" s="335"/>
      <c r="B47" s="242"/>
      <c r="C47" s="243"/>
      <c r="D47" s="100" t="s">
        <v>1</v>
      </c>
      <c r="E47" s="149"/>
      <c r="F47" s="173">
        <f>SUM(G47:O47)</f>
        <v>0</v>
      </c>
      <c r="G47" s="149">
        <v>0</v>
      </c>
      <c r="H47" s="245">
        <v>0</v>
      </c>
      <c r="I47" s="245"/>
      <c r="J47" s="245"/>
      <c r="K47" s="245"/>
      <c r="L47" s="245"/>
      <c r="M47" s="149">
        <v>0</v>
      </c>
      <c r="N47" s="149">
        <v>0</v>
      </c>
      <c r="O47" s="149">
        <v>0</v>
      </c>
      <c r="P47" s="265"/>
      <c r="Q47" s="116"/>
      <c r="R47" s="116"/>
      <c r="S47" s="116"/>
    </row>
    <row r="48" spans="1:19" s="43" customFormat="1" ht="57">
      <c r="A48" s="335"/>
      <c r="B48" s="242"/>
      <c r="C48" s="243"/>
      <c r="D48" s="100" t="s">
        <v>49</v>
      </c>
      <c r="E48" s="149">
        <v>0</v>
      </c>
      <c r="F48" s="173">
        <f>SUM(G48:O48)</f>
        <v>0</v>
      </c>
      <c r="G48" s="149">
        <v>0</v>
      </c>
      <c r="H48" s="245">
        <v>0</v>
      </c>
      <c r="I48" s="245"/>
      <c r="J48" s="245"/>
      <c r="K48" s="245"/>
      <c r="L48" s="245"/>
      <c r="M48" s="149">
        <v>0</v>
      </c>
      <c r="N48" s="149">
        <v>0</v>
      </c>
      <c r="O48" s="149">
        <v>0</v>
      </c>
      <c r="P48" s="265"/>
      <c r="Q48" s="116"/>
      <c r="R48" s="116"/>
      <c r="S48" s="116"/>
    </row>
    <row r="49" spans="1:19" s="43" customFormat="1" ht="19">
      <c r="A49" s="335"/>
      <c r="B49" s="242"/>
      <c r="C49" s="243"/>
      <c r="D49" s="100" t="s">
        <v>90</v>
      </c>
      <c r="E49" s="149"/>
      <c r="F49" s="173">
        <f>SUM(G49:O49)</f>
        <v>0</v>
      </c>
      <c r="G49" s="149">
        <v>0</v>
      </c>
      <c r="H49" s="245">
        <v>0</v>
      </c>
      <c r="I49" s="245"/>
      <c r="J49" s="245"/>
      <c r="K49" s="245"/>
      <c r="L49" s="245"/>
      <c r="M49" s="149">
        <v>0</v>
      </c>
      <c r="N49" s="149">
        <v>0</v>
      </c>
      <c r="O49" s="149">
        <v>0</v>
      </c>
      <c r="P49" s="265"/>
      <c r="Q49" s="116"/>
      <c r="R49" s="116"/>
      <c r="S49" s="116"/>
    </row>
    <row r="50" spans="1:19" s="43" customFormat="1" ht="23.25" customHeight="1">
      <c r="A50" s="335"/>
      <c r="B50" s="237" t="s">
        <v>213</v>
      </c>
      <c r="C50" s="234" t="s">
        <v>129</v>
      </c>
      <c r="D50" s="234" t="s">
        <v>129</v>
      </c>
      <c r="E50" s="145"/>
      <c r="F50" s="248" t="s">
        <v>130</v>
      </c>
      <c r="G50" s="146" t="s">
        <v>287</v>
      </c>
      <c r="H50" s="246" t="s">
        <v>288</v>
      </c>
      <c r="I50" s="247" t="s">
        <v>131</v>
      </c>
      <c r="J50" s="247"/>
      <c r="K50" s="247"/>
      <c r="L50" s="247"/>
      <c r="M50" s="146" t="s">
        <v>136</v>
      </c>
      <c r="N50" s="146" t="s">
        <v>137</v>
      </c>
      <c r="O50" s="146" t="s">
        <v>138</v>
      </c>
      <c r="P50" s="257" t="s">
        <v>129</v>
      </c>
      <c r="Q50" s="44"/>
    </row>
    <row r="51" spans="1:19" s="43" customFormat="1" ht="21" customHeight="1">
      <c r="A51" s="335"/>
      <c r="B51" s="237"/>
      <c r="C51" s="234"/>
      <c r="D51" s="234"/>
      <c r="E51" s="145"/>
      <c r="F51" s="248"/>
      <c r="G51" s="145"/>
      <c r="H51" s="246"/>
      <c r="I51" s="145" t="s">
        <v>132</v>
      </c>
      <c r="J51" s="145" t="s">
        <v>133</v>
      </c>
      <c r="K51" s="145" t="s">
        <v>134</v>
      </c>
      <c r="L51" s="145" t="s">
        <v>135</v>
      </c>
      <c r="M51" s="145"/>
      <c r="N51" s="145"/>
      <c r="O51" s="145"/>
      <c r="P51" s="257"/>
      <c r="Q51" s="44"/>
    </row>
    <row r="52" spans="1:19" s="43" customFormat="1" ht="22.5" customHeight="1">
      <c r="A52" s="335"/>
      <c r="B52" s="237"/>
      <c r="C52" s="234"/>
      <c r="D52" s="234"/>
      <c r="E52" s="145"/>
      <c r="F52" s="174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257"/>
      <c r="Q52" s="44"/>
    </row>
    <row r="53" spans="1:19" s="43" customFormat="1" ht="37.5" customHeight="1">
      <c r="A53" s="335" t="s">
        <v>70</v>
      </c>
      <c r="B53" s="242" t="s">
        <v>158</v>
      </c>
      <c r="C53" s="243" t="s">
        <v>89</v>
      </c>
      <c r="D53" s="100" t="s">
        <v>41</v>
      </c>
      <c r="E53" s="149"/>
      <c r="F53" s="173">
        <f>SUM(G53:O53)</f>
        <v>0</v>
      </c>
      <c r="G53" s="149">
        <v>0</v>
      </c>
      <c r="H53" s="245">
        <v>0</v>
      </c>
      <c r="I53" s="245"/>
      <c r="J53" s="245"/>
      <c r="K53" s="245"/>
      <c r="L53" s="245"/>
      <c r="M53" s="149">
        <v>0</v>
      </c>
      <c r="N53" s="149">
        <v>0</v>
      </c>
      <c r="O53" s="149">
        <v>0</v>
      </c>
      <c r="P53" s="265" t="s">
        <v>3</v>
      </c>
      <c r="Q53" s="116"/>
      <c r="R53" s="116"/>
      <c r="S53" s="116"/>
    </row>
    <row r="54" spans="1:19" s="43" customFormat="1" ht="38">
      <c r="A54" s="335"/>
      <c r="B54" s="242"/>
      <c r="C54" s="243"/>
      <c r="D54" s="100" t="s">
        <v>1</v>
      </c>
      <c r="E54" s="149"/>
      <c r="F54" s="173">
        <f>SUM(G54:O54)</f>
        <v>0</v>
      </c>
      <c r="G54" s="149">
        <v>0</v>
      </c>
      <c r="H54" s="245">
        <v>0</v>
      </c>
      <c r="I54" s="245"/>
      <c r="J54" s="245"/>
      <c r="K54" s="245"/>
      <c r="L54" s="245"/>
      <c r="M54" s="149">
        <v>0</v>
      </c>
      <c r="N54" s="149">
        <v>0</v>
      </c>
      <c r="O54" s="149">
        <v>0</v>
      </c>
      <c r="P54" s="265"/>
      <c r="Q54" s="116"/>
      <c r="R54" s="116"/>
      <c r="S54" s="116"/>
    </row>
    <row r="55" spans="1:19" s="43" customFormat="1" ht="57">
      <c r="A55" s="335"/>
      <c r="B55" s="242"/>
      <c r="C55" s="243"/>
      <c r="D55" s="100" t="s">
        <v>49</v>
      </c>
      <c r="E55" s="149">
        <v>0</v>
      </c>
      <c r="F55" s="173">
        <f>SUM(G55:O55)</f>
        <v>0</v>
      </c>
      <c r="G55" s="149">
        <v>0</v>
      </c>
      <c r="H55" s="245">
        <v>0</v>
      </c>
      <c r="I55" s="245"/>
      <c r="J55" s="245"/>
      <c r="K55" s="245"/>
      <c r="L55" s="245"/>
      <c r="M55" s="149">
        <v>0</v>
      </c>
      <c r="N55" s="149">
        <v>0</v>
      </c>
      <c r="O55" s="149">
        <v>0</v>
      </c>
      <c r="P55" s="265"/>
      <c r="Q55" s="116"/>
      <c r="R55" s="116"/>
      <c r="S55" s="116"/>
    </row>
    <row r="56" spans="1:19" s="43" customFormat="1" ht="19">
      <c r="A56" s="335"/>
      <c r="B56" s="242"/>
      <c r="C56" s="243"/>
      <c r="D56" s="100" t="s">
        <v>90</v>
      </c>
      <c r="E56" s="149"/>
      <c r="F56" s="173">
        <f>SUM(G56:O56)</f>
        <v>0</v>
      </c>
      <c r="G56" s="149">
        <v>0</v>
      </c>
      <c r="H56" s="245">
        <v>0</v>
      </c>
      <c r="I56" s="245"/>
      <c r="J56" s="245"/>
      <c r="K56" s="245"/>
      <c r="L56" s="245"/>
      <c r="M56" s="149">
        <v>0</v>
      </c>
      <c r="N56" s="149">
        <v>0</v>
      </c>
      <c r="O56" s="149">
        <v>0</v>
      </c>
      <c r="P56" s="265"/>
      <c r="Q56" s="116"/>
      <c r="R56" s="116"/>
      <c r="S56" s="116"/>
    </row>
    <row r="57" spans="1:19" s="43" customFormat="1" ht="24.75" customHeight="1">
      <c r="A57" s="335"/>
      <c r="B57" s="237" t="s">
        <v>227</v>
      </c>
      <c r="C57" s="234" t="s">
        <v>129</v>
      </c>
      <c r="D57" s="234" t="s">
        <v>129</v>
      </c>
      <c r="E57" s="145"/>
      <c r="F57" s="248" t="s">
        <v>130</v>
      </c>
      <c r="G57" s="146" t="s">
        <v>287</v>
      </c>
      <c r="H57" s="246" t="s">
        <v>288</v>
      </c>
      <c r="I57" s="247" t="s">
        <v>131</v>
      </c>
      <c r="J57" s="247"/>
      <c r="K57" s="247"/>
      <c r="L57" s="247"/>
      <c r="M57" s="146" t="s">
        <v>136</v>
      </c>
      <c r="N57" s="146" t="s">
        <v>137</v>
      </c>
      <c r="O57" s="146" t="s">
        <v>138</v>
      </c>
      <c r="P57" s="257" t="s">
        <v>129</v>
      </c>
      <c r="Q57" s="44"/>
    </row>
    <row r="58" spans="1:19" s="43" customFormat="1" ht="18.75" customHeight="1">
      <c r="A58" s="335"/>
      <c r="B58" s="237"/>
      <c r="C58" s="234"/>
      <c r="D58" s="234"/>
      <c r="E58" s="145"/>
      <c r="F58" s="248"/>
      <c r="G58" s="145"/>
      <c r="H58" s="246"/>
      <c r="I58" s="145" t="s">
        <v>132</v>
      </c>
      <c r="J58" s="145" t="s">
        <v>133</v>
      </c>
      <c r="K58" s="145" t="s">
        <v>134</v>
      </c>
      <c r="L58" s="145" t="s">
        <v>135</v>
      </c>
      <c r="M58" s="145"/>
      <c r="N58" s="145"/>
      <c r="O58" s="145"/>
      <c r="P58" s="257"/>
      <c r="Q58" s="44"/>
    </row>
    <row r="59" spans="1:19" s="43" customFormat="1" ht="30" customHeight="1">
      <c r="A59" s="335"/>
      <c r="B59" s="237"/>
      <c r="C59" s="234"/>
      <c r="D59" s="234"/>
      <c r="E59" s="145"/>
      <c r="F59" s="174">
        <v>0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147">
        <v>0</v>
      </c>
      <c r="P59" s="257"/>
      <c r="Q59" s="44"/>
    </row>
    <row r="60" spans="1:19" s="9" customFormat="1" ht="18.75" customHeight="1">
      <c r="A60" s="315" t="s">
        <v>9</v>
      </c>
      <c r="B60" s="288" t="s">
        <v>303</v>
      </c>
      <c r="C60" s="282" t="s">
        <v>89</v>
      </c>
      <c r="D60" s="166" t="s">
        <v>2</v>
      </c>
      <c r="E60" s="167" t="e">
        <f>E62+E63</f>
        <v>#REF!</v>
      </c>
      <c r="F60" s="173">
        <f>SUM(G60:O60)</f>
        <v>982</v>
      </c>
      <c r="G60" s="167">
        <f t="shared" ref="G60" si="23">G61+G62+G63+G64</f>
        <v>333</v>
      </c>
      <c r="H60" s="295">
        <f>H61+H62+H63+H64</f>
        <v>649</v>
      </c>
      <c r="I60" s="295"/>
      <c r="J60" s="295"/>
      <c r="K60" s="295"/>
      <c r="L60" s="295"/>
      <c r="M60" s="167">
        <f t="shared" ref="M60:O60" si="24">M61+M62+M63+M64</f>
        <v>0</v>
      </c>
      <c r="N60" s="167">
        <f t="shared" si="24"/>
        <v>0</v>
      </c>
      <c r="O60" s="167">
        <f t="shared" si="24"/>
        <v>0</v>
      </c>
      <c r="P60" s="294"/>
      <c r="Q60" s="106"/>
      <c r="R60" s="106"/>
      <c r="S60" s="106"/>
    </row>
    <row r="61" spans="1:19" s="9" customFormat="1" ht="38">
      <c r="A61" s="315"/>
      <c r="B61" s="288"/>
      <c r="C61" s="282"/>
      <c r="D61" s="168" t="s">
        <v>41</v>
      </c>
      <c r="E61" s="167"/>
      <c r="F61" s="173">
        <f t="shared" ref="F61:F68" si="25">SUM(H61:O61)</f>
        <v>0</v>
      </c>
      <c r="G61" s="169">
        <f>G65</f>
        <v>0</v>
      </c>
      <c r="H61" s="296">
        <f>H65</f>
        <v>0</v>
      </c>
      <c r="I61" s="296"/>
      <c r="J61" s="296"/>
      <c r="K61" s="296"/>
      <c r="L61" s="296"/>
      <c r="M61" s="169">
        <f t="shared" ref="M61:O61" si="26">M65</f>
        <v>0</v>
      </c>
      <c r="N61" s="169">
        <f t="shared" si="26"/>
        <v>0</v>
      </c>
      <c r="O61" s="169">
        <f t="shared" si="26"/>
        <v>0</v>
      </c>
      <c r="P61" s="294"/>
      <c r="Q61" s="106"/>
      <c r="R61" s="106"/>
      <c r="S61" s="106"/>
    </row>
    <row r="62" spans="1:19" s="9" customFormat="1" ht="36.75" customHeight="1">
      <c r="A62" s="315"/>
      <c r="B62" s="288"/>
      <c r="C62" s="282"/>
      <c r="D62" s="168" t="s">
        <v>1</v>
      </c>
      <c r="E62" s="169" t="e">
        <f>#REF!+#REF!</f>
        <v>#REF!</v>
      </c>
      <c r="F62" s="173">
        <f>SUM(G62:O62)</f>
        <v>982</v>
      </c>
      <c r="G62" s="169">
        <f t="shared" ref="G62" si="27">G66+G73</f>
        <v>333</v>
      </c>
      <c r="H62" s="296">
        <f>H66+H73</f>
        <v>649</v>
      </c>
      <c r="I62" s="296"/>
      <c r="J62" s="296"/>
      <c r="K62" s="296"/>
      <c r="L62" s="296"/>
      <c r="M62" s="169">
        <f t="shared" ref="M62:O62" si="28">M66+M73</f>
        <v>0</v>
      </c>
      <c r="N62" s="169">
        <f t="shared" si="28"/>
        <v>0</v>
      </c>
      <c r="O62" s="169">
        <f t="shared" si="28"/>
        <v>0</v>
      </c>
      <c r="P62" s="294"/>
      <c r="Q62" s="106"/>
      <c r="R62" s="106"/>
      <c r="S62" s="106"/>
    </row>
    <row r="63" spans="1:19" s="9" customFormat="1" ht="61.5" customHeight="1">
      <c r="A63" s="315"/>
      <c r="B63" s="288"/>
      <c r="C63" s="282"/>
      <c r="D63" s="168" t="s">
        <v>49</v>
      </c>
      <c r="E63" s="161" t="e">
        <f>#REF!+#REF!</f>
        <v>#REF!</v>
      </c>
      <c r="F63" s="173">
        <f t="shared" si="25"/>
        <v>0</v>
      </c>
      <c r="G63" s="161">
        <f t="shared" ref="G63" si="29">G67+G74</f>
        <v>0</v>
      </c>
      <c r="H63" s="281">
        <f>H67+H74</f>
        <v>0</v>
      </c>
      <c r="I63" s="281"/>
      <c r="J63" s="281"/>
      <c r="K63" s="281"/>
      <c r="L63" s="281"/>
      <c r="M63" s="161">
        <f t="shared" ref="M63:O63" si="30">M67+M74</f>
        <v>0</v>
      </c>
      <c r="N63" s="161">
        <f t="shared" si="30"/>
        <v>0</v>
      </c>
      <c r="O63" s="161">
        <f t="shared" si="30"/>
        <v>0</v>
      </c>
      <c r="P63" s="294"/>
      <c r="Q63" s="106"/>
      <c r="R63" s="106"/>
      <c r="S63" s="106"/>
    </row>
    <row r="64" spans="1:19" s="9" customFormat="1" ht="19">
      <c r="A64" s="315"/>
      <c r="B64" s="288"/>
      <c r="C64" s="282"/>
      <c r="D64" s="168" t="s">
        <v>90</v>
      </c>
      <c r="E64" s="161"/>
      <c r="F64" s="173">
        <f t="shared" si="25"/>
        <v>0</v>
      </c>
      <c r="G64" s="161">
        <f>G68</f>
        <v>0</v>
      </c>
      <c r="H64" s="281">
        <f>H68</f>
        <v>0</v>
      </c>
      <c r="I64" s="281"/>
      <c r="J64" s="281"/>
      <c r="K64" s="281"/>
      <c r="L64" s="281"/>
      <c r="M64" s="161">
        <f t="shared" ref="M64:O64" si="31">M68</f>
        <v>0</v>
      </c>
      <c r="N64" s="161">
        <f t="shared" si="31"/>
        <v>0</v>
      </c>
      <c r="O64" s="161">
        <f t="shared" si="31"/>
        <v>0</v>
      </c>
      <c r="P64" s="294"/>
      <c r="Q64" s="106"/>
      <c r="R64" s="106"/>
      <c r="S64" s="106"/>
    </row>
    <row r="65" spans="1:19" s="43" customFormat="1" ht="37.5" customHeight="1">
      <c r="A65" s="335" t="s">
        <v>35</v>
      </c>
      <c r="B65" s="242" t="s">
        <v>247</v>
      </c>
      <c r="C65" s="243" t="s">
        <v>89</v>
      </c>
      <c r="D65" s="100" t="s">
        <v>41</v>
      </c>
      <c r="E65" s="149"/>
      <c r="F65" s="173">
        <f t="shared" si="25"/>
        <v>0</v>
      </c>
      <c r="G65" s="149">
        <v>0</v>
      </c>
      <c r="H65" s="245">
        <v>0</v>
      </c>
      <c r="I65" s="245"/>
      <c r="J65" s="245"/>
      <c r="K65" s="245"/>
      <c r="L65" s="245"/>
      <c r="M65" s="149">
        <v>0</v>
      </c>
      <c r="N65" s="149">
        <v>0</v>
      </c>
      <c r="O65" s="149">
        <v>0</v>
      </c>
      <c r="P65" s="265" t="s">
        <v>67</v>
      </c>
      <c r="Q65" s="116"/>
      <c r="R65" s="116"/>
      <c r="S65" s="116"/>
    </row>
    <row r="66" spans="1:19" s="43" customFormat="1" ht="38">
      <c r="A66" s="335"/>
      <c r="B66" s="242"/>
      <c r="C66" s="243"/>
      <c r="D66" s="100" t="s">
        <v>1</v>
      </c>
      <c r="E66" s="149"/>
      <c r="F66" s="173">
        <f>SUM(G66:O66)</f>
        <v>982</v>
      </c>
      <c r="G66" s="149">
        <v>333</v>
      </c>
      <c r="H66" s="379">
        <v>649</v>
      </c>
      <c r="I66" s="379"/>
      <c r="J66" s="379"/>
      <c r="K66" s="379"/>
      <c r="L66" s="379"/>
      <c r="M66" s="149">
        <v>0</v>
      </c>
      <c r="N66" s="149">
        <v>0</v>
      </c>
      <c r="O66" s="149">
        <v>0</v>
      </c>
      <c r="P66" s="265"/>
      <c r="Q66" s="116"/>
      <c r="R66" s="116"/>
      <c r="S66" s="116"/>
    </row>
    <row r="67" spans="1:19" s="43" customFormat="1" ht="57">
      <c r="A67" s="335"/>
      <c r="B67" s="242"/>
      <c r="C67" s="243"/>
      <c r="D67" s="100" t="s">
        <v>49</v>
      </c>
      <c r="E67" s="149">
        <v>0</v>
      </c>
      <c r="F67" s="173">
        <f t="shared" si="25"/>
        <v>0</v>
      </c>
      <c r="G67" s="149">
        <v>0</v>
      </c>
      <c r="H67" s="245">
        <v>0</v>
      </c>
      <c r="I67" s="245"/>
      <c r="J67" s="245"/>
      <c r="K67" s="245"/>
      <c r="L67" s="245"/>
      <c r="M67" s="149">
        <v>0</v>
      </c>
      <c r="N67" s="149">
        <v>0</v>
      </c>
      <c r="O67" s="149">
        <v>0</v>
      </c>
      <c r="P67" s="265"/>
      <c r="Q67" s="116"/>
      <c r="R67" s="116"/>
      <c r="S67" s="116"/>
    </row>
    <row r="68" spans="1:19" s="43" customFormat="1" ht="19">
      <c r="A68" s="335"/>
      <c r="B68" s="242"/>
      <c r="C68" s="243"/>
      <c r="D68" s="100" t="s">
        <v>90</v>
      </c>
      <c r="E68" s="149"/>
      <c r="F68" s="173">
        <f t="shared" si="25"/>
        <v>0</v>
      </c>
      <c r="G68" s="149">
        <v>0</v>
      </c>
      <c r="H68" s="245">
        <v>0</v>
      </c>
      <c r="I68" s="245"/>
      <c r="J68" s="245"/>
      <c r="K68" s="245"/>
      <c r="L68" s="245"/>
      <c r="M68" s="149">
        <v>0</v>
      </c>
      <c r="N68" s="149">
        <v>0</v>
      </c>
      <c r="O68" s="149">
        <v>0</v>
      </c>
      <c r="P68" s="265"/>
      <c r="Q68" s="116"/>
      <c r="R68" s="116"/>
      <c r="S68" s="116"/>
    </row>
    <row r="69" spans="1:19" s="43" customFormat="1" ht="34.5" customHeight="1">
      <c r="A69" s="335"/>
      <c r="B69" s="237" t="s">
        <v>248</v>
      </c>
      <c r="C69" s="234" t="s">
        <v>129</v>
      </c>
      <c r="D69" s="234" t="s">
        <v>129</v>
      </c>
      <c r="E69" s="145"/>
      <c r="F69" s="248" t="s">
        <v>130</v>
      </c>
      <c r="G69" s="146" t="s">
        <v>287</v>
      </c>
      <c r="H69" s="246" t="s">
        <v>288</v>
      </c>
      <c r="I69" s="247" t="s">
        <v>131</v>
      </c>
      <c r="J69" s="247"/>
      <c r="K69" s="247"/>
      <c r="L69" s="247"/>
      <c r="M69" s="146" t="s">
        <v>136</v>
      </c>
      <c r="N69" s="146" t="s">
        <v>137</v>
      </c>
      <c r="O69" s="146" t="s">
        <v>138</v>
      </c>
      <c r="P69" s="257" t="s">
        <v>129</v>
      </c>
      <c r="Q69" s="44"/>
    </row>
    <row r="70" spans="1:19" s="43" customFormat="1" ht="34.5" customHeight="1">
      <c r="A70" s="335"/>
      <c r="B70" s="237"/>
      <c r="C70" s="234"/>
      <c r="D70" s="234"/>
      <c r="E70" s="145"/>
      <c r="F70" s="248"/>
      <c r="G70" s="145"/>
      <c r="H70" s="246"/>
      <c r="I70" s="145" t="s">
        <v>132</v>
      </c>
      <c r="J70" s="145" t="s">
        <v>133</v>
      </c>
      <c r="K70" s="145" t="s">
        <v>134</v>
      </c>
      <c r="L70" s="145" t="s">
        <v>135</v>
      </c>
      <c r="M70" s="145"/>
      <c r="N70" s="145"/>
      <c r="O70" s="145"/>
      <c r="P70" s="257"/>
      <c r="Q70" s="44"/>
    </row>
    <row r="71" spans="1:19" s="43" customFormat="1" ht="34.5" customHeight="1">
      <c r="A71" s="335"/>
      <c r="B71" s="237"/>
      <c r="C71" s="234"/>
      <c r="D71" s="234"/>
      <c r="E71" s="145"/>
      <c r="F71" s="174">
        <f>G71+H71</f>
        <v>228</v>
      </c>
      <c r="G71" s="147">
        <v>74</v>
      </c>
      <c r="H71" s="212">
        <v>154</v>
      </c>
      <c r="I71" s="212">
        <v>59</v>
      </c>
      <c r="J71" s="212">
        <v>59</v>
      </c>
      <c r="K71" s="212">
        <f>59+95</f>
        <v>154</v>
      </c>
      <c r="L71" s="212">
        <v>154</v>
      </c>
      <c r="M71" s="147">
        <v>0</v>
      </c>
      <c r="N71" s="147">
        <v>0</v>
      </c>
      <c r="O71" s="147">
        <v>0</v>
      </c>
      <c r="P71" s="257"/>
      <c r="Q71" s="44"/>
    </row>
    <row r="72" spans="1:19" s="9" customFormat="1" ht="18.75" customHeight="1">
      <c r="A72" s="315" t="s">
        <v>38</v>
      </c>
      <c r="B72" s="317" t="s">
        <v>117</v>
      </c>
      <c r="C72" s="282" t="s">
        <v>89</v>
      </c>
      <c r="D72" s="166" t="s">
        <v>2</v>
      </c>
      <c r="E72" s="167" t="e">
        <f>E74+E75</f>
        <v>#REF!</v>
      </c>
      <c r="F72" s="173">
        <f t="shared" ref="F72:F80" si="32">SUM(G72:O72)</f>
        <v>173401.47099999999</v>
      </c>
      <c r="G72" s="167">
        <f t="shared" ref="G72" si="33">G73+G74+G75+G76</f>
        <v>12718.079</v>
      </c>
      <c r="H72" s="295">
        <f>H73+H74+H75+H76</f>
        <v>35778.392</v>
      </c>
      <c r="I72" s="295"/>
      <c r="J72" s="295"/>
      <c r="K72" s="295"/>
      <c r="L72" s="295"/>
      <c r="M72" s="167">
        <f t="shared" ref="M72:O72" si="34">M73+M74+M75+M76</f>
        <v>41635</v>
      </c>
      <c r="N72" s="167">
        <f t="shared" si="34"/>
        <v>41635</v>
      </c>
      <c r="O72" s="167">
        <f t="shared" si="34"/>
        <v>41635</v>
      </c>
      <c r="P72" s="294"/>
      <c r="Q72" s="106"/>
      <c r="R72" s="106"/>
      <c r="S72" s="106"/>
    </row>
    <row r="73" spans="1:19" s="9" customFormat="1" ht="38">
      <c r="A73" s="315"/>
      <c r="B73" s="317"/>
      <c r="C73" s="282"/>
      <c r="D73" s="168" t="s">
        <v>41</v>
      </c>
      <c r="E73" s="167"/>
      <c r="F73" s="173">
        <f t="shared" si="32"/>
        <v>0</v>
      </c>
      <c r="G73" s="169">
        <f t="shared" ref="G73" si="35">G77+G91</f>
        <v>0</v>
      </c>
      <c r="H73" s="296">
        <f>H77+H91</f>
        <v>0</v>
      </c>
      <c r="I73" s="296"/>
      <c r="J73" s="296"/>
      <c r="K73" s="296"/>
      <c r="L73" s="296"/>
      <c r="M73" s="169">
        <f t="shared" ref="M73:O73" si="36">M77+M91</f>
        <v>0</v>
      </c>
      <c r="N73" s="169">
        <f t="shared" si="36"/>
        <v>0</v>
      </c>
      <c r="O73" s="169">
        <f t="shared" si="36"/>
        <v>0</v>
      </c>
      <c r="P73" s="294"/>
      <c r="Q73" s="106"/>
      <c r="R73" s="106"/>
      <c r="S73" s="106"/>
    </row>
    <row r="74" spans="1:19" s="9" customFormat="1" ht="36.75" customHeight="1">
      <c r="A74" s="315"/>
      <c r="B74" s="317"/>
      <c r="C74" s="282"/>
      <c r="D74" s="168" t="s">
        <v>1</v>
      </c>
      <c r="E74" s="169" t="e">
        <f>#REF!+#REF!</f>
        <v>#REF!</v>
      </c>
      <c r="F74" s="173">
        <f t="shared" si="32"/>
        <v>0</v>
      </c>
      <c r="G74" s="169">
        <f t="shared" ref="G74" si="37">G78+G92</f>
        <v>0</v>
      </c>
      <c r="H74" s="296">
        <f>H78+H92</f>
        <v>0</v>
      </c>
      <c r="I74" s="296"/>
      <c r="J74" s="296"/>
      <c r="K74" s="296"/>
      <c r="L74" s="296"/>
      <c r="M74" s="169">
        <f t="shared" ref="M74:O74" si="38">M78+M92</f>
        <v>0</v>
      </c>
      <c r="N74" s="169">
        <f t="shared" si="38"/>
        <v>0</v>
      </c>
      <c r="O74" s="169">
        <f t="shared" si="38"/>
        <v>0</v>
      </c>
      <c r="P74" s="294"/>
      <c r="Q74" s="106"/>
      <c r="R74" s="106"/>
      <c r="S74" s="106"/>
    </row>
    <row r="75" spans="1:19" s="9" customFormat="1" ht="61.5" customHeight="1">
      <c r="A75" s="315"/>
      <c r="B75" s="317"/>
      <c r="C75" s="282"/>
      <c r="D75" s="168" t="s">
        <v>49</v>
      </c>
      <c r="E75" s="161" t="e">
        <f>#REF!+#REF!</f>
        <v>#REF!</v>
      </c>
      <c r="F75" s="173">
        <f t="shared" si="32"/>
        <v>173401.47099999999</v>
      </c>
      <c r="G75" s="161">
        <f>G79+G93+G86</f>
        <v>12718.079</v>
      </c>
      <c r="H75" s="281">
        <f>H79+H93+H86</f>
        <v>35778.392</v>
      </c>
      <c r="I75" s="281"/>
      <c r="J75" s="281"/>
      <c r="K75" s="281"/>
      <c r="L75" s="281"/>
      <c r="M75" s="161">
        <f t="shared" ref="M75:O75" si="39">M79+M93+M86</f>
        <v>41635</v>
      </c>
      <c r="N75" s="161">
        <f t="shared" si="39"/>
        <v>41635</v>
      </c>
      <c r="O75" s="161">
        <f t="shared" si="39"/>
        <v>41635</v>
      </c>
      <c r="P75" s="294"/>
      <c r="Q75" s="106"/>
      <c r="R75" s="106"/>
      <c r="S75" s="106"/>
    </row>
    <row r="76" spans="1:19" s="9" customFormat="1" ht="19">
      <c r="A76" s="315"/>
      <c r="B76" s="317"/>
      <c r="C76" s="282"/>
      <c r="D76" s="168" t="s">
        <v>90</v>
      </c>
      <c r="E76" s="161"/>
      <c r="F76" s="173">
        <f t="shared" si="32"/>
        <v>0</v>
      </c>
      <c r="G76" s="161">
        <f t="shared" ref="G76" si="40">G80+G94</f>
        <v>0</v>
      </c>
      <c r="H76" s="281">
        <f>H80+H94</f>
        <v>0</v>
      </c>
      <c r="I76" s="281"/>
      <c r="J76" s="281"/>
      <c r="K76" s="281"/>
      <c r="L76" s="281"/>
      <c r="M76" s="161">
        <f t="shared" ref="M76:O76" si="41">M80+M94</f>
        <v>0</v>
      </c>
      <c r="N76" s="161">
        <f t="shared" si="41"/>
        <v>0</v>
      </c>
      <c r="O76" s="161">
        <f t="shared" si="41"/>
        <v>0</v>
      </c>
      <c r="P76" s="294"/>
      <c r="Q76" s="106"/>
      <c r="R76" s="106"/>
      <c r="S76" s="106"/>
    </row>
    <row r="77" spans="1:19" s="43" customFormat="1" ht="37.5" customHeight="1">
      <c r="A77" s="335" t="s">
        <v>52</v>
      </c>
      <c r="B77" s="242" t="s">
        <v>267</v>
      </c>
      <c r="C77" s="243" t="s">
        <v>89</v>
      </c>
      <c r="D77" s="100" t="s">
        <v>41</v>
      </c>
      <c r="E77" s="149"/>
      <c r="F77" s="173">
        <f t="shared" si="32"/>
        <v>0</v>
      </c>
      <c r="G77" s="149">
        <v>0</v>
      </c>
      <c r="H77" s="245">
        <v>0</v>
      </c>
      <c r="I77" s="245"/>
      <c r="J77" s="245"/>
      <c r="K77" s="245"/>
      <c r="L77" s="245"/>
      <c r="M77" s="149">
        <v>0</v>
      </c>
      <c r="N77" s="149">
        <v>0</v>
      </c>
      <c r="O77" s="149">
        <v>0</v>
      </c>
      <c r="P77" s="265" t="s">
        <v>67</v>
      </c>
      <c r="Q77" s="116"/>
      <c r="R77" s="116"/>
      <c r="S77" s="116"/>
    </row>
    <row r="78" spans="1:19" s="43" customFormat="1" ht="38">
      <c r="A78" s="335"/>
      <c r="B78" s="242"/>
      <c r="C78" s="243"/>
      <c r="D78" s="100" t="s">
        <v>1</v>
      </c>
      <c r="E78" s="149"/>
      <c r="F78" s="173">
        <f t="shared" si="32"/>
        <v>0</v>
      </c>
      <c r="G78" s="149">
        <v>0</v>
      </c>
      <c r="H78" s="245">
        <v>0</v>
      </c>
      <c r="I78" s="245"/>
      <c r="J78" s="245"/>
      <c r="K78" s="245"/>
      <c r="L78" s="245"/>
      <c r="M78" s="149">
        <v>0</v>
      </c>
      <c r="N78" s="149">
        <v>0</v>
      </c>
      <c r="O78" s="149">
        <v>0</v>
      </c>
      <c r="P78" s="265"/>
      <c r="Q78" s="116"/>
      <c r="R78" s="116"/>
      <c r="S78" s="116"/>
    </row>
    <row r="79" spans="1:19" s="43" customFormat="1" ht="57">
      <c r="A79" s="335"/>
      <c r="B79" s="242"/>
      <c r="C79" s="243"/>
      <c r="D79" s="100" t="s">
        <v>49</v>
      </c>
      <c r="E79" s="149">
        <v>0</v>
      </c>
      <c r="F79" s="173">
        <f t="shared" si="32"/>
        <v>0</v>
      </c>
      <c r="G79" s="149">
        <v>0</v>
      </c>
      <c r="H79" s="245">
        <f>12718.079-12718.079</f>
        <v>0</v>
      </c>
      <c r="I79" s="245"/>
      <c r="J79" s="245"/>
      <c r="K79" s="245"/>
      <c r="L79" s="245"/>
      <c r="M79" s="149">
        <v>0</v>
      </c>
      <c r="N79" s="149">
        <v>0</v>
      </c>
      <c r="O79" s="149">
        <v>0</v>
      </c>
      <c r="P79" s="265"/>
      <c r="Q79" s="116"/>
      <c r="R79" s="116"/>
      <c r="S79" s="116"/>
    </row>
    <row r="80" spans="1:19" s="43" customFormat="1" ht="19">
      <c r="A80" s="335"/>
      <c r="B80" s="242"/>
      <c r="C80" s="243"/>
      <c r="D80" s="100" t="s">
        <v>90</v>
      </c>
      <c r="E80" s="149"/>
      <c r="F80" s="173">
        <f t="shared" si="32"/>
        <v>0</v>
      </c>
      <c r="G80" s="149">
        <v>0</v>
      </c>
      <c r="H80" s="245">
        <v>0</v>
      </c>
      <c r="I80" s="245"/>
      <c r="J80" s="245"/>
      <c r="K80" s="245"/>
      <c r="L80" s="245"/>
      <c r="M80" s="149">
        <v>0</v>
      </c>
      <c r="N80" s="149">
        <v>0</v>
      </c>
      <c r="O80" s="149">
        <v>0</v>
      </c>
      <c r="P80" s="265"/>
      <c r="Q80" s="116"/>
      <c r="R80" s="116"/>
      <c r="S80" s="116"/>
    </row>
    <row r="81" spans="1:19" s="43" customFormat="1" ht="24.75" customHeight="1">
      <c r="A81" s="335"/>
      <c r="B81" s="237" t="s">
        <v>268</v>
      </c>
      <c r="C81" s="234" t="s">
        <v>129</v>
      </c>
      <c r="D81" s="234" t="s">
        <v>129</v>
      </c>
      <c r="E81" s="145"/>
      <c r="F81" s="248" t="s">
        <v>130</v>
      </c>
      <c r="G81" s="146" t="s">
        <v>287</v>
      </c>
      <c r="H81" s="246" t="s">
        <v>288</v>
      </c>
      <c r="I81" s="247" t="s">
        <v>131</v>
      </c>
      <c r="J81" s="247"/>
      <c r="K81" s="247"/>
      <c r="L81" s="247"/>
      <c r="M81" s="146" t="s">
        <v>136</v>
      </c>
      <c r="N81" s="146" t="s">
        <v>137</v>
      </c>
      <c r="O81" s="146" t="s">
        <v>138</v>
      </c>
      <c r="P81" s="257" t="s">
        <v>129</v>
      </c>
      <c r="Q81" s="44"/>
    </row>
    <row r="82" spans="1:19" s="43" customFormat="1" ht="19.5" customHeight="1">
      <c r="A82" s="335"/>
      <c r="B82" s="237"/>
      <c r="C82" s="234"/>
      <c r="D82" s="234"/>
      <c r="E82" s="145"/>
      <c r="F82" s="248"/>
      <c r="G82" s="145"/>
      <c r="H82" s="246"/>
      <c r="I82" s="145" t="s">
        <v>132</v>
      </c>
      <c r="J82" s="145" t="s">
        <v>133</v>
      </c>
      <c r="K82" s="145" t="s">
        <v>134</v>
      </c>
      <c r="L82" s="145" t="s">
        <v>135</v>
      </c>
      <c r="M82" s="145"/>
      <c r="N82" s="145"/>
      <c r="O82" s="145"/>
      <c r="P82" s="257"/>
      <c r="Q82" s="44"/>
    </row>
    <row r="83" spans="1:19" s="43" customFormat="1" ht="22.5" customHeight="1">
      <c r="A83" s="335"/>
      <c r="B83" s="237"/>
      <c r="C83" s="234"/>
      <c r="D83" s="234"/>
      <c r="E83" s="145"/>
      <c r="F83" s="174">
        <v>0</v>
      </c>
      <c r="G83" s="147">
        <v>0</v>
      </c>
      <c r="H83" s="147">
        <v>0</v>
      </c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257"/>
      <c r="Q83" s="44"/>
    </row>
    <row r="84" spans="1:19" s="43" customFormat="1" ht="37.5" customHeight="1">
      <c r="A84" s="335" t="s">
        <v>249</v>
      </c>
      <c r="B84" s="242" t="s">
        <v>256</v>
      </c>
      <c r="C84" s="243" t="s">
        <v>254</v>
      </c>
      <c r="D84" s="100" t="s">
        <v>41</v>
      </c>
      <c r="E84" s="149"/>
      <c r="F84" s="173">
        <f>SUM(G84:O84)</f>
        <v>0</v>
      </c>
      <c r="G84" s="149">
        <v>0</v>
      </c>
      <c r="H84" s="245">
        <v>0</v>
      </c>
      <c r="I84" s="245"/>
      <c r="J84" s="245"/>
      <c r="K84" s="245"/>
      <c r="L84" s="245"/>
      <c r="M84" s="149">
        <v>0</v>
      </c>
      <c r="N84" s="149">
        <v>0</v>
      </c>
      <c r="O84" s="149">
        <v>0</v>
      </c>
      <c r="P84" s="265" t="s">
        <v>67</v>
      </c>
      <c r="Q84" s="116"/>
      <c r="R84" s="116"/>
      <c r="S84" s="116"/>
    </row>
    <row r="85" spans="1:19" s="43" customFormat="1" ht="38">
      <c r="A85" s="335"/>
      <c r="B85" s="242"/>
      <c r="C85" s="243"/>
      <c r="D85" s="100" t="s">
        <v>1</v>
      </c>
      <c r="E85" s="149"/>
      <c r="F85" s="173">
        <f>SUM(G85:O85)</f>
        <v>0</v>
      </c>
      <c r="G85" s="149">
        <v>0</v>
      </c>
      <c r="H85" s="245">
        <v>0</v>
      </c>
      <c r="I85" s="245"/>
      <c r="J85" s="245"/>
      <c r="K85" s="245"/>
      <c r="L85" s="245"/>
      <c r="M85" s="149">
        <v>0</v>
      </c>
      <c r="N85" s="149">
        <v>0</v>
      </c>
      <c r="O85" s="149">
        <v>0</v>
      </c>
      <c r="P85" s="265"/>
      <c r="Q85" s="116"/>
      <c r="R85" s="116"/>
      <c r="S85" s="116"/>
    </row>
    <row r="86" spans="1:19" s="43" customFormat="1" ht="57">
      <c r="A86" s="335"/>
      <c r="B86" s="242"/>
      <c r="C86" s="243"/>
      <c r="D86" s="100" t="s">
        <v>49</v>
      </c>
      <c r="E86" s="149">
        <v>0</v>
      </c>
      <c r="F86" s="173">
        <f>SUM(G86:O86)</f>
        <v>173401.47099999999</v>
      </c>
      <c r="G86" s="149">
        <v>12718.079</v>
      </c>
      <c r="H86" s="266">
        <f>12729+2813.112+20236.28</f>
        <v>35778.392</v>
      </c>
      <c r="I86" s="266"/>
      <c r="J86" s="266"/>
      <c r="K86" s="266"/>
      <c r="L86" s="266"/>
      <c r="M86" s="226">
        <f>12718.079+10.921+28906</f>
        <v>41635</v>
      </c>
      <c r="N86" s="226">
        <f>12718.079+10.921+28906</f>
        <v>41635</v>
      </c>
      <c r="O86" s="226">
        <f>12718.079+10.921+28906</f>
        <v>41635</v>
      </c>
      <c r="P86" s="265"/>
      <c r="Q86" s="116"/>
      <c r="R86" s="116"/>
      <c r="S86" s="116"/>
    </row>
    <row r="87" spans="1:19" s="43" customFormat="1" ht="19">
      <c r="A87" s="335"/>
      <c r="B87" s="242"/>
      <c r="C87" s="243"/>
      <c r="D87" s="100" t="s">
        <v>90</v>
      </c>
      <c r="E87" s="149"/>
      <c r="F87" s="173">
        <f>SUM(G87:O87)</f>
        <v>0</v>
      </c>
      <c r="G87" s="149">
        <v>0</v>
      </c>
      <c r="H87" s="245">
        <v>0</v>
      </c>
      <c r="I87" s="245"/>
      <c r="J87" s="245"/>
      <c r="K87" s="245"/>
      <c r="L87" s="245"/>
      <c r="M87" s="149">
        <v>0</v>
      </c>
      <c r="N87" s="149">
        <v>0</v>
      </c>
      <c r="O87" s="149">
        <v>0</v>
      </c>
      <c r="P87" s="265"/>
      <c r="Q87" s="116"/>
      <c r="R87" s="116"/>
      <c r="S87" s="116"/>
    </row>
    <row r="88" spans="1:19" s="43" customFormat="1" ht="24.75" customHeight="1">
      <c r="A88" s="335"/>
      <c r="B88" s="237" t="s">
        <v>214</v>
      </c>
      <c r="C88" s="234" t="s">
        <v>129</v>
      </c>
      <c r="D88" s="234" t="s">
        <v>129</v>
      </c>
      <c r="E88" s="145"/>
      <c r="F88" s="248" t="s">
        <v>130</v>
      </c>
      <c r="G88" s="146" t="s">
        <v>287</v>
      </c>
      <c r="H88" s="246" t="s">
        <v>288</v>
      </c>
      <c r="I88" s="247" t="s">
        <v>131</v>
      </c>
      <c r="J88" s="247"/>
      <c r="K88" s="247"/>
      <c r="L88" s="247"/>
      <c r="M88" s="146" t="s">
        <v>136</v>
      </c>
      <c r="N88" s="146" t="s">
        <v>137</v>
      </c>
      <c r="O88" s="146" t="s">
        <v>138</v>
      </c>
      <c r="P88" s="257" t="s">
        <v>129</v>
      </c>
      <c r="Q88" s="44"/>
    </row>
    <row r="89" spans="1:19" s="43" customFormat="1" ht="19.5" customHeight="1">
      <c r="A89" s="335"/>
      <c r="B89" s="237"/>
      <c r="C89" s="234"/>
      <c r="D89" s="234"/>
      <c r="E89" s="145"/>
      <c r="F89" s="248"/>
      <c r="G89" s="145"/>
      <c r="H89" s="246"/>
      <c r="I89" s="145" t="s">
        <v>132</v>
      </c>
      <c r="J89" s="145" t="s">
        <v>133</v>
      </c>
      <c r="K89" s="145" t="s">
        <v>134</v>
      </c>
      <c r="L89" s="145" t="s">
        <v>135</v>
      </c>
      <c r="M89" s="145"/>
      <c r="N89" s="145"/>
      <c r="O89" s="145"/>
      <c r="P89" s="257"/>
      <c r="Q89" s="44"/>
    </row>
    <row r="90" spans="1:19" s="43" customFormat="1" ht="22.5" customHeight="1">
      <c r="A90" s="335"/>
      <c r="B90" s="237"/>
      <c r="C90" s="234"/>
      <c r="D90" s="234"/>
      <c r="E90" s="145"/>
      <c r="F90" s="174">
        <v>100</v>
      </c>
      <c r="G90" s="147">
        <v>100</v>
      </c>
      <c r="H90" s="147">
        <v>100</v>
      </c>
      <c r="I90" s="147">
        <v>100</v>
      </c>
      <c r="J90" s="147">
        <v>100</v>
      </c>
      <c r="K90" s="147">
        <v>100</v>
      </c>
      <c r="L90" s="147">
        <v>100</v>
      </c>
      <c r="M90" s="147">
        <v>100</v>
      </c>
      <c r="N90" s="147">
        <v>100</v>
      </c>
      <c r="O90" s="147">
        <v>100</v>
      </c>
      <c r="P90" s="257"/>
      <c r="Q90" s="44"/>
    </row>
    <row r="91" spans="1:19" s="43" customFormat="1" ht="37.5" customHeight="1">
      <c r="A91" s="335" t="s">
        <v>295</v>
      </c>
      <c r="B91" s="242" t="s">
        <v>269</v>
      </c>
      <c r="C91" s="243" t="s">
        <v>89</v>
      </c>
      <c r="D91" s="100" t="s">
        <v>41</v>
      </c>
      <c r="E91" s="149"/>
      <c r="F91" s="173">
        <f>SUM(G91:O91)</f>
        <v>0</v>
      </c>
      <c r="G91" s="149">
        <v>0</v>
      </c>
      <c r="H91" s="245">
        <v>0</v>
      </c>
      <c r="I91" s="245"/>
      <c r="J91" s="245"/>
      <c r="K91" s="245"/>
      <c r="L91" s="245"/>
      <c r="M91" s="149">
        <v>0</v>
      </c>
      <c r="N91" s="149">
        <v>0</v>
      </c>
      <c r="O91" s="149">
        <v>0</v>
      </c>
      <c r="P91" s="265" t="s">
        <v>67</v>
      </c>
      <c r="Q91" s="116"/>
      <c r="R91" s="116"/>
      <c r="S91" s="116"/>
    </row>
    <row r="92" spans="1:19" s="43" customFormat="1" ht="38">
      <c r="A92" s="335"/>
      <c r="B92" s="242"/>
      <c r="C92" s="243"/>
      <c r="D92" s="100" t="s">
        <v>1</v>
      </c>
      <c r="E92" s="149"/>
      <c r="F92" s="173">
        <f>SUM(G92:O92)</f>
        <v>0</v>
      </c>
      <c r="G92" s="149">
        <v>0</v>
      </c>
      <c r="H92" s="245">
        <v>0</v>
      </c>
      <c r="I92" s="245"/>
      <c r="J92" s="245"/>
      <c r="K92" s="245"/>
      <c r="L92" s="245"/>
      <c r="M92" s="149">
        <v>0</v>
      </c>
      <c r="N92" s="149">
        <v>0</v>
      </c>
      <c r="O92" s="149">
        <v>0</v>
      </c>
      <c r="P92" s="265"/>
      <c r="Q92" s="116"/>
      <c r="R92" s="116"/>
      <c r="S92" s="116"/>
    </row>
    <row r="93" spans="1:19" s="43" customFormat="1" ht="57">
      <c r="A93" s="335"/>
      <c r="B93" s="242"/>
      <c r="C93" s="243"/>
      <c r="D93" s="100" t="s">
        <v>49</v>
      </c>
      <c r="E93" s="149">
        <v>0</v>
      </c>
      <c r="F93" s="173">
        <f>SUM(G93:O93)</f>
        <v>0</v>
      </c>
      <c r="G93" s="149">
        <v>0</v>
      </c>
      <c r="H93" s="245">
        <v>0</v>
      </c>
      <c r="I93" s="245"/>
      <c r="J93" s="245"/>
      <c r="K93" s="245"/>
      <c r="L93" s="245"/>
      <c r="M93" s="149">
        <v>0</v>
      </c>
      <c r="N93" s="149">
        <v>0</v>
      </c>
      <c r="O93" s="149">
        <v>0</v>
      </c>
      <c r="P93" s="265"/>
      <c r="Q93" s="116"/>
      <c r="R93" s="116"/>
      <c r="S93" s="116"/>
    </row>
    <row r="94" spans="1:19" s="43" customFormat="1" ht="19">
      <c r="A94" s="335"/>
      <c r="B94" s="242"/>
      <c r="C94" s="243"/>
      <c r="D94" s="100" t="s">
        <v>90</v>
      </c>
      <c r="E94" s="149"/>
      <c r="F94" s="173">
        <f>SUM(G94:O94)</f>
        <v>0</v>
      </c>
      <c r="G94" s="149">
        <v>0</v>
      </c>
      <c r="H94" s="245">
        <v>0</v>
      </c>
      <c r="I94" s="245"/>
      <c r="J94" s="245"/>
      <c r="K94" s="245"/>
      <c r="L94" s="245"/>
      <c r="M94" s="149">
        <v>0</v>
      </c>
      <c r="N94" s="149">
        <v>0</v>
      </c>
      <c r="O94" s="149">
        <v>0</v>
      </c>
      <c r="P94" s="265"/>
      <c r="Q94" s="116"/>
      <c r="R94" s="116"/>
      <c r="S94" s="116"/>
    </row>
    <row r="95" spans="1:19" s="43" customFormat="1" ht="24.75" customHeight="1">
      <c r="A95" s="335"/>
      <c r="B95" s="237" t="s">
        <v>215</v>
      </c>
      <c r="C95" s="234" t="s">
        <v>129</v>
      </c>
      <c r="D95" s="234" t="s">
        <v>129</v>
      </c>
      <c r="E95" s="145"/>
      <c r="F95" s="248" t="s">
        <v>130</v>
      </c>
      <c r="G95" s="146" t="s">
        <v>287</v>
      </c>
      <c r="H95" s="246" t="s">
        <v>288</v>
      </c>
      <c r="I95" s="247" t="s">
        <v>131</v>
      </c>
      <c r="J95" s="247"/>
      <c r="K95" s="247"/>
      <c r="L95" s="247"/>
      <c r="M95" s="146" t="s">
        <v>136</v>
      </c>
      <c r="N95" s="146" t="s">
        <v>137</v>
      </c>
      <c r="O95" s="146" t="s">
        <v>138</v>
      </c>
      <c r="P95" s="257" t="s">
        <v>129</v>
      </c>
      <c r="Q95" s="44"/>
    </row>
    <row r="96" spans="1:19" s="43" customFormat="1" ht="19.5" customHeight="1">
      <c r="A96" s="335"/>
      <c r="B96" s="237"/>
      <c r="C96" s="234"/>
      <c r="D96" s="234"/>
      <c r="E96" s="145"/>
      <c r="F96" s="248"/>
      <c r="G96" s="145"/>
      <c r="H96" s="246"/>
      <c r="I96" s="145" t="s">
        <v>132</v>
      </c>
      <c r="J96" s="145" t="s">
        <v>133</v>
      </c>
      <c r="K96" s="145" t="s">
        <v>134</v>
      </c>
      <c r="L96" s="145" t="s">
        <v>135</v>
      </c>
      <c r="M96" s="145"/>
      <c r="N96" s="145"/>
      <c r="O96" s="145"/>
      <c r="P96" s="257"/>
      <c r="Q96" s="44"/>
    </row>
    <row r="97" spans="1:21" s="43" customFormat="1" ht="22.5" customHeight="1">
      <c r="A97" s="335"/>
      <c r="B97" s="237"/>
      <c r="C97" s="234"/>
      <c r="D97" s="234"/>
      <c r="E97" s="145"/>
      <c r="F97" s="174">
        <v>0</v>
      </c>
      <c r="G97" s="147">
        <v>0</v>
      </c>
      <c r="H97" s="147">
        <v>0</v>
      </c>
      <c r="I97" s="147">
        <v>0</v>
      </c>
      <c r="J97" s="147">
        <v>0</v>
      </c>
      <c r="K97" s="147">
        <v>0</v>
      </c>
      <c r="L97" s="147">
        <v>0</v>
      </c>
      <c r="M97" s="147">
        <v>0</v>
      </c>
      <c r="N97" s="147">
        <v>0</v>
      </c>
      <c r="O97" s="147">
        <v>0</v>
      </c>
      <c r="P97" s="257"/>
      <c r="Q97" s="44"/>
    </row>
    <row r="98" spans="1:21" s="9" customFormat="1" ht="18.75" customHeight="1">
      <c r="A98" s="309" t="s">
        <v>10</v>
      </c>
      <c r="B98" s="238" t="s">
        <v>118</v>
      </c>
      <c r="C98" s="238" t="s">
        <v>89</v>
      </c>
      <c r="D98" s="157" t="s">
        <v>2</v>
      </c>
      <c r="E98" s="158" t="e">
        <f>E100+E101+E99</f>
        <v>#REF!</v>
      </c>
      <c r="F98" s="173">
        <f t="shared" ref="F98:F106" si="42">SUM(G98:O98)</f>
        <v>0</v>
      </c>
      <c r="G98" s="158">
        <f t="shared" ref="G98" si="43">G99+G100+G101+G102</f>
        <v>0</v>
      </c>
      <c r="H98" s="252">
        <f>H99+H100+H101+H102</f>
        <v>0</v>
      </c>
      <c r="I98" s="252"/>
      <c r="J98" s="252"/>
      <c r="K98" s="252"/>
      <c r="L98" s="252"/>
      <c r="M98" s="158">
        <f t="shared" ref="M98:O98" si="44">M99+M100+M101+M102</f>
        <v>0</v>
      </c>
      <c r="N98" s="158">
        <f t="shared" si="44"/>
        <v>0</v>
      </c>
      <c r="O98" s="158">
        <f t="shared" si="44"/>
        <v>0</v>
      </c>
      <c r="P98" s="262"/>
      <c r="Q98" s="117"/>
      <c r="R98" s="117"/>
      <c r="S98" s="117"/>
      <c r="T98" s="50"/>
      <c r="U98" s="50"/>
    </row>
    <row r="99" spans="1:21" s="9" customFormat="1" ht="38">
      <c r="A99" s="309"/>
      <c r="B99" s="238"/>
      <c r="C99" s="238"/>
      <c r="D99" s="157" t="s">
        <v>41</v>
      </c>
      <c r="E99" s="159" t="e">
        <f>#REF!</f>
        <v>#REF!</v>
      </c>
      <c r="F99" s="173">
        <f t="shared" si="42"/>
        <v>0</v>
      </c>
      <c r="G99" s="159">
        <f t="shared" ref="G99" si="45">G103</f>
        <v>0</v>
      </c>
      <c r="H99" s="251">
        <f>H103</f>
        <v>0</v>
      </c>
      <c r="I99" s="251"/>
      <c r="J99" s="251"/>
      <c r="K99" s="251"/>
      <c r="L99" s="251"/>
      <c r="M99" s="159">
        <f t="shared" ref="M99:O102" si="46">M103</f>
        <v>0</v>
      </c>
      <c r="N99" s="159">
        <f t="shared" si="46"/>
        <v>0</v>
      </c>
      <c r="O99" s="159">
        <f t="shared" si="46"/>
        <v>0</v>
      </c>
      <c r="P99" s="262"/>
      <c r="Q99" s="117"/>
      <c r="R99" s="117"/>
      <c r="S99" s="117"/>
      <c r="T99" s="50"/>
      <c r="U99" s="50"/>
    </row>
    <row r="100" spans="1:21" s="9" customFormat="1" ht="39.75" customHeight="1">
      <c r="A100" s="309"/>
      <c r="B100" s="238"/>
      <c r="C100" s="238"/>
      <c r="D100" s="157" t="s">
        <v>1</v>
      </c>
      <c r="E100" s="159" t="e">
        <f>#REF!+E103+E104+#REF!+#REF!+#REF!+#REF!+E170</f>
        <v>#REF!</v>
      </c>
      <c r="F100" s="173">
        <f t="shared" si="42"/>
        <v>0</v>
      </c>
      <c r="G100" s="159">
        <f t="shared" ref="G100" si="47">G104</f>
        <v>0</v>
      </c>
      <c r="H100" s="251">
        <f>H104</f>
        <v>0</v>
      </c>
      <c r="I100" s="251"/>
      <c r="J100" s="251"/>
      <c r="K100" s="251"/>
      <c r="L100" s="251"/>
      <c r="M100" s="159">
        <f t="shared" si="46"/>
        <v>0</v>
      </c>
      <c r="N100" s="159">
        <f t="shared" si="46"/>
        <v>0</v>
      </c>
      <c r="O100" s="159">
        <f t="shared" si="46"/>
        <v>0</v>
      </c>
      <c r="P100" s="262"/>
      <c r="Q100" s="117"/>
      <c r="R100" s="117"/>
      <c r="S100" s="117"/>
      <c r="T100" s="50"/>
      <c r="U100" s="50"/>
    </row>
    <row r="101" spans="1:21" s="9" customFormat="1" ht="58.5" customHeight="1">
      <c r="A101" s="309"/>
      <c r="B101" s="238"/>
      <c r="C101" s="238"/>
      <c r="D101" s="157" t="s">
        <v>49</v>
      </c>
      <c r="E101" s="159" t="e">
        <f>#REF!+#REF!+#REF!+#REF!+#REF!+#REF!+E172</f>
        <v>#REF!</v>
      </c>
      <c r="F101" s="173">
        <f t="shared" si="42"/>
        <v>0</v>
      </c>
      <c r="G101" s="159">
        <f t="shared" ref="G101" si="48">G105</f>
        <v>0</v>
      </c>
      <c r="H101" s="251">
        <f>H105</f>
        <v>0</v>
      </c>
      <c r="I101" s="251"/>
      <c r="J101" s="251"/>
      <c r="K101" s="251"/>
      <c r="L101" s="251"/>
      <c r="M101" s="159">
        <f t="shared" si="46"/>
        <v>0</v>
      </c>
      <c r="N101" s="159">
        <f t="shared" si="46"/>
        <v>0</v>
      </c>
      <c r="O101" s="159">
        <f t="shared" si="46"/>
        <v>0</v>
      </c>
      <c r="P101" s="262"/>
      <c r="Q101" s="117"/>
      <c r="R101" s="117"/>
      <c r="S101" s="117"/>
      <c r="T101" s="50"/>
      <c r="U101" s="50"/>
    </row>
    <row r="102" spans="1:21" s="9" customFormat="1" ht="19">
      <c r="A102" s="309"/>
      <c r="B102" s="238"/>
      <c r="C102" s="238"/>
      <c r="D102" s="157" t="s">
        <v>90</v>
      </c>
      <c r="E102" s="159"/>
      <c r="F102" s="173">
        <f t="shared" si="42"/>
        <v>0</v>
      </c>
      <c r="G102" s="159">
        <f t="shared" ref="G102" si="49">G106</f>
        <v>0</v>
      </c>
      <c r="H102" s="251">
        <f>H106</f>
        <v>0</v>
      </c>
      <c r="I102" s="251"/>
      <c r="J102" s="251"/>
      <c r="K102" s="251"/>
      <c r="L102" s="251"/>
      <c r="M102" s="159">
        <f t="shared" si="46"/>
        <v>0</v>
      </c>
      <c r="N102" s="159">
        <f t="shared" si="46"/>
        <v>0</v>
      </c>
      <c r="O102" s="159">
        <f t="shared" si="46"/>
        <v>0</v>
      </c>
      <c r="P102" s="262"/>
      <c r="Q102" s="117"/>
      <c r="R102" s="117"/>
      <c r="S102" s="117"/>
      <c r="T102" s="50"/>
      <c r="U102" s="50"/>
    </row>
    <row r="103" spans="1:21" s="43" customFormat="1" ht="40.5" customHeight="1">
      <c r="A103" s="305" t="s">
        <v>53</v>
      </c>
      <c r="B103" s="241" t="s">
        <v>162</v>
      </c>
      <c r="C103" s="239" t="s">
        <v>89</v>
      </c>
      <c r="D103" s="100" t="s">
        <v>41</v>
      </c>
      <c r="E103" s="131">
        <v>200475</v>
      </c>
      <c r="F103" s="173">
        <f t="shared" si="42"/>
        <v>0</v>
      </c>
      <c r="G103" s="131">
        <v>0</v>
      </c>
      <c r="H103" s="250">
        <v>0</v>
      </c>
      <c r="I103" s="250"/>
      <c r="J103" s="250"/>
      <c r="K103" s="250"/>
      <c r="L103" s="250"/>
      <c r="M103" s="131">
        <f>202841-202841</f>
        <v>0</v>
      </c>
      <c r="N103" s="131">
        <v>0</v>
      </c>
      <c r="O103" s="131">
        <v>0</v>
      </c>
      <c r="P103" s="253" t="s">
        <v>3</v>
      </c>
      <c r="Q103" s="116"/>
      <c r="R103" s="116"/>
      <c r="S103" s="116"/>
    </row>
    <row r="104" spans="1:21" s="43" customFormat="1" ht="38">
      <c r="A104" s="305"/>
      <c r="B104" s="241"/>
      <c r="C104" s="239"/>
      <c r="D104" s="100" t="s">
        <v>1</v>
      </c>
      <c r="E104" s="131">
        <v>93</v>
      </c>
      <c r="F104" s="173">
        <f t="shared" si="42"/>
        <v>0</v>
      </c>
      <c r="G104" s="131">
        <v>0</v>
      </c>
      <c r="H104" s="250">
        <v>0</v>
      </c>
      <c r="I104" s="250"/>
      <c r="J104" s="250"/>
      <c r="K104" s="250"/>
      <c r="L104" s="250"/>
      <c r="M104" s="131">
        <v>0</v>
      </c>
      <c r="N104" s="131">
        <v>0</v>
      </c>
      <c r="O104" s="131">
        <v>0</v>
      </c>
      <c r="P104" s="253"/>
      <c r="Q104" s="116"/>
      <c r="R104" s="116"/>
      <c r="S104" s="116"/>
    </row>
    <row r="105" spans="1:21" s="43" customFormat="1" ht="57">
      <c r="A105" s="305"/>
      <c r="B105" s="241"/>
      <c r="C105" s="239"/>
      <c r="D105" s="100" t="s">
        <v>48</v>
      </c>
      <c r="E105" s="131"/>
      <c r="F105" s="173">
        <f t="shared" si="42"/>
        <v>0</v>
      </c>
      <c r="G105" s="131">
        <v>0</v>
      </c>
      <c r="H105" s="250">
        <v>0</v>
      </c>
      <c r="I105" s="250"/>
      <c r="J105" s="250"/>
      <c r="K105" s="250"/>
      <c r="L105" s="250"/>
      <c r="M105" s="131">
        <v>0</v>
      </c>
      <c r="N105" s="131">
        <v>0</v>
      </c>
      <c r="O105" s="131">
        <v>0</v>
      </c>
      <c r="P105" s="253"/>
      <c r="Q105" s="116"/>
      <c r="R105" s="116"/>
      <c r="S105" s="116"/>
    </row>
    <row r="106" spans="1:21" s="43" customFormat="1" ht="19">
      <c r="A106" s="305"/>
      <c r="B106" s="241"/>
      <c r="C106" s="239"/>
      <c r="D106" s="100" t="s">
        <v>90</v>
      </c>
      <c r="E106" s="131"/>
      <c r="F106" s="173">
        <f t="shared" si="42"/>
        <v>0</v>
      </c>
      <c r="G106" s="131">
        <v>0</v>
      </c>
      <c r="H106" s="250">
        <v>0</v>
      </c>
      <c r="I106" s="250"/>
      <c r="J106" s="250"/>
      <c r="K106" s="250"/>
      <c r="L106" s="250"/>
      <c r="M106" s="131">
        <v>0</v>
      </c>
      <c r="N106" s="131">
        <v>0</v>
      </c>
      <c r="O106" s="131">
        <v>0</v>
      </c>
      <c r="P106" s="253"/>
      <c r="Q106" s="116"/>
      <c r="R106" s="116"/>
      <c r="S106" s="116"/>
    </row>
    <row r="107" spans="1:21" s="43" customFormat="1" ht="24" customHeight="1">
      <c r="A107" s="305"/>
      <c r="B107" s="237" t="s">
        <v>278</v>
      </c>
      <c r="C107" s="234" t="s">
        <v>129</v>
      </c>
      <c r="D107" s="234" t="s">
        <v>129</v>
      </c>
      <c r="E107" s="145"/>
      <c r="F107" s="248" t="s">
        <v>130</v>
      </c>
      <c r="G107" s="146" t="s">
        <v>287</v>
      </c>
      <c r="H107" s="246" t="s">
        <v>288</v>
      </c>
      <c r="I107" s="247" t="s">
        <v>131</v>
      </c>
      <c r="J107" s="247"/>
      <c r="K107" s="247"/>
      <c r="L107" s="247"/>
      <c r="M107" s="146" t="s">
        <v>136</v>
      </c>
      <c r="N107" s="146" t="s">
        <v>137</v>
      </c>
      <c r="O107" s="146" t="s">
        <v>138</v>
      </c>
      <c r="P107" s="257" t="s">
        <v>129</v>
      </c>
      <c r="Q107" s="44"/>
    </row>
    <row r="108" spans="1:21" s="43" customFormat="1" ht="19.5" customHeight="1">
      <c r="A108" s="305"/>
      <c r="B108" s="237"/>
      <c r="C108" s="234"/>
      <c r="D108" s="234"/>
      <c r="E108" s="145"/>
      <c r="F108" s="248"/>
      <c r="G108" s="145"/>
      <c r="H108" s="246"/>
      <c r="I108" s="145" t="s">
        <v>132</v>
      </c>
      <c r="J108" s="145" t="s">
        <v>133</v>
      </c>
      <c r="K108" s="145" t="s">
        <v>134</v>
      </c>
      <c r="L108" s="145" t="s">
        <v>135</v>
      </c>
      <c r="M108" s="145"/>
      <c r="N108" s="145"/>
      <c r="O108" s="145"/>
      <c r="P108" s="257"/>
      <c r="Q108" s="44"/>
    </row>
    <row r="109" spans="1:21" s="43" customFormat="1" ht="26.25" customHeight="1">
      <c r="A109" s="305"/>
      <c r="B109" s="237"/>
      <c r="C109" s="234"/>
      <c r="D109" s="234"/>
      <c r="E109" s="145"/>
      <c r="F109" s="174">
        <v>0</v>
      </c>
      <c r="G109" s="147">
        <v>0</v>
      </c>
      <c r="H109" s="147">
        <v>0</v>
      </c>
      <c r="I109" s="147">
        <v>0</v>
      </c>
      <c r="J109" s="147">
        <v>0</v>
      </c>
      <c r="K109" s="147">
        <v>0</v>
      </c>
      <c r="L109" s="147">
        <v>0</v>
      </c>
      <c r="M109" s="147">
        <v>0</v>
      </c>
      <c r="N109" s="147">
        <v>0</v>
      </c>
      <c r="O109" s="147">
        <v>0</v>
      </c>
      <c r="P109" s="257"/>
      <c r="Q109" s="44"/>
    </row>
    <row r="110" spans="1:21" s="9" customFormat="1" ht="18.75" customHeight="1">
      <c r="A110" s="309" t="s">
        <v>36</v>
      </c>
      <c r="B110" s="238" t="s">
        <v>122</v>
      </c>
      <c r="C110" s="238" t="s">
        <v>89</v>
      </c>
      <c r="D110" s="157" t="s">
        <v>2</v>
      </c>
      <c r="E110" s="158" t="e">
        <f>E112+E113+E111</f>
        <v>#REF!</v>
      </c>
      <c r="F110" s="173">
        <f t="shared" ref="F110:F118" si="50">SUM(G110:O110)</f>
        <v>0</v>
      </c>
      <c r="G110" s="158">
        <f t="shared" ref="G110" si="51">G111+G112+G113+G114</f>
        <v>0</v>
      </c>
      <c r="H110" s="252">
        <f>H111+H112+H113+H114</f>
        <v>0</v>
      </c>
      <c r="I110" s="252"/>
      <c r="J110" s="252"/>
      <c r="K110" s="252"/>
      <c r="L110" s="252"/>
      <c r="M110" s="158">
        <f t="shared" ref="M110:O110" si="52">M111+M112+M113+M114</f>
        <v>0</v>
      </c>
      <c r="N110" s="158">
        <f t="shared" si="52"/>
        <v>0</v>
      </c>
      <c r="O110" s="158">
        <f t="shared" si="52"/>
        <v>0</v>
      </c>
      <c r="P110" s="262"/>
      <c r="Q110" s="117"/>
      <c r="R110" s="117"/>
      <c r="S110" s="117"/>
      <c r="T110" s="50"/>
      <c r="U110" s="50"/>
    </row>
    <row r="111" spans="1:21" s="9" customFormat="1" ht="38">
      <c r="A111" s="309"/>
      <c r="B111" s="238"/>
      <c r="C111" s="238"/>
      <c r="D111" s="157" t="s">
        <v>41</v>
      </c>
      <c r="E111" s="159">
        <f>E215</f>
        <v>0</v>
      </c>
      <c r="F111" s="173">
        <f t="shared" si="50"/>
        <v>0</v>
      </c>
      <c r="G111" s="159">
        <f t="shared" ref="G111" si="53">G115</f>
        <v>0</v>
      </c>
      <c r="H111" s="251">
        <f>H115</f>
        <v>0</v>
      </c>
      <c r="I111" s="251"/>
      <c r="J111" s="251"/>
      <c r="K111" s="251"/>
      <c r="L111" s="251"/>
      <c r="M111" s="159">
        <f t="shared" ref="M111:O111" si="54">M115</f>
        <v>0</v>
      </c>
      <c r="N111" s="159">
        <f t="shared" si="54"/>
        <v>0</v>
      </c>
      <c r="O111" s="159">
        <f t="shared" si="54"/>
        <v>0</v>
      </c>
      <c r="P111" s="262"/>
      <c r="Q111" s="117"/>
      <c r="R111" s="117"/>
      <c r="S111" s="117"/>
      <c r="T111" s="50"/>
      <c r="U111" s="50"/>
    </row>
    <row r="112" spans="1:21" s="9" customFormat="1" ht="39.75" customHeight="1">
      <c r="A112" s="309"/>
      <c r="B112" s="238"/>
      <c r="C112" s="238"/>
      <c r="D112" s="157" t="s">
        <v>1</v>
      </c>
      <c r="E112" s="159" t="e">
        <f>#REF!+E115+E116+E197+#REF!+#REF!+E216+E221</f>
        <v>#REF!</v>
      </c>
      <c r="F112" s="173">
        <f t="shared" si="50"/>
        <v>0</v>
      </c>
      <c r="G112" s="159">
        <f t="shared" ref="G112" si="55">G116</f>
        <v>0</v>
      </c>
      <c r="H112" s="251">
        <f>H116</f>
        <v>0</v>
      </c>
      <c r="I112" s="251"/>
      <c r="J112" s="251"/>
      <c r="K112" s="251"/>
      <c r="L112" s="251"/>
      <c r="M112" s="159">
        <f t="shared" ref="M112:O112" si="56">M116</f>
        <v>0</v>
      </c>
      <c r="N112" s="159">
        <f t="shared" si="56"/>
        <v>0</v>
      </c>
      <c r="O112" s="159">
        <f t="shared" si="56"/>
        <v>0</v>
      </c>
      <c r="P112" s="262"/>
      <c r="Q112" s="117"/>
      <c r="R112" s="117"/>
      <c r="S112" s="117"/>
      <c r="T112" s="50"/>
      <c r="U112" s="50"/>
    </row>
    <row r="113" spans="1:21" s="9" customFormat="1" ht="58.5" customHeight="1">
      <c r="A113" s="309"/>
      <c r="B113" s="238"/>
      <c r="C113" s="238"/>
      <c r="D113" s="157" t="s">
        <v>49</v>
      </c>
      <c r="E113" s="159" t="e">
        <f>#REF!+E201+#REF!+#REF!+#REF!+E217+E223</f>
        <v>#REF!</v>
      </c>
      <c r="F113" s="173">
        <f t="shared" si="50"/>
        <v>0</v>
      </c>
      <c r="G113" s="159">
        <f t="shared" ref="G113" si="57">G117</f>
        <v>0</v>
      </c>
      <c r="H113" s="251">
        <f>H117</f>
        <v>0</v>
      </c>
      <c r="I113" s="251"/>
      <c r="J113" s="251"/>
      <c r="K113" s="251"/>
      <c r="L113" s="251"/>
      <c r="M113" s="159">
        <f t="shared" ref="M113:O113" si="58">M117</f>
        <v>0</v>
      </c>
      <c r="N113" s="159">
        <f t="shared" si="58"/>
        <v>0</v>
      </c>
      <c r="O113" s="159">
        <f t="shared" si="58"/>
        <v>0</v>
      </c>
      <c r="P113" s="262"/>
      <c r="Q113" s="117"/>
      <c r="R113" s="117"/>
      <c r="S113" s="117"/>
      <c r="T113" s="50"/>
      <c r="U113" s="50"/>
    </row>
    <row r="114" spans="1:21" s="9" customFormat="1" ht="19">
      <c r="A114" s="309"/>
      <c r="B114" s="238"/>
      <c r="C114" s="238"/>
      <c r="D114" s="157" t="s">
        <v>90</v>
      </c>
      <c r="E114" s="159"/>
      <c r="F114" s="173">
        <f t="shared" si="50"/>
        <v>0</v>
      </c>
      <c r="G114" s="159">
        <f t="shared" ref="G114" si="59">G118</f>
        <v>0</v>
      </c>
      <c r="H114" s="251">
        <f>H118</f>
        <v>0</v>
      </c>
      <c r="I114" s="251"/>
      <c r="J114" s="251"/>
      <c r="K114" s="251"/>
      <c r="L114" s="251"/>
      <c r="M114" s="159">
        <f t="shared" ref="M114:O114" si="60">M118</f>
        <v>0</v>
      </c>
      <c r="N114" s="159">
        <f t="shared" si="60"/>
        <v>0</v>
      </c>
      <c r="O114" s="159">
        <f t="shared" si="60"/>
        <v>0</v>
      </c>
      <c r="P114" s="262"/>
      <c r="Q114" s="117"/>
      <c r="R114" s="117"/>
      <c r="S114" s="117"/>
      <c r="T114" s="50"/>
      <c r="U114" s="50"/>
    </row>
    <row r="115" spans="1:21" s="43" customFormat="1" ht="37.5" customHeight="1">
      <c r="A115" s="318" t="s">
        <v>58</v>
      </c>
      <c r="B115" s="241" t="s">
        <v>123</v>
      </c>
      <c r="C115" s="239" t="s">
        <v>89</v>
      </c>
      <c r="D115" s="100" t="s">
        <v>41</v>
      </c>
      <c r="E115" s="131">
        <v>200475</v>
      </c>
      <c r="F115" s="173">
        <f t="shared" si="50"/>
        <v>0</v>
      </c>
      <c r="G115" s="131">
        <v>0</v>
      </c>
      <c r="H115" s="250">
        <v>0</v>
      </c>
      <c r="I115" s="250"/>
      <c r="J115" s="250"/>
      <c r="K115" s="250"/>
      <c r="L115" s="250"/>
      <c r="M115" s="131">
        <f>202841-202841</f>
        <v>0</v>
      </c>
      <c r="N115" s="131">
        <v>0</v>
      </c>
      <c r="O115" s="131">
        <v>0</v>
      </c>
      <c r="P115" s="253" t="s">
        <v>3</v>
      </c>
      <c r="Q115" s="116"/>
      <c r="R115" s="116"/>
      <c r="S115" s="116"/>
    </row>
    <row r="116" spans="1:21" s="43" customFormat="1" ht="38">
      <c r="A116" s="319"/>
      <c r="B116" s="241"/>
      <c r="C116" s="239"/>
      <c r="D116" s="100" t="s">
        <v>1</v>
      </c>
      <c r="E116" s="131">
        <v>93</v>
      </c>
      <c r="F116" s="173">
        <f t="shared" si="50"/>
        <v>0</v>
      </c>
      <c r="G116" s="131">
        <v>0</v>
      </c>
      <c r="H116" s="250">
        <v>0</v>
      </c>
      <c r="I116" s="250"/>
      <c r="J116" s="250"/>
      <c r="K116" s="250"/>
      <c r="L116" s="250"/>
      <c r="M116" s="131">
        <v>0</v>
      </c>
      <c r="N116" s="131">
        <v>0</v>
      </c>
      <c r="O116" s="131">
        <v>0</v>
      </c>
      <c r="P116" s="253"/>
      <c r="Q116" s="116"/>
      <c r="R116" s="116"/>
      <c r="S116" s="116"/>
    </row>
    <row r="117" spans="1:21" s="43" customFormat="1" ht="52.5" customHeight="1">
      <c r="A117" s="319"/>
      <c r="B117" s="241"/>
      <c r="C117" s="239"/>
      <c r="D117" s="100" t="s">
        <v>48</v>
      </c>
      <c r="E117" s="131"/>
      <c r="F117" s="173">
        <f t="shared" si="50"/>
        <v>0</v>
      </c>
      <c r="G117" s="131">
        <v>0</v>
      </c>
      <c r="H117" s="250">
        <v>0</v>
      </c>
      <c r="I117" s="250"/>
      <c r="J117" s="250"/>
      <c r="K117" s="250"/>
      <c r="L117" s="250"/>
      <c r="M117" s="131">
        <v>0</v>
      </c>
      <c r="N117" s="131">
        <v>0</v>
      </c>
      <c r="O117" s="131">
        <v>0</v>
      </c>
      <c r="P117" s="253"/>
      <c r="Q117" s="116"/>
      <c r="R117" s="116"/>
      <c r="S117" s="116"/>
    </row>
    <row r="118" spans="1:21" s="43" customFormat="1" ht="36" customHeight="1">
      <c r="A118" s="320"/>
      <c r="B118" s="241"/>
      <c r="C118" s="239"/>
      <c r="D118" s="100" t="s">
        <v>90</v>
      </c>
      <c r="E118" s="131"/>
      <c r="F118" s="173">
        <f t="shared" si="50"/>
        <v>0</v>
      </c>
      <c r="G118" s="131">
        <v>0</v>
      </c>
      <c r="H118" s="250">
        <v>0</v>
      </c>
      <c r="I118" s="250"/>
      <c r="J118" s="250"/>
      <c r="K118" s="250"/>
      <c r="L118" s="250"/>
      <c r="M118" s="131">
        <v>0</v>
      </c>
      <c r="N118" s="131">
        <v>0</v>
      </c>
      <c r="O118" s="131">
        <v>0</v>
      </c>
      <c r="P118" s="253"/>
      <c r="Q118" s="116"/>
      <c r="R118" s="116"/>
      <c r="S118" s="116"/>
    </row>
    <row r="119" spans="1:21" s="43" customFormat="1" ht="24" customHeight="1">
      <c r="A119" s="318"/>
      <c r="B119" s="237" t="s">
        <v>220</v>
      </c>
      <c r="C119" s="234" t="s">
        <v>129</v>
      </c>
      <c r="D119" s="234" t="s">
        <v>129</v>
      </c>
      <c r="E119" s="145"/>
      <c r="F119" s="248" t="s">
        <v>130</v>
      </c>
      <c r="G119" s="146" t="s">
        <v>287</v>
      </c>
      <c r="H119" s="246" t="s">
        <v>288</v>
      </c>
      <c r="I119" s="247" t="s">
        <v>131</v>
      </c>
      <c r="J119" s="247"/>
      <c r="K119" s="247"/>
      <c r="L119" s="247"/>
      <c r="M119" s="146" t="s">
        <v>136</v>
      </c>
      <c r="N119" s="146" t="s">
        <v>137</v>
      </c>
      <c r="O119" s="146" t="s">
        <v>138</v>
      </c>
      <c r="P119" s="257" t="s">
        <v>129</v>
      </c>
      <c r="Q119" s="44"/>
    </row>
    <row r="120" spans="1:21" s="43" customFormat="1" ht="21" customHeight="1">
      <c r="A120" s="319"/>
      <c r="B120" s="237"/>
      <c r="C120" s="234"/>
      <c r="D120" s="234"/>
      <c r="E120" s="145"/>
      <c r="F120" s="248"/>
      <c r="G120" s="145"/>
      <c r="H120" s="246"/>
      <c r="I120" s="145" t="s">
        <v>132</v>
      </c>
      <c r="J120" s="145" t="s">
        <v>133</v>
      </c>
      <c r="K120" s="145" t="s">
        <v>134</v>
      </c>
      <c r="L120" s="145" t="s">
        <v>135</v>
      </c>
      <c r="M120" s="145"/>
      <c r="N120" s="145"/>
      <c r="O120" s="145"/>
      <c r="P120" s="257"/>
      <c r="Q120" s="44"/>
    </row>
    <row r="121" spans="1:21" s="43" customFormat="1" ht="24" customHeight="1">
      <c r="A121" s="320"/>
      <c r="B121" s="237"/>
      <c r="C121" s="234"/>
      <c r="D121" s="234"/>
      <c r="E121" s="145"/>
      <c r="F121" s="174">
        <v>0</v>
      </c>
      <c r="G121" s="147">
        <v>0</v>
      </c>
      <c r="H121" s="147">
        <v>0</v>
      </c>
      <c r="I121" s="147">
        <v>0</v>
      </c>
      <c r="J121" s="147">
        <v>0</v>
      </c>
      <c r="K121" s="147">
        <v>0</v>
      </c>
      <c r="L121" s="147">
        <v>0</v>
      </c>
      <c r="M121" s="147">
        <v>0</v>
      </c>
      <c r="N121" s="147">
        <v>0</v>
      </c>
      <c r="O121" s="147">
        <v>0</v>
      </c>
      <c r="P121" s="257"/>
      <c r="Q121" s="44"/>
    </row>
    <row r="122" spans="1:21" s="9" customFormat="1" ht="18.75" customHeight="1">
      <c r="A122" s="309" t="s">
        <v>11</v>
      </c>
      <c r="B122" s="238" t="s">
        <v>276</v>
      </c>
      <c r="C122" s="238" t="s">
        <v>89</v>
      </c>
      <c r="D122" s="157" t="s">
        <v>2</v>
      </c>
      <c r="E122" s="158" t="e">
        <f>E124+E125+E123</f>
        <v>#REF!</v>
      </c>
      <c r="F122" s="173">
        <f t="shared" ref="F122:F130" si="61">SUM(G122:O122)</f>
        <v>21438.13667</v>
      </c>
      <c r="G122" s="158">
        <f t="shared" ref="G122" si="62">G123+G124+G125+G126</f>
        <v>0</v>
      </c>
      <c r="H122" s="252">
        <f>H123+H124+H125+H126</f>
        <v>21438.13667</v>
      </c>
      <c r="I122" s="252"/>
      <c r="J122" s="252"/>
      <c r="K122" s="252"/>
      <c r="L122" s="252"/>
      <c r="M122" s="158">
        <f t="shared" ref="M122:O122" si="63">M123+M124+M125+M126</f>
        <v>0</v>
      </c>
      <c r="N122" s="158">
        <f t="shared" si="63"/>
        <v>0</v>
      </c>
      <c r="O122" s="158">
        <f t="shared" si="63"/>
        <v>0</v>
      </c>
      <c r="P122" s="262"/>
      <c r="Q122" s="117"/>
      <c r="R122" s="117"/>
      <c r="S122" s="117"/>
      <c r="T122" s="50"/>
      <c r="U122" s="50"/>
    </row>
    <row r="123" spans="1:21" s="9" customFormat="1" ht="38">
      <c r="A123" s="309"/>
      <c r="B123" s="238"/>
      <c r="C123" s="238"/>
      <c r="D123" s="157" t="s">
        <v>41</v>
      </c>
      <c r="E123" s="159">
        <f>E206</f>
        <v>0</v>
      </c>
      <c r="F123" s="173">
        <f t="shared" si="61"/>
        <v>15880.1</v>
      </c>
      <c r="G123" s="159">
        <f t="shared" ref="G123" si="64">G127</f>
        <v>0</v>
      </c>
      <c r="H123" s="251">
        <f>H127</f>
        <v>15880.1</v>
      </c>
      <c r="I123" s="251"/>
      <c r="J123" s="251"/>
      <c r="K123" s="251"/>
      <c r="L123" s="251"/>
      <c r="M123" s="159">
        <f t="shared" ref="M123:O123" si="65">M127</f>
        <v>0</v>
      </c>
      <c r="N123" s="159">
        <f t="shared" si="65"/>
        <v>0</v>
      </c>
      <c r="O123" s="159">
        <f t="shared" si="65"/>
        <v>0</v>
      </c>
      <c r="P123" s="262"/>
      <c r="Q123" s="117"/>
      <c r="R123" s="117"/>
      <c r="S123" s="117"/>
      <c r="T123" s="50"/>
      <c r="U123" s="50"/>
    </row>
    <row r="124" spans="1:21" s="9" customFormat="1" ht="39.75" customHeight="1">
      <c r="A124" s="309"/>
      <c r="B124" s="238"/>
      <c r="C124" s="238"/>
      <c r="D124" s="157" t="s">
        <v>1</v>
      </c>
      <c r="E124" s="159" t="e">
        <f>#REF!+E127+E128+E188+#REF!+#REF!+E207+E212</f>
        <v>#REF!</v>
      </c>
      <c r="F124" s="173">
        <f t="shared" si="61"/>
        <v>5293.3666699999994</v>
      </c>
      <c r="G124" s="159">
        <f t="shared" ref="G124" si="66">G128</f>
        <v>0</v>
      </c>
      <c r="H124" s="251">
        <f>H128</f>
        <v>5293.3666699999994</v>
      </c>
      <c r="I124" s="251"/>
      <c r="J124" s="251"/>
      <c r="K124" s="251"/>
      <c r="L124" s="251"/>
      <c r="M124" s="159">
        <f t="shared" ref="M124:O124" si="67">M128</f>
        <v>0</v>
      </c>
      <c r="N124" s="159">
        <f t="shared" si="67"/>
        <v>0</v>
      </c>
      <c r="O124" s="159">
        <f t="shared" si="67"/>
        <v>0</v>
      </c>
      <c r="P124" s="262"/>
      <c r="Q124" s="117"/>
      <c r="R124" s="117"/>
      <c r="S124" s="117"/>
      <c r="T124" s="50"/>
      <c r="U124" s="50"/>
    </row>
    <row r="125" spans="1:21" s="9" customFormat="1" ht="58.5" customHeight="1">
      <c r="A125" s="309"/>
      <c r="B125" s="238"/>
      <c r="C125" s="238"/>
      <c r="D125" s="157" t="s">
        <v>49</v>
      </c>
      <c r="E125" s="159" t="e">
        <f>#REF!+E192+#REF!+#REF!+#REF!+E208+E214</f>
        <v>#REF!</v>
      </c>
      <c r="F125" s="173">
        <f t="shared" si="61"/>
        <v>264.67</v>
      </c>
      <c r="G125" s="159">
        <f t="shared" ref="G125" si="68">G129</f>
        <v>0</v>
      </c>
      <c r="H125" s="251">
        <f>H129</f>
        <v>264.67</v>
      </c>
      <c r="I125" s="251"/>
      <c r="J125" s="251"/>
      <c r="K125" s="251"/>
      <c r="L125" s="251"/>
      <c r="M125" s="159">
        <f t="shared" ref="M125:O125" si="69">M129</f>
        <v>0</v>
      </c>
      <c r="N125" s="159">
        <f t="shared" si="69"/>
        <v>0</v>
      </c>
      <c r="O125" s="159">
        <f t="shared" si="69"/>
        <v>0</v>
      </c>
      <c r="P125" s="262"/>
      <c r="Q125" s="117"/>
      <c r="R125" s="117"/>
      <c r="S125" s="117"/>
      <c r="T125" s="50"/>
      <c r="U125" s="50"/>
    </row>
    <row r="126" spans="1:21" s="9" customFormat="1" ht="19">
      <c r="A126" s="309"/>
      <c r="B126" s="238"/>
      <c r="C126" s="238"/>
      <c r="D126" s="157" t="s">
        <v>90</v>
      </c>
      <c r="E126" s="159"/>
      <c r="F126" s="173">
        <f t="shared" si="61"/>
        <v>0</v>
      </c>
      <c r="G126" s="159">
        <f t="shared" ref="G126" si="70">G130</f>
        <v>0</v>
      </c>
      <c r="H126" s="251">
        <f>H130</f>
        <v>0</v>
      </c>
      <c r="I126" s="251"/>
      <c r="J126" s="251"/>
      <c r="K126" s="251"/>
      <c r="L126" s="251"/>
      <c r="M126" s="159">
        <f t="shared" ref="M126:O126" si="71">M130</f>
        <v>0</v>
      </c>
      <c r="N126" s="159">
        <f t="shared" si="71"/>
        <v>0</v>
      </c>
      <c r="O126" s="159">
        <f t="shared" si="71"/>
        <v>0</v>
      </c>
      <c r="P126" s="262"/>
      <c r="Q126" s="117"/>
      <c r="R126" s="117"/>
      <c r="S126" s="117"/>
      <c r="T126" s="50"/>
      <c r="U126" s="50"/>
    </row>
    <row r="127" spans="1:21" s="43" customFormat="1" ht="38">
      <c r="A127" s="305" t="s">
        <v>60</v>
      </c>
      <c r="B127" s="241" t="s">
        <v>121</v>
      </c>
      <c r="C127" s="239" t="s">
        <v>89</v>
      </c>
      <c r="D127" s="100" t="s">
        <v>41</v>
      </c>
      <c r="E127" s="131">
        <v>200475</v>
      </c>
      <c r="F127" s="173">
        <f t="shared" si="61"/>
        <v>15880.1</v>
      </c>
      <c r="G127" s="131">
        <v>0</v>
      </c>
      <c r="H127" s="250">
        <v>15880.1</v>
      </c>
      <c r="I127" s="250"/>
      <c r="J127" s="250"/>
      <c r="K127" s="250"/>
      <c r="L127" s="250"/>
      <c r="M127" s="131">
        <f>202841-202841</f>
        <v>0</v>
      </c>
      <c r="N127" s="131">
        <v>0</v>
      </c>
      <c r="O127" s="131">
        <v>0</v>
      </c>
      <c r="P127" s="253" t="s">
        <v>3</v>
      </c>
      <c r="Q127" s="116"/>
      <c r="R127" s="116"/>
      <c r="S127" s="116"/>
    </row>
    <row r="128" spans="1:21" s="43" customFormat="1" ht="38">
      <c r="A128" s="305"/>
      <c r="B128" s="241"/>
      <c r="C128" s="239"/>
      <c r="D128" s="100" t="s">
        <v>1</v>
      </c>
      <c r="E128" s="131">
        <v>93</v>
      </c>
      <c r="F128" s="173">
        <f t="shared" si="61"/>
        <v>5293.3666699999994</v>
      </c>
      <c r="G128" s="131">
        <v>0</v>
      </c>
      <c r="H128" s="250">
        <f>5293.4-0.03333</f>
        <v>5293.3666699999994</v>
      </c>
      <c r="I128" s="250"/>
      <c r="J128" s="250"/>
      <c r="K128" s="250"/>
      <c r="L128" s="250"/>
      <c r="M128" s="131">
        <v>0</v>
      </c>
      <c r="N128" s="131">
        <v>0</v>
      </c>
      <c r="O128" s="131">
        <v>0</v>
      </c>
      <c r="P128" s="253"/>
      <c r="Q128" s="116"/>
      <c r="R128" s="116"/>
      <c r="S128" s="116"/>
    </row>
    <row r="129" spans="1:21" s="43" customFormat="1" ht="57">
      <c r="A129" s="305"/>
      <c r="B129" s="241"/>
      <c r="C129" s="239"/>
      <c r="D129" s="100" t="s">
        <v>48</v>
      </c>
      <c r="E129" s="131"/>
      <c r="F129" s="173">
        <f t="shared" si="61"/>
        <v>264.67</v>
      </c>
      <c r="G129" s="131">
        <v>0</v>
      </c>
      <c r="H129" s="250">
        <v>264.67</v>
      </c>
      <c r="I129" s="250"/>
      <c r="J129" s="250"/>
      <c r="K129" s="250"/>
      <c r="L129" s="250"/>
      <c r="M129" s="131">
        <v>0</v>
      </c>
      <c r="N129" s="131">
        <v>0</v>
      </c>
      <c r="O129" s="131">
        <v>0</v>
      </c>
      <c r="P129" s="253"/>
      <c r="Q129" s="116"/>
      <c r="R129" s="116"/>
      <c r="S129" s="116"/>
    </row>
    <row r="130" spans="1:21" s="43" customFormat="1" ht="19">
      <c r="A130" s="305"/>
      <c r="B130" s="241"/>
      <c r="C130" s="239"/>
      <c r="D130" s="100" t="s">
        <v>90</v>
      </c>
      <c r="E130" s="131"/>
      <c r="F130" s="173">
        <f t="shared" si="61"/>
        <v>0</v>
      </c>
      <c r="G130" s="131">
        <v>0</v>
      </c>
      <c r="H130" s="250">
        <v>0</v>
      </c>
      <c r="I130" s="250"/>
      <c r="J130" s="250"/>
      <c r="K130" s="250"/>
      <c r="L130" s="250"/>
      <c r="M130" s="131">
        <v>0</v>
      </c>
      <c r="N130" s="131">
        <v>0</v>
      </c>
      <c r="O130" s="131">
        <v>0</v>
      </c>
      <c r="P130" s="253"/>
      <c r="Q130" s="116"/>
      <c r="R130" s="116"/>
      <c r="S130" s="116"/>
    </row>
    <row r="131" spans="1:21" s="43" customFormat="1" ht="25.5" customHeight="1">
      <c r="A131" s="305"/>
      <c r="B131" s="237" t="s">
        <v>216</v>
      </c>
      <c r="C131" s="234" t="s">
        <v>129</v>
      </c>
      <c r="D131" s="234" t="s">
        <v>129</v>
      </c>
      <c r="E131" s="145"/>
      <c r="F131" s="248" t="s">
        <v>130</v>
      </c>
      <c r="G131" s="146" t="s">
        <v>287</v>
      </c>
      <c r="H131" s="246" t="s">
        <v>288</v>
      </c>
      <c r="I131" s="247" t="s">
        <v>131</v>
      </c>
      <c r="J131" s="247"/>
      <c r="K131" s="247"/>
      <c r="L131" s="247"/>
      <c r="M131" s="146" t="s">
        <v>136</v>
      </c>
      <c r="N131" s="146" t="s">
        <v>137</v>
      </c>
      <c r="O131" s="146" t="s">
        <v>138</v>
      </c>
      <c r="P131" s="257" t="s">
        <v>129</v>
      </c>
      <c r="Q131" s="44"/>
    </row>
    <row r="132" spans="1:21" s="43" customFormat="1" ht="18.75" customHeight="1">
      <c r="A132" s="305"/>
      <c r="B132" s="237"/>
      <c r="C132" s="234"/>
      <c r="D132" s="234"/>
      <c r="E132" s="145"/>
      <c r="F132" s="248"/>
      <c r="G132" s="145"/>
      <c r="H132" s="246"/>
      <c r="I132" s="145" t="s">
        <v>132</v>
      </c>
      <c r="J132" s="145" t="s">
        <v>133</v>
      </c>
      <c r="K132" s="145" t="s">
        <v>134</v>
      </c>
      <c r="L132" s="145" t="s">
        <v>135</v>
      </c>
      <c r="M132" s="145"/>
      <c r="N132" s="145"/>
      <c r="O132" s="145"/>
      <c r="P132" s="257"/>
      <c r="Q132" s="44"/>
    </row>
    <row r="133" spans="1:21" s="43" customFormat="1" ht="23.25" customHeight="1">
      <c r="A133" s="305"/>
      <c r="B133" s="237"/>
      <c r="C133" s="234"/>
      <c r="D133" s="234"/>
      <c r="E133" s="145"/>
      <c r="F133" s="174">
        <f>H133+G133+M133+N133+O133</f>
        <v>1</v>
      </c>
      <c r="G133" s="147">
        <v>0</v>
      </c>
      <c r="H133" s="147">
        <v>1</v>
      </c>
      <c r="I133" s="147">
        <v>0</v>
      </c>
      <c r="J133" s="147">
        <v>0</v>
      </c>
      <c r="K133" s="147">
        <v>0</v>
      </c>
      <c r="L133" s="147">
        <v>1</v>
      </c>
      <c r="M133" s="147">
        <v>0</v>
      </c>
      <c r="N133" s="147">
        <v>0</v>
      </c>
      <c r="O133" s="147">
        <v>0</v>
      </c>
      <c r="P133" s="257"/>
      <c r="Q133" s="44"/>
    </row>
    <row r="134" spans="1:21" s="123" customFormat="1" ht="18.75" customHeight="1">
      <c r="A134" s="309" t="s">
        <v>37</v>
      </c>
      <c r="B134" s="238" t="s">
        <v>270</v>
      </c>
      <c r="C134" s="238" t="s">
        <v>89</v>
      </c>
      <c r="D134" s="157" t="s">
        <v>2</v>
      </c>
      <c r="E134" s="158" t="e">
        <f>E136+E137+E135</f>
        <v>#REF!</v>
      </c>
      <c r="F134" s="173">
        <f t="shared" ref="F134:F142" si="72">SUM(G134:O134)</f>
        <v>0</v>
      </c>
      <c r="G134" s="158">
        <f t="shared" ref="G134" si="73">G135+G136+G137+G138</f>
        <v>0</v>
      </c>
      <c r="H134" s="252">
        <f>H135+H136+H137+H138</f>
        <v>0</v>
      </c>
      <c r="I134" s="252"/>
      <c r="J134" s="252"/>
      <c r="K134" s="252"/>
      <c r="L134" s="252"/>
      <c r="M134" s="158">
        <f t="shared" ref="M134:O134" si="74">M135+M136+M137+M138</f>
        <v>0</v>
      </c>
      <c r="N134" s="158">
        <f t="shared" si="74"/>
        <v>0</v>
      </c>
      <c r="O134" s="158">
        <f t="shared" si="74"/>
        <v>0</v>
      </c>
      <c r="P134" s="262"/>
      <c r="Q134" s="121"/>
      <c r="R134" s="121"/>
      <c r="S134" s="121"/>
      <c r="T134" s="122"/>
      <c r="U134" s="122"/>
    </row>
    <row r="135" spans="1:21" s="123" customFormat="1" ht="38">
      <c r="A135" s="309"/>
      <c r="B135" s="238"/>
      <c r="C135" s="238"/>
      <c r="D135" s="157" t="s">
        <v>41</v>
      </c>
      <c r="E135" s="159">
        <f>E188</f>
        <v>0</v>
      </c>
      <c r="F135" s="173">
        <f t="shared" si="72"/>
        <v>0</v>
      </c>
      <c r="G135" s="159">
        <f t="shared" ref="G135" si="75">G139</f>
        <v>0</v>
      </c>
      <c r="H135" s="251">
        <f>H139</f>
        <v>0</v>
      </c>
      <c r="I135" s="251"/>
      <c r="J135" s="251"/>
      <c r="K135" s="251"/>
      <c r="L135" s="251"/>
      <c r="M135" s="159">
        <f t="shared" ref="M135:O135" si="76">M139</f>
        <v>0</v>
      </c>
      <c r="N135" s="159">
        <f t="shared" si="76"/>
        <v>0</v>
      </c>
      <c r="O135" s="159">
        <f t="shared" si="76"/>
        <v>0</v>
      </c>
      <c r="P135" s="262"/>
      <c r="Q135" s="121"/>
      <c r="R135" s="121"/>
      <c r="S135" s="121"/>
      <c r="T135" s="122"/>
      <c r="U135" s="122"/>
    </row>
    <row r="136" spans="1:21" s="123" customFormat="1" ht="39.75" customHeight="1">
      <c r="A136" s="309"/>
      <c r="B136" s="238"/>
      <c r="C136" s="238"/>
      <c r="D136" s="157" t="s">
        <v>1</v>
      </c>
      <c r="E136" s="159" t="e">
        <f>#REF!+E139+E140+E173+#REF!+#REF!+E189+E194</f>
        <v>#REF!</v>
      </c>
      <c r="F136" s="173">
        <f t="shared" si="72"/>
        <v>0</v>
      </c>
      <c r="G136" s="159">
        <f t="shared" ref="G136" si="77">G140</f>
        <v>0</v>
      </c>
      <c r="H136" s="251">
        <f>H140</f>
        <v>0</v>
      </c>
      <c r="I136" s="251"/>
      <c r="J136" s="251"/>
      <c r="K136" s="251"/>
      <c r="L136" s="251"/>
      <c r="M136" s="159">
        <f t="shared" ref="M136:O136" si="78">M140</f>
        <v>0</v>
      </c>
      <c r="N136" s="159">
        <f t="shared" si="78"/>
        <v>0</v>
      </c>
      <c r="O136" s="159">
        <f t="shared" si="78"/>
        <v>0</v>
      </c>
      <c r="P136" s="262"/>
      <c r="Q136" s="121"/>
      <c r="R136" s="121"/>
      <c r="S136" s="121"/>
      <c r="T136" s="122"/>
      <c r="U136" s="122"/>
    </row>
    <row r="137" spans="1:21" s="123" customFormat="1" ht="58.5" customHeight="1">
      <c r="A137" s="309"/>
      <c r="B137" s="238"/>
      <c r="C137" s="238"/>
      <c r="D137" s="157" t="s">
        <v>49</v>
      </c>
      <c r="E137" s="159" t="e">
        <f>#REF!+E178+#REF!+#REF!+#REF!+E190+E196</f>
        <v>#REF!</v>
      </c>
      <c r="F137" s="173">
        <f t="shared" si="72"/>
        <v>0</v>
      </c>
      <c r="G137" s="159">
        <f t="shared" ref="G137" si="79">G141</f>
        <v>0</v>
      </c>
      <c r="H137" s="251">
        <f>H141</f>
        <v>0</v>
      </c>
      <c r="I137" s="251"/>
      <c r="J137" s="251"/>
      <c r="K137" s="251"/>
      <c r="L137" s="251"/>
      <c r="M137" s="159">
        <f t="shared" ref="M137:O137" si="80">M141</f>
        <v>0</v>
      </c>
      <c r="N137" s="159">
        <f t="shared" si="80"/>
        <v>0</v>
      </c>
      <c r="O137" s="159">
        <f t="shared" si="80"/>
        <v>0</v>
      </c>
      <c r="P137" s="262"/>
      <c r="Q137" s="121"/>
      <c r="R137" s="121"/>
      <c r="S137" s="121"/>
      <c r="T137" s="122"/>
      <c r="U137" s="122"/>
    </row>
    <row r="138" spans="1:21" s="123" customFormat="1" ht="19">
      <c r="A138" s="309"/>
      <c r="B138" s="238"/>
      <c r="C138" s="238"/>
      <c r="D138" s="157" t="s">
        <v>90</v>
      </c>
      <c r="E138" s="159"/>
      <c r="F138" s="173">
        <f t="shared" si="72"/>
        <v>0</v>
      </c>
      <c r="G138" s="159">
        <f t="shared" ref="G138" si="81">G142</f>
        <v>0</v>
      </c>
      <c r="H138" s="251">
        <f>H142</f>
        <v>0</v>
      </c>
      <c r="I138" s="251"/>
      <c r="J138" s="251"/>
      <c r="K138" s="251"/>
      <c r="L138" s="251"/>
      <c r="M138" s="159">
        <f t="shared" ref="M138:O138" si="82">M142</f>
        <v>0</v>
      </c>
      <c r="N138" s="159">
        <f t="shared" si="82"/>
        <v>0</v>
      </c>
      <c r="O138" s="159">
        <f t="shared" si="82"/>
        <v>0</v>
      </c>
      <c r="P138" s="262"/>
      <c r="Q138" s="121"/>
      <c r="R138" s="121"/>
      <c r="S138" s="121"/>
      <c r="T138" s="122"/>
      <c r="U138" s="122"/>
    </row>
    <row r="139" spans="1:21" s="125" customFormat="1" ht="37.5" customHeight="1">
      <c r="A139" s="318" t="s">
        <v>55</v>
      </c>
      <c r="B139" s="241" t="s">
        <v>119</v>
      </c>
      <c r="C139" s="239" t="s">
        <v>89</v>
      </c>
      <c r="D139" s="100" t="s">
        <v>41</v>
      </c>
      <c r="E139" s="131">
        <v>200475</v>
      </c>
      <c r="F139" s="173">
        <f t="shared" si="72"/>
        <v>0</v>
      </c>
      <c r="G139" s="131">
        <v>0</v>
      </c>
      <c r="H139" s="250">
        <v>0</v>
      </c>
      <c r="I139" s="250"/>
      <c r="J139" s="250"/>
      <c r="K139" s="250"/>
      <c r="L139" s="250"/>
      <c r="M139" s="131">
        <f>202841-202841</f>
        <v>0</v>
      </c>
      <c r="N139" s="131">
        <v>0</v>
      </c>
      <c r="O139" s="131">
        <v>0</v>
      </c>
      <c r="P139" s="253" t="s">
        <v>3</v>
      </c>
      <c r="Q139" s="124"/>
      <c r="R139" s="124"/>
      <c r="S139" s="124"/>
    </row>
    <row r="140" spans="1:21" s="125" customFormat="1" ht="38">
      <c r="A140" s="319"/>
      <c r="B140" s="241"/>
      <c r="C140" s="239"/>
      <c r="D140" s="100" t="s">
        <v>1</v>
      </c>
      <c r="E140" s="131">
        <v>93</v>
      </c>
      <c r="F140" s="173">
        <f t="shared" si="72"/>
        <v>0</v>
      </c>
      <c r="G140" s="131">
        <v>0</v>
      </c>
      <c r="H140" s="250">
        <v>0</v>
      </c>
      <c r="I140" s="250"/>
      <c r="J140" s="250"/>
      <c r="K140" s="250"/>
      <c r="L140" s="250"/>
      <c r="M140" s="131">
        <v>0</v>
      </c>
      <c r="N140" s="131">
        <v>0</v>
      </c>
      <c r="O140" s="131">
        <v>0</v>
      </c>
      <c r="P140" s="253"/>
      <c r="Q140" s="124"/>
      <c r="R140" s="124"/>
      <c r="S140" s="124"/>
    </row>
    <row r="141" spans="1:21" s="125" customFormat="1" ht="57">
      <c r="A141" s="319"/>
      <c r="B141" s="241"/>
      <c r="C141" s="239"/>
      <c r="D141" s="100" t="s">
        <v>48</v>
      </c>
      <c r="E141" s="131"/>
      <c r="F141" s="173">
        <f t="shared" si="72"/>
        <v>0</v>
      </c>
      <c r="G141" s="131">
        <v>0</v>
      </c>
      <c r="H141" s="250">
        <v>0</v>
      </c>
      <c r="I141" s="250"/>
      <c r="J141" s="250"/>
      <c r="K141" s="250"/>
      <c r="L141" s="250"/>
      <c r="M141" s="131">
        <v>0</v>
      </c>
      <c r="N141" s="131">
        <v>0</v>
      </c>
      <c r="O141" s="131">
        <v>0</v>
      </c>
      <c r="P141" s="253"/>
      <c r="Q141" s="124"/>
      <c r="R141" s="124"/>
      <c r="S141" s="124"/>
    </row>
    <row r="142" spans="1:21" s="125" customFormat="1" ht="19">
      <c r="A142" s="319"/>
      <c r="B142" s="241"/>
      <c r="C142" s="239"/>
      <c r="D142" s="100" t="s">
        <v>90</v>
      </c>
      <c r="E142" s="131"/>
      <c r="F142" s="173">
        <f t="shared" si="72"/>
        <v>0</v>
      </c>
      <c r="G142" s="131">
        <v>0</v>
      </c>
      <c r="H142" s="250">
        <v>0</v>
      </c>
      <c r="I142" s="250"/>
      <c r="J142" s="250"/>
      <c r="K142" s="250"/>
      <c r="L142" s="250"/>
      <c r="M142" s="131">
        <v>0</v>
      </c>
      <c r="N142" s="131">
        <v>0</v>
      </c>
      <c r="O142" s="131">
        <v>0</v>
      </c>
      <c r="P142" s="253"/>
      <c r="Q142" s="124"/>
      <c r="R142" s="124"/>
      <c r="S142" s="124"/>
    </row>
    <row r="143" spans="1:21" s="125" customFormat="1" ht="23.25" customHeight="1">
      <c r="A143" s="319"/>
      <c r="B143" s="237" t="s">
        <v>271</v>
      </c>
      <c r="C143" s="234" t="s">
        <v>129</v>
      </c>
      <c r="D143" s="234" t="s">
        <v>129</v>
      </c>
      <c r="E143" s="145"/>
      <c r="F143" s="248" t="s">
        <v>130</v>
      </c>
      <c r="G143" s="146" t="s">
        <v>287</v>
      </c>
      <c r="H143" s="246" t="s">
        <v>288</v>
      </c>
      <c r="I143" s="247" t="s">
        <v>131</v>
      </c>
      <c r="J143" s="247"/>
      <c r="K143" s="247"/>
      <c r="L143" s="247"/>
      <c r="M143" s="146" t="s">
        <v>136</v>
      </c>
      <c r="N143" s="146" t="s">
        <v>137</v>
      </c>
      <c r="O143" s="146" t="s">
        <v>138</v>
      </c>
      <c r="P143" s="257" t="s">
        <v>129</v>
      </c>
      <c r="Q143" s="126"/>
    </row>
    <row r="144" spans="1:21" s="125" customFormat="1" ht="23.25" customHeight="1">
      <c r="A144" s="319"/>
      <c r="B144" s="237"/>
      <c r="C144" s="234"/>
      <c r="D144" s="234"/>
      <c r="E144" s="145"/>
      <c r="F144" s="248"/>
      <c r="G144" s="145"/>
      <c r="H144" s="246"/>
      <c r="I144" s="145" t="s">
        <v>132</v>
      </c>
      <c r="J144" s="145" t="s">
        <v>133</v>
      </c>
      <c r="K144" s="145" t="s">
        <v>134</v>
      </c>
      <c r="L144" s="145" t="s">
        <v>135</v>
      </c>
      <c r="M144" s="145"/>
      <c r="N144" s="145"/>
      <c r="O144" s="145"/>
      <c r="P144" s="257"/>
      <c r="Q144" s="126"/>
    </row>
    <row r="145" spans="1:21" s="125" customFormat="1" ht="20.25" customHeight="1">
      <c r="A145" s="320"/>
      <c r="B145" s="237"/>
      <c r="C145" s="234"/>
      <c r="D145" s="234"/>
      <c r="E145" s="145"/>
      <c r="F145" s="174">
        <v>0</v>
      </c>
      <c r="G145" s="147">
        <v>0</v>
      </c>
      <c r="H145" s="147">
        <v>0</v>
      </c>
      <c r="I145" s="147">
        <v>0</v>
      </c>
      <c r="J145" s="147">
        <v>0</v>
      </c>
      <c r="K145" s="147">
        <v>0</v>
      </c>
      <c r="L145" s="147">
        <v>0</v>
      </c>
      <c r="M145" s="147">
        <v>0</v>
      </c>
      <c r="N145" s="147">
        <v>0</v>
      </c>
      <c r="O145" s="147">
        <v>0</v>
      </c>
      <c r="P145" s="257"/>
      <c r="Q145" s="126"/>
    </row>
    <row r="146" spans="1:21" s="9" customFormat="1" ht="18.75" customHeight="1">
      <c r="A146" s="309" t="s">
        <v>12</v>
      </c>
      <c r="B146" s="238" t="s">
        <v>279</v>
      </c>
      <c r="C146" s="238" t="s">
        <v>89</v>
      </c>
      <c r="D146" s="157" t="s">
        <v>2</v>
      </c>
      <c r="E146" s="158" t="e">
        <f>E148+E149+E147</f>
        <v>#REF!</v>
      </c>
      <c r="F146" s="173">
        <f t="shared" ref="F146:F154" si="83">SUM(G146:O146)</f>
        <v>0</v>
      </c>
      <c r="G146" s="158">
        <f t="shared" ref="G146" si="84">G147+G148+G149+G150</f>
        <v>0</v>
      </c>
      <c r="H146" s="252">
        <f>H147+H148+H149+H150</f>
        <v>0</v>
      </c>
      <c r="I146" s="252"/>
      <c r="J146" s="252"/>
      <c r="K146" s="252"/>
      <c r="L146" s="252"/>
      <c r="M146" s="158">
        <f t="shared" ref="M146:O146" si="85">M147+M148+M149+M150</f>
        <v>0</v>
      </c>
      <c r="N146" s="158">
        <f t="shared" si="85"/>
        <v>0</v>
      </c>
      <c r="O146" s="158">
        <f t="shared" si="85"/>
        <v>0</v>
      </c>
      <c r="P146" s="262"/>
      <c r="Q146" s="117"/>
      <c r="R146" s="117"/>
      <c r="S146" s="117"/>
      <c r="T146" s="50"/>
      <c r="U146" s="50"/>
    </row>
    <row r="147" spans="1:21" s="9" customFormat="1" ht="38">
      <c r="A147" s="309"/>
      <c r="B147" s="238"/>
      <c r="C147" s="238"/>
      <c r="D147" s="157" t="s">
        <v>41</v>
      </c>
      <c r="E147" s="159" t="e">
        <f>E173</f>
        <v>#REF!</v>
      </c>
      <c r="F147" s="173">
        <f t="shared" si="83"/>
        <v>0</v>
      </c>
      <c r="G147" s="159">
        <f t="shared" ref="G147" si="86">G151</f>
        <v>0</v>
      </c>
      <c r="H147" s="251">
        <f>H151</f>
        <v>0</v>
      </c>
      <c r="I147" s="251"/>
      <c r="J147" s="251"/>
      <c r="K147" s="251"/>
      <c r="L147" s="251"/>
      <c r="M147" s="159">
        <f t="shared" ref="M147:O147" si="87">M151</f>
        <v>0</v>
      </c>
      <c r="N147" s="159">
        <f t="shared" si="87"/>
        <v>0</v>
      </c>
      <c r="O147" s="159">
        <f t="shared" si="87"/>
        <v>0</v>
      </c>
      <c r="P147" s="262"/>
      <c r="Q147" s="117"/>
      <c r="R147" s="117"/>
      <c r="S147" s="117"/>
      <c r="T147" s="50"/>
      <c r="U147" s="50"/>
    </row>
    <row r="148" spans="1:21" s="9" customFormat="1" ht="39.75" customHeight="1">
      <c r="A148" s="309"/>
      <c r="B148" s="238"/>
      <c r="C148" s="238"/>
      <c r="D148" s="157" t="s">
        <v>1</v>
      </c>
      <c r="E148" s="159" t="e">
        <f>#REF!+E151+E152+#REF!+#REF!+#REF!+E175+E180</f>
        <v>#REF!</v>
      </c>
      <c r="F148" s="173">
        <f t="shared" si="83"/>
        <v>0</v>
      </c>
      <c r="G148" s="159">
        <f t="shared" ref="G148" si="88">G152</f>
        <v>0</v>
      </c>
      <c r="H148" s="251">
        <f>H152</f>
        <v>0</v>
      </c>
      <c r="I148" s="251"/>
      <c r="J148" s="251"/>
      <c r="K148" s="251"/>
      <c r="L148" s="251"/>
      <c r="M148" s="159">
        <f t="shared" ref="M148:O148" si="89">M152</f>
        <v>0</v>
      </c>
      <c r="N148" s="159">
        <f t="shared" si="89"/>
        <v>0</v>
      </c>
      <c r="O148" s="159">
        <f t="shared" si="89"/>
        <v>0</v>
      </c>
      <c r="P148" s="262"/>
      <c r="Q148" s="117"/>
      <c r="R148" s="117"/>
      <c r="S148" s="117"/>
      <c r="T148" s="50"/>
      <c r="U148" s="50"/>
    </row>
    <row r="149" spans="1:21" s="9" customFormat="1" ht="58.5" customHeight="1">
      <c r="A149" s="309"/>
      <c r="B149" s="238"/>
      <c r="C149" s="238"/>
      <c r="D149" s="157" t="s">
        <v>49</v>
      </c>
      <c r="E149" s="159" t="e">
        <f>#REF!+#REF!+#REF!+#REF!+#REF!+E176+#REF!</f>
        <v>#REF!</v>
      </c>
      <c r="F149" s="173">
        <f t="shared" si="83"/>
        <v>0</v>
      </c>
      <c r="G149" s="159">
        <f t="shared" ref="G149" si="90">G153</f>
        <v>0</v>
      </c>
      <c r="H149" s="251">
        <f>H153</f>
        <v>0</v>
      </c>
      <c r="I149" s="251"/>
      <c r="J149" s="251"/>
      <c r="K149" s="251"/>
      <c r="L149" s="251"/>
      <c r="M149" s="159">
        <f t="shared" ref="M149:O149" si="91">M153</f>
        <v>0</v>
      </c>
      <c r="N149" s="159">
        <f t="shared" si="91"/>
        <v>0</v>
      </c>
      <c r="O149" s="159">
        <f t="shared" si="91"/>
        <v>0</v>
      </c>
      <c r="P149" s="262"/>
      <c r="Q149" s="117"/>
      <c r="R149" s="117"/>
      <c r="S149" s="117"/>
      <c r="T149" s="50"/>
      <c r="U149" s="50"/>
    </row>
    <row r="150" spans="1:21" s="9" customFormat="1" ht="19">
      <c r="A150" s="309"/>
      <c r="B150" s="238"/>
      <c r="C150" s="238"/>
      <c r="D150" s="157" t="s">
        <v>90</v>
      </c>
      <c r="E150" s="159"/>
      <c r="F150" s="173">
        <f t="shared" si="83"/>
        <v>0</v>
      </c>
      <c r="G150" s="159">
        <f t="shared" ref="G150" si="92">G154</f>
        <v>0</v>
      </c>
      <c r="H150" s="251">
        <f>H154</f>
        <v>0</v>
      </c>
      <c r="I150" s="251"/>
      <c r="J150" s="251"/>
      <c r="K150" s="251"/>
      <c r="L150" s="251"/>
      <c r="M150" s="159">
        <f t="shared" ref="M150:O150" si="93">M154</f>
        <v>0</v>
      </c>
      <c r="N150" s="159">
        <f t="shared" si="93"/>
        <v>0</v>
      </c>
      <c r="O150" s="159">
        <f t="shared" si="93"/>
        <v>0</v>
      </c>
      <c r="P150" s="262"/>
      <c r="Q150" s="117"/>
      <c r="R150" s="117"/>
      <c r="S150" s="117"/>
      <c r="T150" s="50"/>
      <c r="U150" s="50"/>
    </row>
    <row r="151" spans="1:21" s="43" customFormat="1" ht="36" customHeight="1">
      <c r="A151" s="305" t="s">
        <v>112</v>
      </c>
      <c r="B151" s="241" t="s">
        <v>163</v>
      </c>
      <c r="C151" s="239" t="s">
        <v>89</v>
      </c>
      <c r="D151" s="100" t="s">
        <v>41</v>
      </c>
      <c r="E151" s="131">
        <v>200475</v>
      </c>
      <c r="F151" s="173">
        <f t="shared" si="83"/>
        <v>0</v>
      </c>
      <c r="G151" s="131">
        <v>0</v>
      </c>
      <c r="H151" s="250">
        <v>0</v>
      </c>
      <c r="I151" s="250"/>
      <c r="J151" s="250"/>
      <c r="K151" s="250"/>
      <c r="L151" s="250"/>
      <c r="M151" s="131">
        <f>202841-202841</f>
        <v>0</v>
      </c>
      <c r="N151" s="131">
        <v>0</v>
      </c>
      <c r="O151" s="131">
        <v>0</v>
      </c>
      <c r="P151" s="253" t="s">
        <v>3</v>
      </c>
      <c r="Q151" s="116"/>
      <c r="R151" s="116"/>
      <c r="S151" s="116"/>
    </row>
    <row r="152" spans="1:21" s="43" customFormat="1" ht="38">
      <c r="A152" s="305"/>
      <c r="B152" s="241"/>
      <c r="C152" s="239"/>
      <c r="D152" s="100" t="s">
        <v>1</v>
      </c>
      <c r="E152" s="131">
        <v>93</v>
      </c>
      <c r="F152" s="173">
        <f t="shared" si="83"/>
        <v>0</v>
      </c>
      <c r="G152" s="131">
        <v>0</v>
      </c>
      <c r="H152" s="250">
        <v>0</v>
      </c>
      <c r="I152" s="250"/>
      <c r="J152" s="250"/>
      <c r="K152" s="250"/>
      <c r="L152" s="250"/>
      <c r="M152" s="131">
        <v>0</v>
      </c>
      <c r="N152" s="131">
        <v>0</v>
      </c>
      <c r="O152" s="131">
        <v>0</v>
      </c>
      <c r="P152" s="253"/>
      <c r="Q152" s="116"/>
      <c r="R152" s="116"/>
      <c r="S152" s="116"/>
    </row>
    <row r="153" spans="1:21" s="43" customFormat="1" ht="57">
      <c r="A153" s="305"/>
      <c r="B153" s="241"/>
      <c r="C153" s="239"/>
      <c r="D153" s="100" t="s">
        <v>48</v>
      </c>
      <c r="E153" s="131"/>
      <c r="F153" s="173">
        <f t="shared" si="83"/>
        <v>0</v>
      </c>
      <c r="G153" s="131">
        <v>0</v>
      </c>
      <c r="H153" s="250">
        <v>0</v>
      </c>
      <c r="I153" s="250"/>
      <c r="J153" s="250"/>
      <c r="K153" s="250"/>
      <c r="L153" s="250"/>
      <c r="M153" s="131">
        <v>0</v>
      </c>
      <c r="N153" s="131">
        <v>0</v>
      </c>
      <c r="O153" s="131">
        <v>0</v>
      </c>
      <c r="P153" s="253"/>
      <c r="Q153" s="116"/>
      <c r="R153" s="116"/>
      <c r="S153" s="116"/>
    </row>
    <row r="154" spans="1:21" s="43" customFormat="1" ht="19">
      <c r="A154" s="305"/>
      <c r="B154" s="241"/>
      <c r="C154" s="239"/>
      <c r="D154" s="100" t="s">
        <v>90</v>
      </c>
      <c r="E154" s="131"/>
      <c r="F154" s="173">
        <f t="shared" si="83"/>
        <v>0</v>
      </c>
      <c r="G154" s="131">
        <v>0</v>
      </c>
      <c r="H154" s="250">
        <v>0</v>
      </c>
      <c r="I154" s="250"/>
      <c r="J154" s="250"/>
      <c r="K154" s="250"/>
      <c r="L154" s="250"/>
      <c r="M154" s="131">
        <v>0</v>
      </c>
      <c r="N154" s="131">
        <v>0</v>
      </c>
      <c r="O154" s="131">
        <v>0</v>
      </c>
      <c r="P154" s="253"/>
      <c r="Q154" s="116"/>
      <c r="R154" s="116"/>
      <c r="S154" s="116"/>
    </row>
    <row r="155" spans="1:21" s="43" customFormat="1" ht="24" customHeight="1">
      <c r="A155" s="305"/>
      <c r="B155" s="237" t="s">
        <v>217</v>
      </c>
      <c r="C155" s="234" t="s">
        <v>129</v>
      </c>
      <c r="D155" s="234" t="s">
        <v>129</v>
      </c>
      <c r="E155" s="145"/>
      <c r="F155" s="248" t="s">
        <v>130</v>
      </c>
      <c r="G155" s="146" t="s">
        <v>287</v>
      </c>
      <c r="H155" s="246" t="s">
        <v>288</v>
      </c>
      <c r="I155" s="247" t="s">
        <v>131</v>
      </c>
      <c r="J155" s="247"/>
      <c r="K155" s="247"/>
      <c r="L155" s="247"/>
      <c r="M155" s="146" t="s">
        <v>136</v>
      </c>
      <c r="N155" s="146" t="s">
        <v>137</v>
      </c>
      <c r="O155" s="146" t="s">
        <v>138</v>
      </c>
      <c r="P155" s="257" t="s">
        <v>129</v>
      </c>
      <c r="Q155" s="44"/>
    </row>
    <row r="156" spans="1:21" s="43" customFormat="1" ht="24" customHeight="1">
      <c r="A156" s="305"/>
      <c r="B156" s="237"/>
      <c r="C156" s="234"/>
      <c r="D156" s="234"/>
      <c r="E156" s="145"/>
      <c r="F156" s="248"/>
      <c r="G156" s="145"/>
      <c r="H156" s="246"/>
      <c r="I156" s="145" t="s">
        <v>132</v>
      </c>
      <c r="J156" s="145" t="s">
        <v>133</v>
      </c>
      <c r="K156" s="145" t="s">
        <v>134</v>
      </c>
      <c r="L156" s="145" t="s">
        <v>135</v>
      </c>
      <c r="M156" s="145"/>
      <c r="N156" s="145"/>
      <c r="O156" s="145"/>
      <c r="P156" s="257"/>
      <c r="Q156" s="44"/>
    </row>
    <row r="157" spans="1:21" s="43" customFormat="1" ht="24" customHeight="1">
      <c r="A157" s="305"/>
      <c r="B157" s="237"/>
      <c r="C157" s="234"/>
      <c r="D157" s="234"/>
      <c r="E157" s="145"/>
      <c r="F157" s="174">
        <v>0</v>
      </c>
      <c r="G157" s="147">
        <v>0</v>
      </c>
      <c r="H157" s="147">
        <v>0</v>
      </c>
      <c r="I157" s="147">
        <v>0</v>
      </c>
      <c r="J157" s="147">
        <v>0</v>
      </c>
      <c r="K157" s="147">
        <v>0</v>
      </c>
      <c r="L157" s="147">
        <v>0</v>
      </c>
      <c r="M157" s="147">
        <v>0</v>
      </c>
      <c r="N157" s="147">
        <v>0</v>
      </c>
      <c r="O157" s="147">
        <v>0</v>
      </c>
      <c r="P157" s="257"/>
      <c r="Q157" s="44"/>
    </row>
    <row r="158" spans="1:21" s="9" customFormat="1" ht="18.75" customHeight="1">
      <c r="A158" s="309" t="s">
        <v>13</v>
      </c>
      <c r="B158" s="238" t="s">
        <v>172</v>
      </c>
      <c r="C158" s="238" t="s">
        <v>89</v>
      </c>
      <c r="D158" s="157" t="s">
        <v>2</v>
      </c>
      <c r="E158" s="158" t="e">
        <f>E160+E161+E159</f>
        <v>#REF!</v>
      </c>
      <c r="F158" s="173">
        <f>SUM(G158:O158)</f>
        <v>799.83450000000005</v>
      </c>
      <c r="G158" s="158">
        <f t="shared" ref="G158" si="94">G159+G160+G161+G162</f>
        <v>799.83450000000005</v>
      </c>
      <c r="H158" s="252">
        <f>H159+H160+H161+H162</f>
        <v>0</v>
      </c>
      <c r="I158" s="252"/>
      <c r="J158" s="252"/>
      <c r="K158" s="252"/>
      <c r="L158" s="252"/>
      <c r="M158" s="158">
        <f t="shared" ref="M158:O158" si="95">M159+M160+M161+M162</f>
        <v>0</v>
      </c>
      <c r="N158" s="158">
        <f t="shared" si="95"/>
        <v>0</v>
      </c>
      <c r="O158" s="158">
        <f t="shared" si="95"/>
        <v>0</v>
      </c>
      <c r="P158" s="262"/>
      <c r="Q158" s="117"/>
      <c r="R158" s="117"/>
      <c r="S158" s="117"/>
      <c r="T158" s="50"/>
      <c r="U158" s="50"/>
    </row>
    <row r="159" spans="1:21" s="9" customFormat="1" ht="38">
      <c r="A159" s="309"/>
      <c r="B159" s="238"/>
      <c r="C159" s="238"/>
      <c r="D159" s="157" t="s">
        <v>41</v>
      </c>
      <c r="E159" s="159">
        <f>E197</f>
        <v>0</v>
      </c>
      <c r="F159" s="173">
        <f t="shared" ref="F159:F166" si="96">SUM(G159:O159)</f>
        <v>592.47</v>
      </c>
      <c r="G159" s="159">
        <f t="shared" ref="G159" si="97">G163</f>
        <v>592.47</v>
      </c>
      <c r="H159" s="251">
        <f>H163</f>
        <v>0</v>
      </c>
      <c r="I159" s="251"/>
      <c r="J159" s="251"/>
      <c r="K159" s="251"/>
      <c r="L159" s="251"/>
      <c r="M159" s="159">
        <f t="shared" ref="M159:O159" si="98">M163</f>
        <v>0</v>
      </c>
      <c r="N159" s="159">
        <f t="shared" si="98"/>
        <v>0</v>
      </c>
      <c r="O159" s="159">
        <f t="shared" si="98"/>
        <v>0</v>
      </c>
      <c r="P159" s="262"/>
      <c r="Q159" s="117"/>
      <c r="R159" s="117"/>
      <c r="S159" s="117"/>
      <c r="T159" s="50"/>
      <c r="U159" s="50"/>
    </row>
    <row r="160" spans="1:21" s="9" customFormat="1" ht="39.75" customHeight="1">
      <c r="A160" s="309"/>
      <c r="B160" s="238"/>
      <c r="C160" s="238"/>
      <c r="D160" s="157" t="s">
        <v>1</v>
      </c>
      <c r="E160" s="159" t="e">
        <f>#REF!+E163+E164+#REF!+#REF!+#REF!+E198+E203</f>
        <v>#REF!</v>
      </c>
      <c r="F160" s="173">
        <f t="shared" si="96"/>
        <v>197.49</v>
      </c>
      <c r="G160" s="159">
        <f t="shared" ref="G160" si="99">G164</f>
        <v>197.49</v>
      </c>
      <c r="H160" s="251">
        <f>H164</f>
        <v>0</v>
      </c>
      <c r="I160" s="251"/>
      <c r="J160" s="251"/>
      <c r="K160" s="251"/>
      <c r="L160" s="251"/>
      <c r="M160" s="159">
        <f t="shared" ref="M160:O160" si="100">M164</f>
        <v>0</v>
      </c>
      <c r="N160" s="159">
        <f t="shared" si="100"/>
        <v>0</v>
      </c>
      <c r="O160" s="159">
        <f t="shared" si="100"/>
        <v>0</v>
      </c>
      <c r="P160" s="262"/>
      <c r="Q160" s="117"/>
      <c r="R160" s="117"/>
      <c r="S160" s="117"/>
      <c r="T160" s="50"/>
      <c r="U160" s="50"/>
    </row>
    <row r="161" spans="1:26" s="9" customFormat="1" ht="58.5" customHeight="1">
      <c r="A161" s="309"/>
      <c r="B161" s="238"/>
      <c r="C161" s="238"/>
      <c r="D161" s="157" t="s">
        <v>49</v>
      </c>
      <c r="E161" s="159" t="e">
        <f>#REF!+E182+#REF!+#REF!+#REF!+E199+E205</f>
        <v>#REF!</v>
      </c>
      <c r="F161" s="173">
        <f t="shared" si="96"/>
        <v>9.8744999999999994</v>
      </c>
      <c r="G161" s="159">
        <f t="shared" ref="G161" si="101">G165</f>
        <v>9.8744999999999994</v>
      </c>
      <c r="H161" s="251">
        <f>H165</f>
        <v>0</v>
      </c>
      <c r="I161" s="251"/>
      <c r="J161" s="251"/>
      <c r="K161" s="251"/>
      <c r="L161" s="251"/>
      <c r="M161" s="159">
        <f t="shared" ref="M161:O161" si="102">M165</f>
        <v>0</v>
      </c>
      <c r="N161" s="159">
        <f t="shared" si="102"/>
        <v>0</v>
      </c>
      <c r="O161" s="159">
        <f t="shared" si="102"/>
        <v>0</v>
      </c>
      <c r="P161" s="262"/>
      <c r="Q161" s="117"/>
      <c r="R161" s="117"/>
      <c r="S161" s="117"/>
      <c r="T161" s="50"/>
      <c r="U161" s="50"/>
    </row>
    <row r="162" spans="1:26" s="9" customFormat="1" ht="19">
      <c r="A162" s="309"/>
      <c r="B162" s="238"/>
      <c r="C162" s="238"/>
      <c r="D162" s="157" t="s">
        <v>90</v>
      </c>
      <c r="E162" s="159"/>
      <c r="F162" s="173">
        <f t="shared" si="96"/>
        <v>0</v>
      </c>
      <c r="G162" s="159">
        <f t="shared" ref="G162" si="103">G166</f>
        <v>0</v>
      </c>
      <c r="H162" s="251">
        <f>H166</f>
        <v>0</v>
      </c>
      <c r="I162" s="251"/>
      <c r="J162" s="251"/>
      <c r="K162" s="251"/>
      <c r="L162" s="251"/>
      <c r="M162" s="159">
        <f t="shared" ref="M162:O162" si="104">M166</f>
        <v>0</v>
      </c>
      <c r="N162" s="159">
        <f t="shared" si="104"/>
        <v>0</v>
      </c>
      <c r="O162" s="159">
        <f t="shared" si="104"/>
        <v>0</v>
      </c>
      <c r="P162" s="262"/>
      <c r="Q162" s="117"/>
      <c r="R162" s="117"/>
      <c r="S162" s="117"/>
      <c r="T162" s="50"/>
      <c r="U162" s="50"/>
    </row>
    <row r="163" spans="1:26" s="43" customFormat="1" ht="37.5" customHeight="1">
      <c r="A163" s="305" t="s">
        <v>113</v>
      </c>
      <c r="B163" s="241" t="s">
        <v>120</v>
      </c>
      <c r="C163" s="239" t="s">
        <v>89</v>
      </c>
      <c r="D163" s="100" t="s">
        <v>41</v>
      </c>
      <c r="E163" s="131">
        <v>200475</v>
      </c>
      <c r="F163" s="173">
        <f t="shared" si="96"/>
        <v>592.47</v>
      </c>
      <c r="G163" s="131">
        <v>592.47</v>
      </c>
      <c r="H163" s="250">
        <v>0</v>
      </c>
      <c r="I163" s="250"/>
      <c r="J163" s="250"/>
      <c r="K163" s="250"/>
      <c r="L163" s="250"/>
      <c r="M163" s="131">
        <f>202841-202841</f>
        <v>0</v>
      </c>
      <c r="N163" s="131">
        <v>0</v>
      </c>
      <c r="O163" s="131">
        <v>0</v>
      </c>
      <c r="P163" s="253" t="s">
        <v>3</v>
      </c>
      <c r="Q163" s="116"/>
      <c r="R163" s="116"/>
      <c r="S163" s="116"/>
    </row>
    <row r="164" spans="1:26" s="43" customFormat="1" ht="38">
      <c r="A164" s="305"/>
      <c r="B164" s="241"/>
      <c r="C164" s="239"/>
      <c r="D164" s="100" t="s">
        <v>1</v>
      </c>
      <c r="E164" s="131">
        <v>93</v>
      </c>
      <c r="F164" s="173">
        <f t="shared" si="96"/>
        <v>197.49</v>
      </c>
      <c r="G164" s="131">
        <v>197.49</v>
      </c>
      <c r="H164" s="250">
        <v>0</v>
      </c>
      <c r="I164" s="250"/>
      <c r="J164" s="250"/>
      <c r="K164" s="250"/>
      <c r="L164" s="250"/>
      <c r="M164" s="131">
        <v>0</v>
      </c>
      <c r="N164" s="131">
        <v>0</v>
      </c>
      <c r="O164" s="131">
        <v>0</v>
      </c>
      <c r="P164" s="253"/>
      <c r="Q164" s="116"/>
      <c r="R164" s="116"/>
      <c r="S164" s="116"/>
    </row>
    <row r="165" spans="1:26" s="43" customFormat="1" ht="57">
      <c r="A165" s="305"/>
      <c r="B165" s="241"/>
      <c r="C165" s="239"/>
      <c r="D165" s="100" t="s">
        <v>48</v>
      </c>
      <c r="E165" s="131"/>
      <c r="F165" s="173">
        <f t="shared" si="96"/>
        <v>9.8744999999999994</v>
      </c>
      <c r="G165" s="131">
        <v>9.8744999999999994</v>
      </c>
      <c r="H165" s="250">
        <v>0</v>
      </c>
      <c r="I165" s="250"/>
      <c r="J165" s="250"/>
      <c r="K165" s="250"/>
      <c r="L165" s="250"/>
      <c r="M165" s="131">
        <v>0</v>
      </c>
      <c r="N165" s="131">
        <v>0</v>
      </c>
      <c r="O165" s="131">
        <v>0</v>
      </c>
      <c r="P165" s="253"/>
      <c r="Q165" s="116"/>
      <c r="R165" s="116"/>
      <c r="S165" s="116"/>
    </row>
    <row r="166" spans="1:26" s="43" customFormat="1" ht="19">
      <c r="A166" s="305"/>
      <c r="B166" s="241"/>
      <c r="C166" s="239"/>
      <c r="D166" s="100" t="s">
        <v>90</v>
      </c>
      <c r="E166" s="131"/>
      <c r="F166" s="173">
        <f t="shared" si="96"/>
        <v>0</v>
      </c>
      <c r="G166" s="131">
        <v>0</v>
      </c>
      <c r="H166" s="250">
        <v>0</v>
      </c>
      <c r="I166" s="250"/>
      <c r="J166" s="250"/>
      <c r="K166" s="250"/>
      <c r="L166" s="250"/>
      <c r="M166" s="131">
        <v>0</v>
      </c>
      <c r="N166" s="131">
        <v>0</v>
      </c>
      <c r="O166" s="131">
        <v>0</v>
      </c>
      <c r="P166" s="253"/>
      <c r="Q166" s="116"/>
      <c r="R166" s="116"/>
      <c r="S166" s="116"/>
    </row>
    <row r="167" spans="1:26" s="43" customFormat="1" ht="21" customHeight="1">
      <c r="A167" s="305"/>
      <c r="B167" s="237" t="s">
        <v>273</v>
      </c>
      <c r="C167" s="234" t="s">
        <v>129</v>
      </c>
      <c r="D167" s="234" t="s">
        <v>129</v>
      </c>
      <c r="E167" s="145"/>
      <c r="F167" s="248" t="s">
        <v>130</v>
      </c>
      <c r="G167" s="146" t="s">
        <v>287</v>
      </c>
      <c r="H167" s="246" t="s">
        <v>288</v>
      </c>
      <c r="I167" s="247" t="s">
        <v>131</v>
      </c>
      <c r="J167" s="247"/>
      <c r="K167" s="247"/>
      <c r="L167" s="247"/>
      <c r="M167" s="146" t="s">
        <v>136</v>
      </c>
      <c r="N167" s="146" t="s">
        <v>137</v>
      </c>
      <c r="O167" s="146" t="s">
        <v>138</v>
      </c>
      <c r="P167" s="257" t="s">
        <v>129</v>
      </c>
      <c r="Q167" s="44"/>
    </row>
    <row r="168" spans="1:26" s="43" customFormat="1" ht="21" customHeight="1">
      <c r="A168" s="305"/>
      <c r="B168" s="237"/>
      <c r="C168" s="234"/>
      <c r="D168" s="234"/>
      <c r="E168" s="145"/>
      <c r="F168" s="248"/>
      <c r="G168" s="145"/>
      <c r="H168" s="246"/>
      <c r="I168" s="145" t="s">
        <v>132</v>
      </c>
      <c r="J168" s="145" t="s">
        <v>133</v>
      </c>
      <c r="K168" s="145" t="s">
        <v>134</v>
      </c>
      <c r="L168" s="145" t="s">
        <v>135</v>
      </c>
      <c r="M168" s="145"/>
      <c r="N168" s="145"/>
      <c r="O168" s="145"/>
      <c r="P168" s="257"/>
      <c r="Q168" s="44"/>
    </row>
    <row r="169" spans="1:26" s="43" customFormat="1" ht="28.5" customHeight="1">
      <c r="A169" s="305"/>
      <c r="B169" s="237"/>
      <c r="C169" s="234"/>
      <c r="D169" s="234"/>
      <c r="E169" s="145"/>
      <c r="F169" s="174">
        <v>13</v>
      </c>
      <c r="G169" s="147">
        <v>13</v>
      </c>
      <c r="H169" s="232">
        <v>13</v>
      </c>
      <c r="I169" s="232">
        <v>13</v>
      </c>
      <c r="J169" s="232">
        <v>13</v>
      </c>
      <c r="K169" s="232">
        <v>13</v>
      </c>
      <c r="L169" s="232">
        <v>13</v>
      </c>
      <c r="M169" s="147">
        <v>0</v>
      </c>
      <c r="N169" s="147">
        <v>0</v>
      </c>
      <c r="O169" s="147">
        <v>0</v>
      </c>
      <c r="P169" s="257"/>
      <c r="Q169" s="44"/>
    </row>
    <row r="170" spans="1:26" s="9" customFormat="1" ht="39" customHeight="1">
      <c r="A170" s="370" t="s">
        <v>224</v>
      </c>
      <c r="B170" s="370"/>
      <c r="C170" s="370"/>
      <c r="D170" s="370"/>
      <c r="E170" s="186" t="e">
        <f>E171+E172+E173+E175</f>
        <v>#REF!</v>
      </c>
      <c r="F170" s="188">
        <f>SUM(G170:O170)</f>
        <v>881480.13942999998</v>
      </c>
      <c r="G170" s="186">
        <f t="shared" ref="G170" si="105">G171+G172+G173+G174</f>
        <v>135554.28376000002</v>
      </c>
      <c r="H170" s="252">
        <f>H171+H172+H173+H174</f>
        <v>198693.14967000001</v>
      </c>
      <c r="I170" s="252"/>
      <c r="J170" s="252"/>
      <c r="K170" s="252"/>
      <c r="L170" s="252"/>
      <c r="M170" s="186">
        <f t="shared" ref="M170:O170" si="106">M171+M172+M173+M174</f>
        <v>182410.902</v>
      </c>
      <c r="N170" s="186">
        <f t="shared" si="106"/>
        <v>182410.902</v>
      </c>
      <c r="O170" s="186">
        <f t="shared" si="106"/>
        <v>182410.902</v>
      </c>
      <c r="P170" s="187"/>
      <c r="Q170" s="108"/>
      <c r="R170" s="108"/>
      <c r="S170" s="108"/>
      <c r="W170" s="50"/>
      <c r="X170" s="50"/>
      <c r="Y170" s="50"/>
      <c r="Z170" s="50"/>
    </row>
    <row r="171" spans="1:26" ht="18">
      <c r="A171" s="285" t="s">
        <v>41</v>
      </c>
      <c r="B171" s="285"/>
      <c r="C171" s="285"/>
      <c r="D171" s="285"/>
      <c r="E171" s="53" t="e">
        <f>#REF!+#REF!+#REF!</f>
        <v>#REF!</v>
      </c>
      <c r="F171" s="188">
        <f t="shared" ref="F171:F175" si="107">SUM(G171:O171)</f>
        <v>16472.57</v>
      </c>
      <c r="G171" s="53">
        <f t="shared" ref="G171" si="108">G7+G19+G73+G99+G147+G135+G159+G123+G111+G61</f>
        <v>592.47</v>
      </c>
      <c r="H171" s="250">
        <f>H7+H19+H73+H99+H147+H135+H159+H123+H111+H61</f>
        <v>15880.1</v>
      </c>
      <c r="I171" s="250"/>
      <c r="J171" s="250"/>
      <c r="K171" s="250"/>
      <c r="L171" s="250"/>
      <c r="M171" s="53">
        <f t="shared" ref="M171:O173" si="109">M7+M19+M73+M99+M147+M135+M159+M123+M111+M61</f>
        <v>0</v>
      </c>
      <c r="N171" s="53">
        <f t="shared" si="109"/>
        <v>0</v>
      </c>
      <c r="O171" s="53">
        <f t="shared" si="109"/>
        <v>0</v>
      </c>
      <c r="P171" s="13"/>
      <c r="Q171" s="38"/>
      <c r="R171" s="38"/>
      <c r="S171" s="38"/>
      <c r="T171" s="38" t="e">
        <f>#REF!+#REF!+#REF!+#REF!</f>
        <v>#REF!</v>
      </c>
      <c r="U171" s="38"/>
      <c r="W171" s="50"/>
      <c r="X171" s="50"/>
      <c r="Y171" s="50"/>
      <c r="Z171" s="50"/>
    </row>
    <row r="172" spans="1:26" ht="18">
      <c r="A172" s="285" t="s">
        <v>1</v>
      </c>
      <c r="B172" s="285"/>
      <c r="C172" s="285"/>
      <c r="D172" s="285"/>
      <c r="E172" s="53" t="e">
        <f>E74+#REF!+#REF!+#REF!+#REF!</f>
        <v>#REF!</v>
      </c>
      <c r="F172" s="188">
        <f t="shared" si="107"/>
        <v>6472.8566699999992</v>
      </c>
      <c r="G172" s="53">
        <f t="shared" ref="G172" si="110">G8+G20+G74+G100+G148+G136+G160+G124+G112+G62</f>
        <v>530.49</v>
      </c>
      <c r="H172" s="250">
        <f>H8+H20+H74+H100+H148+H136+H160+H124+H112+H62</f>
        <v>5942.3666699999994</v>
      </c>
      <c r="I172" s="250"/>
      <c r="J172" s="250"/>
      <c r="K172" s="250"/>
      <c r="L172" s="250"/>
      <c r="M172" s="53">
        <f t="shared" si="109"/>
        <v>0</v>
      </c>
      <c r="N172" s="53">
        <f t="shared" si="109"/>
        <v>0</v>
      </c>
      <c r="O172" s="53">
        <f t="shared" si="109"/>
        <v>0</v>
      </c>
      <c r="P172" s="13"/>
      <c r="Q172" s="38"/>
      <c r="R172" s="38"/>
      <c r="S172" s="38"/>
      <c r="T172" s="38" t="e">
        <f>#REF!+#REF!+#REF!+#REF!</f>
        <v>#REF!</v>
      </c>
      <c r="U172" s="38"/>
      <c r="W172" s="50"/>
      <c r="X172" s="50"/>
      <c r="Y172" s="50"/>
      <c r="Z172" s="50"/>
    </row>
    <row r="173" spans="1:26" ht="18">
      <c r="A173" s="285" t="s">
        <v>49</v>
      </c>
      <c r="B173" s="285"/>
      <c r="C173" s="285"/>
      <c r="D173" s="285"/>
      <c r="E173" s="53" t="e">
        <f>E9+E21+E75+#REF!+#REF!+#REF!+#REF!+#REF!+#REF!</f>
        <v>#REF!</v>
      </c>
      <c r="F173" s="188">
        <f t="shared" si="107"/>
        <v>711670.91275999998</v>
      </c>
      <c r="G173" s="53">
        <f t="shared" ref="G173" si="111">G9+G21+G75+G101+G149+G137+G161+G125+G113+G63</f>
        <v>113176.13176</v>
      </c>
      <c r="H173" s="250">
        <f>H9+H21+H75+H101+H149+H137+H161+H125+H113+H67</f>
        <v>145468.53100000002</v>
      </c>
      <c r="I173" s="250"/>
      <c r="J173" s="250"/>
      <c r="K173" s="250"/>
      <c r="L173" s="250"/>
      <c r="M173" s="53">
        <f t="shared" si="109"/>
        <v>151008.75</v>
      </c>
      <c r="N173" s="53">
        <f t="shared" si="109"/>
        <v>151008.75</v>
      </c>
      <c r="O173" s="53">
        <f t="shared" si="109"/>
        <v>151008.75</v>
      </c>
      <c r="P173" s="13"/>
      <c r="Q173" s="38"/>
      <c r="R173" s="38"/>
      <c r="S173" s="38"/>
      <c r="T173" s="38" t="e">
        <f>#REF!+#REF!+#REF!+#REF!+#REF!+#REF!+#REF!+#REF!+#REF!+#REF!+#REF!</f>
        <v>#REF!</v>
      </c>
      <c r="U173" s="38"/>
      <c r="W173" s="50"/>
      <c r="X173" s="50"/>
      <c r="Y173" s="50"/>
      <c r="Z173" s="50"/>
    </row>
    <row r="174" spans="1:26" ht="18">
      <c r="A174" s="285" t="s">
        <v>90</v>
      </c>
      <c r="B174" s="285"/>
      <c r="C174" s="285"/>
      <c r="D174" s="285"/>
      <c r="E174" s="53"/>
      <c r="F174" s="188">
        <f t="shared" si="107"/>
        <v>146863.79999999999</v>
      </c>
      <c r="G174" s="53">
        <f>G10+G22+G76+G102+G150+G138+G162+G126+G114</f>
        <v>21255.191999999999</v>
      </c>
      <c r="H174" s="250">
        <f>H10+H22+H76+H102+H150+H138+H162+H126+H114</f>
        <v>31402.151999999998</v>
      </c>
      <c r="I174" s="250"/>
      <c r="J174" s="250"/>
      <c r="K174" s="250"/>
      <c r="L174" s="250"/>
      <c r="M174" s="53">
        <f>M10+M22+M76+M102+M150+M138+M162+M126+M114</f>
        <v>31402.151999999998</v>
      </c>
      <c r="N174" s="53">
        <f>N10+N22+N76+N102+N150+N138+N162+N126+N114</f>
        <v>31402.151999999998</v>
      </c>
      <c r="O174" s="53">
        <f>O10+O22+O76+O102+O150+O138+O162+O126+O114</f>
        <v>31402.151999999998</v>
      </c>
      <c r="P174" s="13"/>
      <c r="Q174" s="38"/>
      <c r="R174" s="38"/>
      <c r="S174" s="38"/>
      <c r="T174" s="38"/>
      <c r="U174" s="38"/>
      <c r="W174" s="50"/>
      <c r="X174" s="50"/>
      <c r="Y174" s="50"/>
      <c r="Z174" s="50"/>
    </row>
    <row r="175" spans="1:26" ht="18">
      <c r="A175" s="325" t="s">
        <v>91</v>
      </c>
      <c r="B175" s="325"/>
      <c r="C175" s="325"/>
      <c r="D175" s="325"/>
      <c r="E175" s="101">
        <f>E23</f>
        <v>13879.4</v>
      </c>
      <c r="F175" s="188">
        <f t="shared" si="107"/>
        <v>146863.79999999999</v>
      </c>
      <c r="G175" s="101">
        <f>G23</f>
        <v>21255.191999999999</v>
      </c>
      <c r="H175" s="279">
        <f>H23</f>
        <v>31402.151999999998</v>
      </c>
      <c r="I175" s="279"/>
      <c r="J175" s="279"/>
      <c r="K175" s="279"/>
      <c r="L175" s="279"/>
      <c r="M175" s="101">
        <f>M23</f>
        <v>31402.151999999998</v>
      </c>
      <c r="N175" s="101">
        <f>N23</f>
        <v>31402.151999999998</v>
      </c>
      <c r="O175" s="101">
        <f>O23</f>
        <v>31402.151999999998</v>
      </c>
      <c r="P175" s="6"/>
      <c r="Q175" s="37"/>
      <c r="R175" s="37"/>
      <c r="S175" s="37"/>
      <c r="T175" s="37" t="e">
        <f>#REF!+#REF!</f>
        <v>#REF!</v>
      </c>
      <c r="U175" s="59"/>
      <c r="W175" s="50"/>
      <c r="X175" s="50"/>
      <c r="Y175" s="50"/>
      <c r="Z175" s="50"/>
    </row>
    <row r="176" spans="1:26">
      <c r="F176" s="189"/>
      <c r="M176" s="55"/>
      <c r="N176" s="51"/>
      <c r="O176" s="51"/>
    </row>
    <row r="177" spans="2:31">
      <c r="G177" s="42"/>
      <c r="M177" s="55"/>
      <c r="N177" s="51"/>
      <c r="O177" s="51"/>
    </row>
    <row r="178" spans="2:31" ht="19">
      <c r="B178" s="359" t="s">
        <v>20</v>
      </c>
      <c r="C178" s="360"/>
      <c r="D178" s="360"/>
      <c r="E178" s="62">
        <v>0</v>
      </c>
      <c r="F178" s="63">
        <f t="shared" ref="F178:F186" si="112">SUM(H178:O178)</f>
        <v>0</v>
      </c>
      <c r="G178" s="62">
        <v>0</v>
      </c>
      <c r="H178" s="367">
        <v>0</v>
      </c>
      <c r="I178" s="368"/>
      <c r="J178" s="368"/>
      <c r="K178" s="368"/>
      <c r="L178" s="369"/>
      <c r="M178" s="62">
        <v>0</v>
      </c>
      <c r="N178" s="62">
        <v>0</v>
      </c>
      <c r="O178" s="62">
        <v>0</v>
      </c>
      <c r="P178" s="51"/>
      <c r="U178" s="1"/>
      <c r="V178" s="1"/>
      <c r="W178" s="51"/>
      <c r="X178" s="51"/>
      <c r="Y178" s="1"/>
      <c r="Z178" s="1"/>
      <c r="AA178" s="1"/>
      <c r="AB178" s="1"/>
      <c r="AC178" s="1"/>
      <c r="AD178" s="1"/>
      <c r="AE178" s="1"/>
    </row>
    <row r="179" spans="2:31" ht="19">
      <c r="B179" s="359" t="s">
        <v>22</v>
      </c>
      <c r="C179" s="360"/>
      <c r="D179" s="360"/>
      <c r="E179" s="62">
        <v>0</v>
      </c>
      <c r="F179" s="63">
        <f t="shared" si="112"/>
        <v>660</v>
      </c>
      <c r="G179" s="62">
        <v>165</v>
      </c>
      <c r="H179" s="367">
        <v>165</v>
      </c>
      <c r="I179" s="368"/>
      <c r="J179" s="368"/>
      <c r="K179" s="368"/>
      <c r="L179" s="369"/>
      <c r="M179" s="62">
        <v>165</v>
      </c>
      <c r="N179" s="62">
        <v>165</v>
      </c>
      <c r="O179" s="62">
        <v>165</v>
      </c>
      <c r="U179" s="1"/>
      <c r="V179" s="1"/>
      <c r="W179" s="51"/>
      <c r="X179" s="51"/>
      <c r="Y179" s="1"/>
      <c r="Z179" s="1"/>
      <c r="AA179" s="1"/>
      <c r="AB179" s="1"/>
      <c r="AC179" s="1"/>
      <c r="AD179" s="1"/>
      <c r="AE179" s="1"/>
    </row>
    <row r="180" spans="2:31" ht="19">
      <c r="B180" s="361" t="s">
        <v>21</v>
      </c>
      <c r="C180" s="362"/>
      <c r="D180" s="362"/>
      <c r="E180" s="64">
        <f>SUM(E178:E179)</f>
        <v>0</v>
      </c>
      <c r="F180" s="63">
        <f t="shared" si="112"/>
        <v>660</v>
      </c>
      <c r="G180" s="64">
        <f>SUM(G178:G179)</f>
        <v>165</v>
      </c>
      <c r="H180" s="364">
        <f>SUM(H178:H179)</f>
        <v>165</v>
      </c>
      <c r="I180" s="365"/>
      <c r="J180" s="365"/>
      <c r="K180" s="365"/>
      <c r="L180" s="366"/>
      <c r="M180" s="64">
        <f>SUM(M178:M179)</f>
        <v>165</v>
      </c>
      <c r="N180" s="64">
        <f>SUM(N178:N179)</f>
        <v>165</v>
      </c>
      <c r="O180" s="64">
        <f>SUM(O178:O179)</f>
        <v>165</v>
      </c>
      <c r="U180" s="1"/>
      <c r="V180" s="1"/>
      <c r="W180" s="51"/>
      <c r="X180" s="51"/>
      <c r="Y180" s="1"/>
      <c r="Z180" s="1"/>
      <c r="AA180" s="1"/>
      <c r="AB180" s="1"/>
      <c r="AC180" s="1"/>
      <c r="AD180" s="1"/>
      <c r="AE180" s="1"/>
    </row>
    <row r="181" spans="2:31" ht="19">
      <c r="B181" s="359" t="s">
        <v>41</v>
      </c>
      <c r="C181" s="360"/>
      <c r="D181" s="360"/>
      <c r="E181" s="62" t="e">
        <f>E171-#REF!</f>
        <v>#REF!</v>
      </c>
      <c r="F181" s="63">
        <f t="shared" si="112"/>
        <v>15880.1</v>
      </c>
      <c r="G181" s="62">
        <f t="shared" ref="G181" si="113">G171</f>
        <v>592.47</v>
      </c>
      <c r="H181" s="367">
        <f>H171</f>
        <v>15880.1</v>
      </c>
      <c r="I181" s="368"/>
      <c r="J181" s="368"/>
      <c r="K181" s="368"/>
      <c r="L181" s="369"/>
      <c r="M181" s="62">
        <f t="shared" ref="M181:O181" si="114">M171</f>
        <v>0</v>
      </c>
      <c r="N181" s="62">
        <f t="shared" si="114"/>
        <v>0</v>
      </c>
      <c r="O181" s="62">
        <f t="shared" si="114"/>
        <v>0</v>
      </c>
      <c r="W181" s="51"/>
      <c r="X181" s="51"/>
    </row>
    <row r="182" spans="2:31" ht="19">
      <c r="B182" s="359" t="s">
        <v>1</v>
      </c>
      <c r="C182" s="360"/>
      <c r="D182" s="360"/>
      <c r="E182" s="62" t="e">
        <f>E172-#REF!</f>
        <v>#REF!</v>
      </c>
      <c r="F182" s="63">
        <f t="shared" si="112"/>
        <v>5942.3666699999994</v>
      </c>
      <c r="G182" s="62">
        <f t="shared" ref="G182" si="115">G172-G178</f>
        <v>530.49</v>
      </c>
      <c r="H182" s="367">
        <f>H172-H178</f>
        <v>5942.3666699999994</v>
      </c>
      <c r="I182" s="368"/>
      <c r="J182" s="368"/>
      <c r="K182" s="368"/>
      <c r="L182" s="369"/>
      <c r="M182" s="62">
        <f t="shared" ref="M182:O182" si="116">M172-M178</f>
        <v>0</v>
      </c>
      <c r="N182" s="62">
        <f t="shared" si="116"/>
        <v>0</v>
      </c>
      <c r="O182" s="62">
        <f t="shared" si="116"/>
        <v>0</v>
      </c>
      <c r="W182" s="51"/>
      <c r="X182" s="51"/>
    </row>
    <row r="183" spans="2:31" ht="19">
      <c r="B183" s="359" t="s">
        <v>49</v>
      </c>
      <c r="C183" s="360"/>
      <c r="D183" s="360"/>
      <c r="E183" s="62" t="e">
        <f>E173-#REF!</f>
        <v>#REF!</v>
      </c>
      <c r="F183" s="63">
        <f t="shared" si="112"/>
        <v>597834.78099999996</v>
      </c>
      <c r="G183" s="62">
        <f t="shared" ref="G183" si="117">G173-G179</f>
        <v>113011.13176</v>
      </c>
      <c r="H183" s="367">
        <f>H173-H179</f>
        <v>145303.53100000002</v>
      </c>
      <c r="I183" s="368"/>
      <c r="J183" s="368"/>
      <c r="K183" s="368"/>
      <c r="L183" s="369"/>
      <c r="M183" s="62">
        <f t="shared" ref="M183:O183" si="118">M173-M179</f>
        <v>150843.75</v>
      </c>
      <c r="N183" s="62">
        <f t="shared" si="118"/>
        <v>150843.75</v>
      </c>
      <c r="O183" s="62">
        <f t="shared" si="118"/>
        <v>150843.75</v>
      </c>
      <c r="W183" s="51"/>
      <c r="X183" s="51"/>
    </row>
    <row r="184" spans="2:31" ht="19">
      <c r="B184" s="359" t="s">
        <v>90</v>
      </c>
      <c r="C184" s="360"/>
      <c r="D184" s="363"/>
      <c r="E184" s="62"/>
      <c r="F184" s="63">
        <f t="shared" si="112"/>
        <v>125608.60799999999</v>
      </c>
      <c r="G184" s="62">
        <f t="shared" ref="G184" si="119">G185</f>
        <v>21255.191999999999</v>
      </c>
      <c r="H184" s="367">
        <f>H185</f>
        <v>31402.151999999998</v>
      </c>
      <c r="I184" s="368"/>
      <c r="J184" s="368"/>
      <c r="K184" s="368"/>
      <c r="L184" s="369"/>
      <c r="M184" s="62">
        <f t="shared" ref="M184:O184" si="120">M185</f>
        <v>31402.151999999998</v>
      </c>
      <c r="N184" s="62">
        <f t="shared" si="120"/>
        <v>31402.151999999998</v>
      </c>
      <c r="O184" s="62">
        <f t="shared" si="120"/>
        <v>31402.151999999998</v>
      </c>
      <c r="W184" s="51"/>
      <c r="X184" s="51"/>
    </row>
    <row r="185" spans="2:31" ht="19">
      <c r="B185" s="359" t="s">
        <v>91</v>
      </c>
      <c r="C185" s="360"/>
      <c r="D185" s="360"/>
      <c r="E185" s="62" t="e">
        <f>E175-#REF!</f>
        <v>#REF!</v>
      </c>
      <c r="F185" s="63">
        <f t="shared" si="112"/>
        <v>125608.60799999999</v>
      </c>
      <c r="G185" s="62">
        <f t="shared" ref="G185" si="121">G175</f>
        <v>21255.191999999999</v>
      </c>
      <c r="H185" s="367">
        <f>H175</f>
        <v>31402.151999999998</v>
      </c>
      <c r="I185" s="368"/>
      <c r="J185" s="368"/>
      <c r="K185" s="368"/>
      <c r="L185" s="369"/>
      <c r="M185" s="62">
        <f t="shared" ref="M185:O185" si="122">M175</f>
        <v>31402.151999999998</v>
      </c>
      <c r="N185" s="62">
        <f t="shared" si="122"/>
        <v>31402.151999999998</v>
      </c>
      <c r="O185" s="62">
        <f t="shared" si="122"/>
        <v>31402.151999999998</v>
      </c>
      <c r="W185" s="51"/>
      <c r="X185" s="51"/>
    </row>
    <row r="186" spans="2:31" ht="19">
      <c r="B186" s="361" t="s">
        <v>26</v>
      </c>
      <c r="C186" s="362"/>
      <c r="D186" s="362"/>
      <c r="E186" s="64" t="e">
        <f>SUM(E181:E185)</f>
        <v>#REF!</v>
      </c>
      <c r="F186" s="63">
        <f t="shared" si="112"/>
        <v>745265.85566999996</v>
      </c>
      <c r="G186" s="64">
        <f t="shared" ref="G186" si="123">G181+G182+G183+G184</f>
        <v>135389.28376000002</v>
      </c>
      <c r="H186" s="364">
        <f>H181+H182+H183+H184</f>
        <v>198528.14967000001</v>
      </c>
      <c r="I186" s="365"/>
      <c r="J186" s="365"/>
      <c r="K186" s="365"/>
      <c r="L186" s="366"/>
      <c r="M186" s="64">
        <f t="shared" ref="M186:O186" si="124">M181+M182+M183+M184</f>
        <v>182245.902</v>
      </c>
      <c r="N186" s="64">
        <f t="shared" si="124"/>
        <v>182245.902</v>
      </c>
      <c r="O186" s="64">
        <f t="shared" si="124"/>
        <v>182245.902</v>
      </c>
      <c r="W186" s="51"/>
      <c r="X186" s="51"/>
    </row>
    <row r="187" spans="2:31">
      <c r="E187" s="51"/>
      <c r="F187" s="191"/>
      <c r="G187" s="55"/>
      <c r="H187" s="51"/>
      <c r="I187" s="51"/>
      <c r="J187" s="51"/>
      <c r="K187" s="51"/>
      <c r="L187" s="51"/>
      <c r="M187" s="55"/>
      <c r="N187" s="51"/>
      <c r="O187" s="51"/>
    </row>
    <row r="188" spans="2:31">
      <c r="E188" s="51"/>
      <c r="F188" s="191"/>
      <c r="G188" s="51"/>
      <c r="H188" s="51"/>
      <c r="I188" s="51"/>
      <c r="J188" s="51"/>
      <c r="K188" s="51"/>
      <c r="L188" s="51"/>
      <c r="M188" s="51"/>
      <c r="N188" s="51"/>
      <c r="O188" s="51"/>
      <c r="P188" s="51"/>
    </row>
    <row r="189" spans="2:31">
      <c r="E189" s="51"/>
      <c r="F189" s="191"/>
      <c r="G189" s="55"/>
      <c r="H189" s="51"/>
      <c r="I189" s="51"/>
      <c r="J189" s="51"/>
      <c r="K189" s="51"/>
      <c r="L189" s="51"/>
      <c r="M189" s="55"/>
      <c r="N189" s="51"/>
      <c r="O189" s="51"/>
    </row>
    <row r="192" spans="2:31">
      <c r="G192" s="55"/>
      <c r="M192" s="55"/>
      <c r="N192" s="55"/>
    </row>
  </sheetData>
  <mergeCells count="375">
    <mergeCell ref="A119:A121"/>
    <mergeCell ref="A139:A145"/>
    <mergeCell ref="C15:C17"/>
    <mergeCell ref="B151:B154"/>
    <mergeCell ref="C151:C154"/>
    <mergeCell ref="P151:P154"/>
    <mergeCell ref="B103:B106"/>
    <mergeCell ref="C103:C106"/>
    <mergeCell ref="P103:P106"/>
    <mergeCell ref="C134:C138"/>
    <mergeCell ref="P134:P138"/>
    <mergeCell ref="B139:B142"/>
    <mergeCell ref="C139:C142"/>
    <mergeCell ref="P139:P142"/>
    <mergeCell ref="B127:B130"/>
    <mergeCell ref="C127:C130"/>
    <mergeCell ref="B122:B126"/>
    <mergeCell ref="P127:P130"/>
    <mergeCell ref="B119:B121"/>
    <mergeCell ref="C119:C121"/>
    <mergeCell ref="D119:D121"/>
    <mergeCell ref="F119:F120"/>
    <mergeCell ref="H116:L116"/>
    <mergeCell ref="P77:P80"/>
    <mergeCell ref="H166:L166"/>
    <mergeCell ref="H165:L165"/>
    <mergeCell ref="H164:L164"/>
    <mergeCell ref="H114:L114"/>
    <mergeCell ref="H113:L113"/>
    <mergeCell ref="H112:L112"/>
    <mergeCell ref="P110:P114"/>
    <mergeCell ref="P163:P166"/>
    <mergeCell ref="H119:H120"/>
    <mergeCell ref="I119:L119"/>
    <mergeCell ref="P119:P121"/>
    <mergeCell ref="H163:L163"/>
    <mergeCell ref="P115:P118"/>
    <mergeCell ref="H111:L111"/>
    <mergeCell ref="H110:L110"/>
    <mergeCell ref="H149:L149"/>
    <mergeCell ref="H148:L148"/>
    <mergeCell ref="H147:L147"/>
    <mergeCell ref="H146:L146"/>
    <mergeCell ref="H142:L142"/>
    <mergeCell ref="H141:L141"/>
    <mergeCell ref="H154:L154"/>
    <mergeCell ref="H171:L171"/>
    <mergeCell ref="H170:L170"/>
    <mergeCell ref="B134:B138"/>
    <mergeCell ref="C146:C150"/>
    <mergeCell ref="C131:C133"/>
    <mergeCell ref="B167:B169"/>
    <mergeCell ref="B158:B162"/>
    <mergeCell ref="P122:P126"/>
    <mergeCell ref="I167:L167"/>
    <mergeCell ref="P167:P169"/>
    <mergeCell ref="H160:L160"/>
    <mergeCell ref="H159:L159"/>
    <mergeCell ref="H151:L151"/>
    <mergeCell ref="H150:L150"/>
    <mergeCell ref="H162:L162"/>
    <mergeCell ref="H158:L158"/>
    <mergeCell ref="P158:P162"/>
    <mergeCell ref="D167:D169"/>
    <mergeCell ref="C167:C169"/>
    <mergeCell ref="B163:B166"/>
    <mergeCell ref="C163:C166"/>
    <mergeCell ref="H135:L135"/>
    <mergeCell ref="H161:L161"/>
    <mergeCell ref="C158:C162"/>
    <mergeCell ref="F50:F51"/>
    <mergeCell ref="H50:H51"/>
    <mergeCell ref="I50:L50"/>
    <mergeCell ref="H56:L56"/>
    <mergeCell ref="H57:H58"/>
    <mergeCell ref="D69:D71"/>
    <mergeCell ref="H65:L65"/>
    <mergeCell ref="H64:L64"/>
    <mergeCell ref="H99:L99"/>
    <mergeCell ref="H94:L94"/>
    <mergeCell ref="H66:L66"/>
    <mergeCell ref="H67:L67"/>
    <mergeCell ref="H68:L68"/>
    <mergeCell ref="F95:F96"/>
    <mergeCell ref="H95:H96"/>
    <mergeCell ref="H69:H70"/>
    <mergeCell ref="I69:L69"/>
    <mergeCell ref="H76:L76"/>
    <mergeCell ref="H79:L79"/>
    <mergeCell ref="H78:L78"/>
    <mergeCell ref="H77:L77"/>
    <mergeCell ref="A163:A169"/>
    <mergeCell ref="B131:B133"/>
    <mergeCell ref="C32:C35"/>
    <mergeCell ref="B32:B35"/>
    <mergeCell ref="D43:D45"/>
    <mergeCell ref="F43:F44"/>
    <mergeCell ref="H43:H44"/>
    <mergeCell ref="I43:L43"/>
    <mergeCell ref="H41:L41"/>
    <mergeCell ref="H123:L123"/>
    <mergeCell ref="H118:L118"/>
    <mergeCell ref="A110:A114"/>
    <mergeCell ref="B110:B114"/>
    <mergeCell ref="C110:C114"/>
    <mergeCell ref="A127:A133"/>
    <mergeCell ref="H61:L61"/>
    <mergeCell ref="H62:L62"/>
    <mergeCell ref="H63:L63"/>
    <mergeCell ref="H153:L153"/>
    <mergeCell ref="H152:L152"/>
    <mergeCell ref="D50:D52"/>
    <mergeCell ref="A115:A118"/>
    <mergeCell ref="C91:C94"/>
    <mergeCell ref="D95:D97"/>
    <mergeCell ref="P98:P102"/>
    <mergeCell ref="I95:L95"/>
    <mergeCell ref="H100:L100"/>
    <mergeCell ref="C77:C80"/>
    <mergeCell ref="H102:L102"/>
    <mergeCell ref="P95:P97"/>
    <mergeCell ref="H101:L101"/>
    <mergeCell ref="I107:L107"/>
    <mergeCell ref="P107:P109"/>
    <mergeCell ref="A103:A109"/>
    <mergeCell ref="B81:B83"/>
    <mergeCell ref="C81:C83"/>
    <mergeCell ref="B95:B97"/>
    <mergeCell ref="C95:C97"/>
    <mergeCell ref="A72:A76"/>
    <mergeCell ref="C72:C76"/>
    <mergeCell ref="A60:A64"/>
    <mergeCell ref="A88:A90"/>
    <mergeCell ref="B91:B94"/>
    <mergeCell ref="A98:A102"/>
    <mergeCell ref="A84:A87"/>
    <mergeCell ref="B60:B64"/>
    <mergeCell ref="C60:C64"/>
    <mergeCell ref="C69:C71"/>
    <mergeCell ref="B98:B102"/>
    <mergeCell ref="C98:C102"/>
    <mergeCell ref="A91:A97"/>
    <mergeCell ref="A65:A71"/>
    <mergeCell ref="B65:B68"/>
    <mergeCell ref="C65:C68"/>
    <mergeCell ref="B72:B76"/>
    <mergeCell ref="B29:B31"/>
    <mergeCell ref="C29:C31"/>
    <mergeCell ref="A53:A59"/>
    <mergeCell ref="B50:B52"/>
    <mergeCell ref="C50:C52"/>
    <mergeCell ref="B39:B42"/>
    <mergeCell ref="C39:C42"/>
    <mergeCell ref="A46:A52"/>
    <mergeCell ref="B53:B56"/>
    <mergeCell ref="C53:C56"/>
    <mergeCell ref="C57:C59"/>
    <mergeCell ref="A32:A38"/>
    <mergeCell ref="C46:C49"/>
    <mergeCell ref="B46:B49"/>
    <mergeCell ref="B57:B59"/>
    <mergeCell ref="P46:P49"/>
    <mergeCell ref="P50:P52"/>
    <mergeCell ref="H85:L85"/>
    <mergeCell ref="H86:L86"/>
    <mergeCell ref="H87:L87"/>
    <mergeCell ref="D88:D90"/>
    <mergeCell ref="F88:F89"/>
    <mergeCell ref="H88:H89"/>
    <mergeCell ref="I88:L88"/>
    <mergeCell ref="P88:P90"/>
    <mergeCell ref="P84:P87"/>
    <mergeCell ref="P53:P56"/>
    <mergeCell ref="H49:L49"/>
    <mergeCell ref="H48:L48"/>
    <mergeCell ref="H47:L47"/>
    <mergeCell ref="H46:L46"/>
    <mergeCell ref="D57:D59"/>
    <mergeCell ref="I57:L57"/>
    <mergeCell ref="P57:P59"/>
    <mergeCell ref="H80:L80"/>
    <mergeCell ref="P60:P64"/>
    <mergeCell ref="P69:P71"/>
    <mergeCell ref="F57:F58"/>
    <mergeCell ref="H60:L60"/>
    <mergeCell ref="P39:P42"/>
    <mergeCell ref="A39:A45"/>
    <mergeCell ref="B43:B45"/>
    <mergeCell ref="C43:C45"/>
    <mergeCell ref="B6:B10"/>
    <mergeCell ref="C6:C10"/>
    <mergeCell ref="P6:P10"/>
    <mergeCell ref="P43:P45"/>
    <mergeCell ref="F29:F30"/>
    <mergeCell ref="H29:H30"/>
    <mergeCell ref="I29:L29"/>
    <mergeCell ref="P29:P31"/>
    <mergeCell ref="P18:P23"/>
    <mergeCell ref="H9:L9"/>
    <mergeCell ref="A18:A23"/>
    <mergeCell ref="B18:B23"/>
    <mergeCell ref="H7:L7"/>
    <mergeCell ref="H6:L6"/>
    <mergeCell ref="P11:P14"/>
    <mergeCell ref="B15:B17"/>
    <mergeCell ref="H8:L8"/>
    <mergeCell ref="P24:P28"/>
    <mergeCell ref="H26:L26"/>
    <mergeCell ref="D29:D31"/>
    <mergeCell ref="P32:P35"/>
    <mergeCell ref="P1:P3"/>
    <mergeCell ref="A1:A3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H15:H16"/>
    <mergeCell ref="I15:L15"/>
    <mergeCell ref="H23:L23"/>
    <mergeCell ref="H22:L22"/>
    <mergeCell ref="H21:L21"/>
    <mergeCell ref="H20:L20"/>
    <mergeCell ref="H19:L19"/>
    <mergeCell ref="H18:L18"/>
    <mergeCell ref="B24:B28"/>
    <mergeCell ref="A24:A31"/>
    <mergeCell ref="C24:C28"/>
    <mergeCell ref="P15:P17"/>
    <mergeCell ref="A11:A17"/>
    <mergeCell ref="H39:L39"/>
    <mergeCell ref="P36:P38"/>
    <mergeCell ref="H55:L55"/>
    <mergeCell ref="H54:L54"/>
    <mergeCell ref="H53:L53"/>
    <mergeCell ref="E1:E3"/>
    <mergeCell ref="A6:A10"/>
    <mergeCell ref="B11:B14"/>
    <mergeCell ref="C11:C14"/>
    <mergeCell ref="B36:B38"/>
    <mergeCell ref="C36:C38"/>
    <mergeCell ref="D36:D38"/>
    <mergeCell ref="F36:F37"/>
    <mergeCell ref="H35:L35"/>
    <mergeCell ref="H34:L34"/>
    <mergeCell ref="H33:L33"/>
    <mergeCell ref="H32:L32"/>
    <mergeCell ref="H28:L28"/>
    <mergeCell ref="H27:L27"/>
    <mergeCell ref="H24:L24"/>
    <mergeCell ref="H36:H37"/>
    <mergeCell ref="I36:L36"/>
    <mergeCell ref="H3:L3"/>
    <mergeCell ref="H4:L4"/>
    <mergeCell ref="H14:L14"/>
    <mergeCell ref="H13:L13"/>
    <mergeCell ref="H12:L12"/>
    <mergeCell ref="H11:L11"/>
    <mergeCell ref="H10:L10"/>
    <mergeCell ref="H42:L42"/>
    <mergeCell ref="H40:L40"/>
    <mergeCell ref="H25:L25"/>
    <mergeCell ref="B186:D186"/>
    <mergeCell ref="B182:D182"/>
    <mergeCell ref="B183:D183"/>
    <mergeCell ref="A173:D173"/>
    <mergeCell ref="A172:D172"/>
    <mergeCell ref="A170:D170"/>
    <mergeCell ref="A171:D171"/>
    <mergeCell ref="H98:L98"/>
    <mergeCell ref="H106:L106"/>
    <mergeCell ref="H105:L105"/>
    <mergeCell ref="H104:L104"/>
    <mergeCell ref="H103:L103"/>
    <mergeCell ref="B143:B145"/>
    <mergeCell ref="C143:C145"/>
    <mergeCell ref="D143:D145"/>
    <mergeCell ref="F143:F144"/>
    <mergeCell ref="H143:H144"/>
    <mergeCell ref="I143:L143"/>
    <mergeCell ref="H138:L138"/>
    <mergeCell ref="H137:L137"/>
    <mergeCell ref="A158:A162"/>
    <mergeCell ref="B185:D185"/>
    <mergeCell ref="F167:F168"/>
    <mergeCell ref="H167:H168"/>
    <mergeCell ref="H186:L186"/>
    <mergeCell ref="H185:L185"/>
    <mergeCell ref="H184:L184"/>
    <mergeCell ref="H183:L183"/>
    <mergeCell ref="H182:L182"/>
    <mergeCell ref="H175:L175"/>
    <mergeCell ref="H174:L174"/>
    <mergeCell ref="H173:L173"/>
    <mergeCell ref="H172:L172"/>
    <mergeCell ref="H178:L178"/>
    <mergeCell ref="H181:L181"/>
    <mergeCell ref="H180:L180"/>
    <mergeCell ref="H179:L179"/>
    <mergeCell ref="A175:D175"/>
    <mergeCell ref="B181:D181"/>
    <mergeCell ref="B178:D178"/>
    <mergeCell ref="B179:D179"/>
    <mergeCell ref="B180:D180"/>
    <mergeCell ref="B184:D184"/>
    <mergeCell ref="A174:D174"/>
    <mergeCell ref="P131:P133"/>
    <mergeCell ref="B155:B157"/>
    <mergeCell ref="C155:C157"/>
    <mergeCell ref="D155:D157"/>
    <mergeCell ref="F155:F156"/>
    <mergeCell ref="H155:H156"/>
    <mergeCell ref="I155:L155"/>
    <mergeCell ref="P155:P157"/>
    <mergeCell ref="P143:P145"/>
    <mergeCell ref="H139:L139"/>
    <mergeCell ref="P146:P150"/>
    <mergeCell ref="H140:L140"/>
    <mergeCell ref="H136:L136"/>
    <mergeCell ref="H134:L134"/>
    <mergeCell ref="D131:D133"/>
    <mergeCell ref="F131:F132"/>
    <mergeCell ref="H131:H132"/>
    <mergeCell ref="P65:P68"/>
    <mergeCell ref="P91:P94"/>
    <mergeCell ref="D81:D83"/>
    <mergeCell ref="F81:F82"/>
    <mergeCell ref="H81:H82"/>
    <mergeCell ref="I81:L81"/>
    <mergeCell ref="P81:P83"/>
    <mergeCell ref="A77:A83"/>
    <mergeCell ref="H93:L93"/>
    <mergeCell ref="H92:L92"/>
    <mergeCell ref="H91:L91"/>
    <mergeCell ref="B84:B87"/>
    <mergeCell ref="C84:C87"/>
    <mergeCell ref="H84:L84"/>
    <mergeCell ref="P72:P76"/>
    <mergeCell ref="C88:C90"/>
    <mergeCell ref="H74:L74"/>
    <mergeCell ref="H73:L73"/>
    <mergeCell ref="H75:L75"/>
    <mergeCell ref="B69:B71"/>
    <mergeCell ref="B77:B80"/>
    <mergeCell ref="B88:B90"/>
    <mergeCell ref="H72:L72"/>
    <mergeCell ref="F69:F70"/>
    <mergeCell ref="A151:A157"/>
    <mergeCell ref="H130:L130"/>
    <mergeCell ref="H129:L129"/>
    <mergeCell ref="C122:C126"/>
    <mergeCell ref="B107:B109"/>
    <mergeCell ref="C107:C109"/>
    <mergeCell ref="D107:D109"/>
    <mergeCell ref="F107:F108"/>
    <mergeCell ref="H107:H108"/>
    <mergeCell ref="H115:L115"/>
    <mergeCell ref="H128:L128"/>
    <mergeCell ref="H127:L127"/>
    <mergeCell ref="H126:L126"/>
    <mergeCell ref="H125:L125"/>
    <mergeCell ref="H124:L124"/>
    <mergeCell ref="H122:L122"/>
    <mergeCell ref="I131:L131"/>
    <mergeCell ref="A146:A150"/>
    <mergeCell ref="B146:B150"/>
    <mergeCell ref="H117:L117"/>
    <mergeCell ref="A134:A138"/>
    <mergeCell ref="B115:B118"/>
    <mergeCell ref="C115:C118"/>
    <mergeCell ref="A122:A126"/>
  </mergeCells>
  <pageMargins left="0.19685039370078741" right="0.19685039370078741" top="0.59055118110236227" bottom="0.19685039370078741" header="0.39370078740157483" footer="0"/>
  <pageSetup paperSize="9" scale="44" firstPageNumber="17" fitToHeight="0" orientation="landscape" useFirstPageNumber="1" r:id="rId1"/>
  <headerFooter alignWithMargins="0">
    <oddHeader>&amp;C&amp;"Times New Roman,обычный"&amp;12&amp;K000000&amp;P</oddHeader>
  </headerFooter>
  <rowBreaks count="4" manualBreakCount="4">
    <brk id="31" max="15" man="1"/>
    <brk id="59" max="15" man="1"/>
    <brk id="87" max="15" man="1"/>
    <brk id="145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rgb="FFFFFF00"/>
  </sheetPr>
  <dimension ref="A1:Y83"/>
  <sheetViews>
    <sheetView tabSelected="1" view="pageBreakPreview" topLeftCell="A25" zoomScale="70" zoomScaleNormal="70" zoomScaleSheetLayoutView="70" workbookViewId="0">
      <selection activeCell="J50" sqref="J50"/>
    </sheetView>
  </sheetViews>
  <sheetFormatPr baseColWidth="10" defaultColWidth="9.1640625" defaultRowHeight="15"/>
  <cols>
    <col min="1" max="1" width="6.6640625" style="1" customWidth="1"/>
    <col min="2" max="2" width="83.5" style="1" customWidth="1"/>
    <col min="3" max="3" width="18.5" style="1" customWidth="1"/>
    <col min="4" max="4" width="31.83203125" style="1" customWidth="1"/>
    <col min="5" max="5" width="21.33203125" style="1" hidden="1" customWidth="1"/>
    <col min="6" max="6" width="22.6640625" style="190" customWidth="1"/>
    <col min="7" max="7" width="21.5" style="43" customWidth="1"/>
    <col min="8" max="12" width="8" style="1" customWidth="1"/>
    <col min="13" max="13" width="21.5" style="43" customWidth="1"/>
    <col min="14" max="15" width="21.5" style="1" customWidth="1"/>
    <col min="16" max="16" width="23.1640625" style="1" customWidth="1"/>
    <col min="17" max="17" width="31" style="1" hidden="1" customWidth="1"/>
    <col min="18" max="18" width="27.1640625" style="1" hidden="1" customWidth="1"/>
    <col min="19" max="19" width="24.5" style="1" hidden="1" customWidth="1"/>
    <col min="20" max="20" width="50.5" style="1" hidden="1" customWidth="1"/>
    <col min="21" max="21" width="12.5" style="1" bestFit="1" customWidth="1"/>
    <col min="22" max="22" width="22.1640625" style="1" customWidth="1"/>
    <col min="23" max="23" width="19" style="1" customWidth="1"/>
    <col min="24" max="24" width="20" style="1" customWidth="1"/>
    <col min="25" max="25" width="19.33203125" style="1" customWidth="1"/>
    <col min="26" max="16384" width="9.1640625" style="1"/>
  </cols>
  <sheetData>
    <row r="1" spans="1:19" ht="29.25" customHeight="1">
      <c r="A1" s="388" t="s">
        <v>0</v>
      </c>
      <c r="B1" s="388" t="s">
        <v>5</v>
      </c>
      <c r="C1" s="388" t="s">
        <v>51</v>
      </c>
      <c r="D1" s="388" t="s">
        <v>6</v>
      </c>
      <c r="E1" s="388" t="s">
        <v>56</v>
      </c>
      <c r="F1" s="387" t="s">
        <v>7</v>
      </c>
      <c r="G1" s="388" t="s">
        <v>17</v>
      </c>
      <c r="H1" s="388"/>
      <c r="I1" s="388"/>
      <c r="J1" s="388"/>
      <c r="K1" s="388"/>
      <c r="L1" s="388"/>
      <c r="M1" s="388"/>
      <c r="N1" s="388"/>
      <c r="O1" s="388"/>
      <c r="P1" s="388" t="s">
        <v>8</v>
      </c>
      <c r="Q1" s="153"/>
      <c r="R1" s="153"/>
      <c r="S1" s="153"/>
    </row>
    <row r="2" spans="1:19" ht="57" customHeight="1">
      <c r="A2" s="388"/>
      <c r="B2" s="388"/>
      <c r="C2" s="388"/>
      <c r="D2" s="388"/>
      <c r="E2" s="388"/>
      <c r="F2" s="387"/>
      <c r="G2" s="139" t="s">
        <v>46</v>
      </c>
      <c r="H2" s="304" t="s">
        <v>47</v>
      </c>
      <c r="I2" s="304"/>
      <c r="J2" s="304"/>
      <c r="K2" s="304"/>
      <c r="L2" s="304"/>
      <c r="M2" s="139" t="s">
        <v>85</v>
      </c>
      <c r="N2" s="139" t="s">
        <v>86</v>
      </c>
      <c r="O2" s="139" t="s">
        <v>87</v>
      </c>
      <c r="P2" s="388"/>
      <c r="Q2" s="153" t="s">
        <v>42</v>
      </c>
      <c r="R2" s="153" t="s">
        <v>43</v>
      </c>
      <c r="S2" s="153"/>
    </row>
    <row r="3" spans="1:19" ht="18">
      <c r="A3" s="136" t="s">
        <v>14</v>
      </c>
      <c r="B3" s="136">
        <v>2</v>
      </c>
      <c r="C3" s="136" t="s">
        <v>9</v>
      </c>
      <c r="D3" s="136" t="s">
        <v>38</v>
      </c>
      <c r="E3" s="136" t="s">
        <v>10</v>
      </c>
      <c r="F3" s="172" t="s">
        <v>10</v>
      </c>
      <c r="G3" s="136" t="s">
        <v>36</v>
      </c>
      <c r="H3" s="305" t="s">
        <v>11</v>
      </c>
      <c r="I3" s="305"/>
      <c r="J3" s="305"/>
      <c r="K3" s="305"/>
      <c r="L3" s="305"/>
      <c r="M3" s="136" t="s">
        <v>37</v>
      </c>
      <c r="N3" s="136" t="s">
        <v>12</v>
      </c>
      <c r="O3" s="136" t="s">
        <v>13</v>
      </c>
      <c r="P3" s="136" t="s">
        <v>15</v>
      </c>
      <c r="Q3" s="31"/>
      <c r="R3" s="31"/>
      <c r="S3" s="31"/>
    </row>
    <row r="4" spans="1:19" ht="34.5" customHeight="1">
      <c r="A4" s="244" t="s">
        <v>167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111"/>
      <c r="R4" s="111"/>
      <c r="S4" s="111"/>
    </row>
    <row r="5" spans="1:19" s="9" customFormat="1" ht="19">
      <c r="A5" s="313" t="s">
        <v>14</v>
      </c>
      <c r="B5" s="389" t="s">
        <v>78</v>
      </c>
      <c r="C5" s="389" t="s">
        <v>89</v>
      </c>
      <c r="D5" s="192" t="s">
        <v>2</v>
      </c>
      <c r="E5" s="193">
        <f>E8</f>
        <v>181275.1586</v>
      </c>
      <c r="F5" s="197">
        <f>SUM(G5:O5)</f>
        <v>2037575.5637500002</v>
      </c>
      <c r="G5" s="193">
        <f t="shared" ref="G5" si="0">G6+G7+G8+G9</f>
        <v>407683.76996000001</v>
      </c>
      <c r="H5" s="386">
        <f>H6+H7+H8+H9</f>
        <v>418413.78203</v>
      </c>
      <c r="I5" s="386"/>
      <c r="J5" s="386"/>
      <c r="K5" s="386"/>
      <c r="L5" s="386"/>
      <c r="M5" s="193">
        <f t="shared" ref="M5:O5" si="1">M6+M7+M8+M9</f>
        <v>403826.00391999999</v>
      </c>
      <c r="N5" s="193">
        <f t="shared" si="1"/>
        <v>403826.00391999999</v>
      </c>
      <c r="O5" s="193">
        <f t="shared" si="1"/>
        <v>403826.00391999999</v>
      </c>
      <c r="P5" s="260"/>
      <c r="Q5" s="111"/>
      <c r="R5" s="111"/>
      <c r="S5" s="111"/>
    </row>
    <row r="6" spans="1:19" s="9" customFormat="1" ht="34.5" customHeight="1">
      <c r="A6" s="313"/>
      <c r="B6" s="389"/>
      <c r="C6" s="389"/>
      <c r="D6" s="192" t="s">
        <v>41</v>
      </c>
      <c r="E6" s="193"/>
      <c r="F6" s="197">
        <f t="shared" ref="F6:F11" si="2">SUM(G6:O6)</f>
        <v>0</v>
      </c>
      <c r="G6" s="164">
        <f t="shared" ref="G6" si="3">G11+G18+G26</f>
        <v>0</v>
      </c>
      <c r="H6" s="268">
        <f>H11+H18+H26</f>
        <v>0</v>
      </c>
      <c r="I6" s="268"/>
      <c r="J6" s="268"/>
      <c r="K6" s="268"/>
      <c r="L6" s="268"/>
      <c r="M6" s="164">
        <f t="shared" ref="M6:O6" si="4">M11+M18+M26</f>
        <v>0</v>
      </c>
      <c r="N6" s="164">
        <f t="shared" si="4"/>
        <v>0</v>
      </c>
      <c r="O6" s="164">
        <f t="shared" si="4"/>
        <v>0</v>
      </c>
      <c r="P6" s="260"/>
      <c r="Q6" s="111"/>
      <c r="R6" s="111"/>
      <c r="S6" s="111"/>
    </row>
    <row r="7" spans="1:19" s="9" customFormat="1" ht="34.5" customHeight="1">
      <c r="A7" s="313"/>
      <c r="B7" s="389"/>
      <c r="C7" s="389"/>
      <c r="D7" s="192" t="s">
        <v>1</v>
      </c>
      <c r="E7" s="193"/>
      <c r="F7" s="197">
        <f t="shared" si="2"/>
        <v>141.46065999999999</v>
      </c>
      <c r="G7" s="164">
        <f t="shared" ref="G7" si="5">G12+G19+G27</f>
        <v>141.46065999999999</v>
      </c>
      <c r="H7" s="268">
        <f>H12+H19+H27</f>
        <v>0</v>
      </c>
      <c r="I7" s="268"/>
      <c r="J7" s="268"/>
      <c r="K7" s="268"/>
      <c r="L7" s="268"/>
      <c r="M7" s="164">
        <f t="shared" ref="M7:O7" si="6">M12+M19+M27</f>
        <v>0</v>
      </c>
      <c r="N7" s="164">
        <f t="shared" si="6"/>
        <v>0</v>
      </c>
      <c r="O7" s="164">
        <f t="shared" si="6"/>
        <v>0</v>
      </c>
      <c r="P7" s="260"/>
      <c r="Q7" s="111"/>
      <c r="R7" s="111"/>
      <c r="S7" s="111"/>
    </row>
    <row r="8" spans="1:19" s="9" customFormat="1" ht="57">
      <c r="A8" s="313"/>
      <c r="B8" s="389"/>
      <c r="C8" s="389"/>
      <c r="D8" s="192" t="s">
        <v>49</v>
      </c>
      <c r="E8" s="194">
        <f>E13+E20+E28</f>
        <v>181275.1586</v>
      </c>
      <c r="F8" s="197">
        <f>SUM(G8:O8)</f>
        <v>1222012.8359100001</v>
      </c>
      <c r="G8" s="194">
        <f t="shared" ref="G8" si="7">G13+G20+G28</f>
        <v>236926.81779999999</v>
      </c>
      <c r="H8" s="385">
        <f>H13+H20+H28</f>
        <v>257212.33811000001</v>
      </c>
      <c r="I8" s="385"/>
      <c r="J8" s="385"/>
      <c r="K8" s="385"/>
      <c r="L8" s="385"/>
      <c r="M8" s="194">
        <f t="shared" ref="M8:O8" si="8">M13+M20+M28</f>
        <v>242624.56</v>
      </c>
      <c r="N8" s="194">
        <f t="shared" si="8"/>
        <v>242624.56</v>
      </c>
      <c r="O8" s="194">
        <f t="shared" si="8"/>
        <v>242624.56</v>
      </c>
      <c r="P8" s="260"/>
      <c r="Q8" s="34"/>
      <c r="R8" s="34"/>
      <c r="S8" s="34"/>
    </row>
    <row r="9" spans="1:19" s="9" customFormat="1" ht="19">
      <c r="A9" s="313"/>
      <c r="B9" s="389"/>
      <c r="C9" s="389"/>
      <c r="D9" s="192" t="s">
        <v>90</v>
      </c>
      <c r="E9" s="194"/>
      <c r="F9" s="197">
        <f>SUM(G9:O9)</f>
        <v>815421.26717999997</v>
      </c>
      <c r="G9" s="194">
        <f t="shared" ref="G9" si="9">G14+G21+G29</f>
        <v>170615.4915</v>
      </c>
      <c r="H9" s="385">
        <f>H14+H21+H29</f>
        <v>161201.44391999999</v>
      </c>
      <c r="I9" s="385"/>
      <c r="J9" s="385"/>
      <c r="K9" s="385"/>
      <c r="L9" s="385"/>
      <c r="M9" s="194">
        <f t="shared" ref="M9:O9" si="10">M14+M21+M29</f>
        <v>161201.44391999999</v>
      </c>
      <c r="N9" s="194">
        <f t="shared" si="10"/>
        <v>161201.44391999999</v>
      </c>
      <c r="O9" s="194">
        <f t="shared" si="10"/>
        <v>161201.44391999999</v>
      </c>
      <c r="P9" s="260"/>
      <c r="Q9" s="34"/>
      <c r="R9" s="34"/>
      <c r="S9" s="34"/>
    </row>
    <row r="10" spans="1:19" s="9" customFormat="1" ht="76">
      <c r="A10" s="313"/>
      <c r="B10" s="389"/>
      <c r="C10" s="389"/>
      <c r="D10" s="192" t="s">
        <v>91</v>
      </c>
      <c r="E10" s="194"/>
      <c r="F10" s="197">
        <f>SUM(G10:O10)</f>
        <v>815421.26717999997</v>
      </c>
      <c r="G10" s="194">
        <f t="shared" ref="G10" si="11">G22</f>
        <v>170615.4915</v>
      </c>
      <c r="H10" s="385">
        <f>H22</f>
        <v>161201.44391999999</v>
      </c>
      <c r="I10" s="385"/>
      <c r="J10" s="385"/>
      <c r="K10" s="385"/>
      <c r="L10" s="385"/>
      <c r="M10" s="194">
        <f t="shared" ref="M10:O10" si="12">M22</f>
        <v>161201.44391999999</v>
      </c>
      <c r="N10" s="194">
        <f t="shared" si="12"/>
        <v>161201.44391999999</v>
      </c>
      <c r="O10" s="194">
        <f t="shared" si="12"/>
        <v>161201.44391999999</v>
      </c>
      <c r="P10" s="260"/>
      <c r="Q10" s="34"/>
      <c r="R10" s="34"/>
      <c r="S10" s="34"/>
    </row>
    <row r="11" spans="1:19" s="9" customFormat="1" ht="37.5" customHeight="1">
      <c r="A11" s="394" t="s">
        <v>27</v>
      </c>
      <c r="B11" s="240" t="s">
        <v>168</v>
      </c>
      <c r="C11" s="244" t="s">
        <v>89</v>
      </c>
      <c r="D11" s="110" t="s">
        <v>41</v>
      </c>
      <c r="E11" s="112"/>
      <c r="F11" s="197">
        <f t="shared" si="2"/>
        <v>0</v>
      </c>
      <c r="G11" s="130">
        <v>0</v>
      </c>
      <c r="H11" s="264">
        <v>0</v>
      </c>
      <c r="I11" s="264"/>
      <c r="J11" s="264"/>
      <c r="K11" s="264"/>
      <c r="L11" s="264"/>
      <c r="M11" s="130">
        <v>0</v>
      </c>
      <c r="N11" s="130">
        <v>0</v>
      </c>
      <c r="O11" s="130">
        <v>0</v>
      </c>
      <c r="P11" s="263" t="s">
        <v>3</v>
      </c>
      <c r="Q11" s="34"/>
      <c r="R11" s="34"/>
      <c r="S11" s="34"/>
    </row>
    <row r="12" spans="1:19" ht="37.5" customHeight="1">
      <c r="A12" s="394"/>
      <c r="B12" s="240"/>
      <c r="C12" s="244"/>
      <c r="D12" s="140" t="s">
        <v>1</v>
      </c>
      <c r="E12" s="78"/>
      <c r="F12" s="197">
        <f t="shared" ref="F12:F14" si="13">SUM(G12:O12)</f>
        <v>141.46065999999999</v>
      </c>
      <c r="G12" s="130">
        <v>141.46065999999999</v>
      </c>
      <c r="H12" s="264">
        <v>0</v>
      </c>
      <c r="I12" s="264"/>
      <c r="J12" s="264"/>
      <c r="K12" s="264"/>
      <c r="L12" s="264"/>
      <c r="M12" s="130">
        <v>0</v>
      </c>
      <c r="N12" s="130">
        <v>0</v>
      </c>
      <c r="O12" s="130">
        <v>0</v>
      </c>
      <c r="P12" s="263"/>
      <c r="Q12" s="34"/>
      <c r="R12" s="34"/>
      <c r="S12" s="34"/>
    </row>
    <row r="13" spans="1:19" ht="60.75" customHeight="1">
      <c r="A13" s="394"/>
      <c r="B13" s="240"/>
      <c r="C13" s="244"/>
      <c r="D13" s="138" t="s">
        <v>49</v>
      </c>
      <c r="E13" s="130">
        <v>97858.007519999999</v>
      </c>
      <c r="F13" s="197">
        <f t="shared" si="13"/>
        <v>581398.90938999993</v>
      </c>
      <c r="G13" s="130">
        <v>116139.13128</v>
      </c>
      <c r="H13" s="329">
        <f>116418-1378+1164.988-199.20989</f>
        <v>116005.77811</v>
      </c>
      <c r="I13" s="329"/>
      <c r="J13" s="329"/>
      <c r="K13" s="329"/>
      <c r="L13" s="329"/>
      <c r="M13" s="130">
        <v>116418</v>
      </c>
      <c r="N13" s="130">
        <v>116418</v>
      </c>
      <c r="O13" s="130">
        <v>116418</v>
      </c>
      <c r="P13" s="263"/>
      <c r="Q13" s="58" t="e">
        <f>('[1]Лист 1'!$F$476+'[1]Лист 1'!$F$477)/1000</f>
        <v>#REF!</v>
      </c>
      <c r="R13" s="154">
        <v>16611.023000000001</v>
      </c>
      <c r="S13" s="36" t="e">
        <f>Q13-R13</f>
        <v>#REF!</v>
      </c>
    </row>
    <row r="14" spans="1:19" ht="19">
      <c r="A14" s="394"/>
      <c r="B14" s="240"/>
      <c r="C14" s="244"/>
      <c r="D14" s="138" t="s">
        <v>90</v>
      </c>
      <c r="E14" s="130"/>
      <c r="F14" s="197">
        <f t="shared" si="13"/>
        <v>0</v>
      </c>
      <c r="G14" s="130">
        <v>0</v>
      </c>
      <c r="H14" s="264">
        <v>0</v>
      </c>
      <c r="I14" s="264"/>
      <c r="J14" s="264"/>
      <c r="K14" s="264"/>
      <c r="L14" s="264"/>
      <c r="M14" s="130">
        <v>0</v>
      </c>
      <c r="N14" s="130">
        <v>0</v>
      </c>
      <c r="O14" s="130">
        <v>0</v>
      </c>
      <c r="P14" s="263"/>
      <c r="Q14" s="58"/>
      <c r="R14" s="155"/>
      <c r="S14" s="36"/>
    </row>
    <row r="15" spans="1:19" s="43" customFormat="1" ht="21" customHeight="1">
      <c r="A15" s="394"/>
      <c r="B15" s="237" t="s">
        <v>218</v>
      </c>
      <c r="C15" s="234" t="s">
        <v>129</v>
      </c>
      <c r="D15" s="234" t="s">
        <v>129</v>
      </c>
      <c r="E15" s="145"/>
      <c r="F15" s="248" t="s">
        <v>130</v>
      </c>
      <c r="G15" s="146" t="s">
        <v>287</v>
      </c>
      <c r="H15" s="246" t="s">
        <v>288</v>
      </c>
      <c r="I15" s="247" t="s">
        <v>131</v>
      </c>
      <c r="J15" s="247"/>
      <c r="K15" s="247"/>
      <c r="L15" s="247"/>
      <c r="M15" s="146" t="s">
        <v>136</v>
      </c>
      <c r="N15" s="146" t="s">
        <v>137</v>
      </c>
      <c r="O15" s="146" t="s">
        <v>138</v>
      </c>
      <c r="P15" s="257" t="s">
        <v>129</v>
      </c>
      <c r="Q15" s="109"/>
      <c r="R15" s="9"/>
      <c r="S15" s="9"/>
    </row>
    <row r="16" spans="1:19" s="43" customFormat="1" ht="25.5" customHeight="1">
      <c r="A16" s="394"/>
      <c r="B16" s="237"/>
      <c r="C16" s="234"/>
      <c r="D16" s="234"/>
      <c r="E16" s="145"/>
      <c r="F16" s="248"/>
      <c r="G16" s="145"/>
      <c r="H16" s="246"/>
      <c r="I16" s="145" t="s">
        <v>132</v>
      </c>
      <c r="J16" s="145" t="s">
        <v>133</v>
      </c>
      <c r="K16" s="145" t="s">
        <v>134</v>
      </c>
      <c r="L16" s="145" t="s">
        <v>135</v>
      </c>
      <c r="M16" s="145"/>
      <c r="N16" s="145"/>
      <c r="O16" s="145"/>
      <c r="P16" s="257"/>
      <c r="Q16" s="109"/>
      <c r="R16" s="9"/>
      <c r="S16" s="9"/>
    </row>
    <row r="17" spans="1:21" s="43" customFormat="1" ht="28.5" customHeight="1">
      <c r="A17" s="394"/>
      <c r="B17" s="237"/>
      <c r="C17" s="234"/>
      <c r="D17" s="234"/>
      <c r="E17" s="145"/>
      <c r="F17" s="174">
        <v>100</v>
      </c>
      <c r="G17" s="147">
        <v>100</v>
      </c>
      <c r="H17" s="147">
        <v>100</v>
      </c>
      <c r="I17" s="147">
        <v>100</v>
      </c>
      <c r="J17" s="147">
        <v>100</v>
      </c>
      <c r="K17" s="147">
        <v>100</v>
      </c>
      <c r="L17" s="147">
        <v>100</v>
      </c>
      <c r="M17" s="147">
        <v>100</v>
      </c>
      <c r="N17" s="147">
        <v>100</v>
      </c>
      <c r="O17" s="147">
        <v>100</v>
      </c>
      <c r="P17" s="257"/>
      <c r="Q17" s="109"/>
      <c r="R17" s="9"/>
      <c r="S17" s="9"/>
    </row>
    <row r="18" spans="1:21" ht="37.5" customHeight="1">
      <c r="A18" s="394" t="s">
        <v>28</v>
      </c>
      <c r="B18" s="240" t="s">
        <v>250</v>
      </c>
      <c r="C18" s="244" t="s">
        <v>89</v>
      </c>
      <c r="D18" s="138" t="s">
        <v>41</v>
      </c>
      <c r="E18" s="130"/>
      <c r="F18" s="197">
        <f>SUM(G18:O18)</f>
        <v>0</v>
      </c>
      <c r="G18" s="130">
        <v>0</v>
      </c>
      <c r="H18" s="264">
        <v>0</v>
      </c>
      <c r="I18" s="264"/>
      <c r="J18" s="264"/>
      <c r="K18" s="264"/>
      <c r="L18" s="264"/>
      <c r="M18" s="130">
        <v>0</v>
      </c>
      <c r="N18" s="130">
        <v>0</v>
      </c>
      <c r="O18" s="130">
        <v>0</v>
      </c>
      <c r="P18" s="263" t="s">
        <v>84</v>
      </c>
      <c r="Q18" s="58"/>
      <c r="R18" s="155"/>
      <c r="S18" s="36"/>
    </row>
    <row r="19" spans="1:21" ht="38">
      <c r="A19" s="394"/>
      <c r="B19" s="240"/>
      <c r="C19" s="244"/>
      <c r="D19" s="138" t="s">
        <v>1</v>
      </c>
      <c r="E19" s="130"/>
      <c r="F19" s="197">
        <f t="shared" ref="F19:F22" si="14">SUM(G19:O19)</f>
        <v>0</v>
      </c>
      <c r="G19" s="130">
        <v>0</v>
      </c>
      <c r="H19" s="264">
        <v>0</v>
      </c>
      <c r="I19" s="264"/>
      <c r="J19" s="264"/>
      <c r="K19" s="264"/>
      <c r="L19" s="264"/>
      <c r="M19" s="130">
        <v>0</v>
      </c>
      <c r="N19" s="130">
        <v>0</v>
      </c>
      <c r="O19" s="130">
        <v>0</v>
      </c>
      <c r="P19" s="263"/>
      <c r="Q19" s="58"/>
      <c r="R19" s="155"/>
      <c r="S19" s="36"/>
    </row>
    <row r="20" spans="1:21" ht="56.25" customHeight="1">
      <c r="A20" s="394"/>
      <c r="B20" s="240"/>
      <c r="C20" s="244"/>
      <c r="D20" s="138" t="s">
        <v>49</v>
      </c>
      <c r="E20" s="130">
        <v>39046.151080000003</v>
      </c>
      <c r="F20" s="197">
        <f t="shared" si="14"/>
        <v>587646.43452000001</v>
      </c>
      <c r="G20" s="130">
        <v>110760.19452</v>
      </c>
      <c r="H20" s="264">
        <v>130471.56</v>
      </c>
      <c r="I20" s="264"/>
      <c r="J20" s="264"/>
      <c r="K20" s="264"/>
      <c r="L20" s="264"/>
      <c r="M20" s="130">
        <f>115141+330.56</f>
        <v>115471.56</v>
      </c>
      <c r="N20" s="130">
        <f t="shared" ref="N20:O20" si="15">115141+330.56</f>
        <v>115471.56</v>
      </c>
      <c r="O20" s="130">
        <f t="shared" si="15"/>
        <v>115471.56</v>
      </c>
      <c r="P20" s="263"/>
      <c r="Q20" s="58" t="e">
        <f>'[1]Лист 1'!$F$478/1000</f>
        <v>#REF!</v>
      </c>
      <c r="R20" s="155">
        <v>0.27</v>
      </c>
      <c r="S20" s="36" t="e">
        <f>Q20-R20</f>
        <v>#REF!</v>
      </c>
    </row>
    <row r="21" spans="1:21" ht="19">
      <c r="A21" s="394"/>
      <c r="B21" s="240"/>
      <c r="C21" s="244"/>
      <c r="D21" s="138" t="s">
        <v>90</v>
      </c>
      <c r="E21" s="130"/>
      <c r="F21" s="197">
        <f t="shared" si="14"/>
        <v>815421.26717999997</v>
      </c>
      <c r="G21" s="130">
        <f>G22</f>
        <v>170615.4915</v>
      </c>
      <c r="H21" s="398">
        <f>H22</f>
        <v>161201.44391999999</v>
      </c>
      <c r="I21" s="398"/>
      <c r="J21" s="398"/>
      <c r="K21" s="398"/>
      <c r="L21" s="398"/>
      <c r="M21" s="230">
        <f t="shared" ref="M21:O21" si="16">M22</f>
        <v>161201.44391999999</v>
      </c>
      <c r="N21" s="230">
        <f t="shared" si="16"/>
        <v>161201.44391999999</v>
      </c>
      <c r="O21" s="230">
        <f t="shared" si="16"/>
        <v>161201.44391999999</v>
      </c>
      <c r="P21" s="263"/>
      <c r="Q21" s="58"/>
      <c r="R21" s="155"/>
      <c r="S21" s="36"/>
    </row>
    <row r="22" spans="1:21" ht="76">
      <c r="A22" s="394"/>
      <c r="B22" s="240"/>
      <c r="C22" s="244"/>
      <c r="D22" s="138" t="s">
        <v>91</v>
      </c>
      <c r="E22" s="130"/>
      <c r="F22" s="197">
        <f t="shared" si="14"/>
        <v>815421.26717999997</v>
      </c>
      <c r="G22" s="78">
        <v>170615.4915</v>
      </c>
      <c r="H22" s="395">
        <v>161201.44391999999</v>
      </c>
      <c r="I22" s="395"/>
      <c r="J22" s="395"/>
      <c r="K22" s="395"/>
      <c r="L22" s="395"/>
      <c r="M22" s="231">
        <f>H22</f>
        <v>161201.44391999999</v>
      </c>
      <c r="N22" s="231">
        <f>M22</f>
        <v>161201.44391999999</v>
      </c>
      <c r="O22" s="231">
        <f>N22</f>
        <v>161201.44391999999</v>
      </c>
      <c r="P22" s="263"/>
      <c r="Q22" s="58"/>
      <c r="R22" s="155"/>
      <c r="S22" s="36"/>
    </row>
    <row r="23" spans="1:21" s="43" customFormat="1" ht="22.5" customHeight="1">
      <c r="A23" s="394"/>
      <c r="B23" s="237" t="s">
        <v>226</v>
      </c>
      <c r="C23" s="234" t="s">
        <v>129</v>
      </c>
      <c r="D23" s="234" t="s">
        <v>129</v>
      </c>
      <c r="E23" s="145"/>
      <c r="F23" s="248" t="s">
        <v>130</v>
      </c>
      <c r="G23" s="146" t="s">
        <v>287</v>
      </c>
      <c r="H23" s="246" t="s">
        <v>288</v>
      </c>
      <c r="I23" s="247" t="s">
        <v>131</v>
      </c>
      <c r="J23" s="247"/>
      <c r="K23" s="247"/>
      <c r="L23" s="247"/>
      <c r="M23" s="146" t="s">
        <v>136</v>
      </c>
      <c r="N23" s="146" t="s">
        <v>137</v>
      </c>
      <c r="O23" s="146" t="s">
        <v>138</v>
      </c>
      <c r="P23" s="257" t="s">
        <v>129</v>
      </c>
      <c r="Q23" s="109"/>
      <c r="R23" s="9"/>
      <c r="S23" s="9"/>
    </row>
    <row r="24" spans="1:21" s="43" customFormat="1" ht="20.25" customHeight="1">
      <c r="A24" s="394"/>
      <c r="B24" s="237"/>
      <c r="C24" s="234"/>
      <c r="D24" s="234"/>
      <c r="E24" s="145"/>
      <c r="F24" s="248"/>
      <c r="G24" s="145"/>
      <c r="H24" s="246"/>
      <c r="I24" s="145" t="s">
        <v>132</v>
      </c>
      <c r="J24" s="145" t="s">
        <v>133</v>
      </c>
      <c r="K24" s="145" t="s">
        <v>134</v>
      </c>
      <c r="L24" s="145" t="s">
        <v>135</v>
      </c>
      <c r="M24" s="145"/>
      <c r="N24" s="145"/>
      <c r="O24" s="145"/>
      <c r="P24" s="257"/>
      <c r="Q24" s="109"/>
      <c r="R24" s="9"/>
      <c r="S24" s="9"/>
    </row>
    <row r="25" spans="1:21" s="43" customFormat="1" ht="27" customHeight="1">
      <c r="A25" s="394"/>
      <c r="B25" s="237"/>
      <c r="C25" s="234"/>
      <c r="D25" s="234"/>
      <c r="E25" s="145"/>
      <c r="F25" s="174">
        <v>3</v>
      </c>
      <c r="G25" s="147">
        <v>3</v>
      </c>
      <c r="H25" s="147">
        <v>3</v>
      </c>
      <c r="I25" s="147">
        <v>3</v>
      </c>
      <c r="J25" s="147">
        <v>3</v>
      </c>
      <c r="K25" s="147">
        <v>3</v>
      </c>
      <c r="L25" s="147">
        <v>3</v>
      </c>
      <c r="M25" s="147">
        <v>3</v>
      </c>
      <c r="N25" s="147">
        <v>3</v>
      </c>
      <c r="O25" s="147">
        <v>3</v>
      </c>
      <c r="P25" s="257"/>
      <c r="Q25" s="109"/>
      <c r="R25" s="9"/>
      <c r="S25" s="9"/>
    </row>
    <row r="26" spans="1:21" ht="37.5" customHeight="1">
      <c r="A26" s="394" t="s">
        <v>29</v>
      </c>
      <c r="B26" s="240" t="s">
        <v>169</v>
      </c>
      <c r="C26" s="244" t="s">
        <v>89</v>
      </c>
      <c r="D26" s="138" t="s">
        <v>41</v>
      </c>
      <c r="E26" s="130"/>
      <c r="F26" s="197">
        <f>SUM(G26:O26)</f>
        <v>0</v>
      </c>
      <c r="G26" s="130">
        <v>0</v>
      </c>
      <c r="H26" s="264">
        <v>0</v>
      </c>
      <c r="I26" s="264"/>
      <c r="J26" s="264"/>
      <c r="K26" s="264"/>
      <c r="L26" s="264"/>
      <c r="M26" s="130">
        <v>0</v>
      </c>
      <c r="N26" s="130">
        <v>0</v>
      </c>
      <c r="O26" s="130">
        <v>0</v>
      </c>
      <c r="P26" s="263" t="s">
        <v>39</v>
      </c>
      <c r="Q26" s="58"/>
      <c r="R26" s="155"/>
      <c r="S26" s="36"/>
    </row>
    <row r="27" spans="1:21" ht="38">
      <c r="A27" s="394"/>
      <c r="B27" s="240"/>
      <c r="C27" s="244"/>
      <c r="D27" s="138" t="s">
        <v>1</v>
      </c>
      <c r="E27" s="130"/>
      <c r="F27" s="197">
        <f t="shared" ref="F27:F29" si="17">SUM(G27:O27)</f>
        <v>0</v>
      </c>
      <c r="G27" s="130">
        <v>0</v>
      </c>
      <c r="H27" s="264">
        <v>0</v>
      </c>
      <c r="I27" s="264"/>
      <c r="J27" s="264"/>
      <c r="K27" s="264"/>
      <c r="L27" s="264"/>
      <c r="M27" s="130">
        <v>0</v>
      </c>
      <c r="N27" s="130">
        <v>0</v>
      </c>
      <c r="O27" s="130">
        <v>0</v>
      </c>
      <c r="P27" s="263"/>
      <c r="Q27" s="58"/>
      <c r="R27" s="155"/>
      <c r="S27" s="36"/>
    </row>
    <row r="28" spans="1:21" ht="57.75" customHeight="1">
      <c r="A28" s="394"/>
      <c r="B28" s="240"/>
      <c r="C28" s="244"/>
      <c r="D28" s="138" t="s">
        <v>49</v>
      </c>
      <c r="E28" s="130">
        <v>44371</v>
      </c>
      <c r="F28" s="197">
        <f t="shared" si="17"/>
        <v>52967.491999999998</v>
      </c>
      <c r="G28" s="130">
        <v>10027.492</v>
      </c>
      <c r="H28" s="264">
        <v>10735</v>
      </c>
      <c r="I28" s="264"/>
      <c r="J28" s="264"/>
      <c r="K28" s="264"/>
      <c r="L28" s="264"/>
      <c r="M28" s="130">
        <v>10735</v>
      </c>
      <c r="N28" s="130">
        <v>10735</v>
      </c>
      <c r="O28" s="130">
        <v>10735</v>
      </c>
      <c r="P28" s="263"/>
      <c r="Q28" s="58">
        <v>0</v>
      </c>
      <c r="R28" s="155">
        <v>0</v>
      </c>
      <c r="S28" s="36">
        <f>Q28-R28</f>
        <v>0</v>
      </c>
      <c r="T28" s="5"/>
      <c r="U28" s="5"/>
    </row>
    <row r="29" spans="1:21" ht="19">
      <c r="A29" s="394"/>
      <c r="B29" s="240"/>
      <c r="C29" s="244"/>
      <c r="D29" s="138" t="s">
        <v>90</v>
      </c>
      <c r="E29" s="130"/>
      <c r="F29" s="197">
        <f t="shared" si="17"/>
        <v>0</v>
      </c>
      <c r="G29" s="130">
        <v>0</v>
      </c>
      <c r="H29" s="264">
        <v>0</v>
      </c>
      <c r="I29" s="264"/>
      <c r="J29" s="264"/>
      <c r="K29" s="264"/>
      <c r="L29" s="264"/>
      <c r="M29" s="130">
        <v>0</v>
      </c>
      <c r="N29" s="130">
        <v>0</v>
      </c>
      <c r="O29" s="130">
        <v>0</v>
      </c>
      <c r="P29" s="263"/>
      <c r="Q29" s="36"/>
      <c r="R29" s="156"/>
      <c r="S29" s="36"/>
      <c r="T29" s="5"/>
      <c r="U29" s="5"/>
    </row>
    <row r="30" spans="1:21" s="43" customFormat="1" ht="21" customHeight="1">
      <c r="A30" s="394"/>
      <c r="B30" s="237" t="s">
        <v>219</v>
      </c>
      <c r="C30" s="234" t="s">
        <v>129</v>
      </c>
      <c r="D30" s="234" t="s">
        <v>129</v>
      </c>
      <c r="E30" s="145"/>
      <c r="F30" s="248" t="s">
        <v>130</v>
      </c>
      <c r="G30" s="146" t="s">
        <v>287</v>
      </c>
      <c r="H30" s="246" t="s">
        <v>288</v>
      </c>
      <c r="I30" s="247" t="s">
        <v>131</v>
      </c>
      <c r="J30" s="247"/>
      <c r="K30" s="247"/>
      <c r="L30" s="247"/>
      <c r="M30" s="146" t="s">
        <v>136</v>
      </c>
      <c r="N30" s="146" t="s">
        <v>137</v>
      </c>
      <c r="O30" s="146" t="s">
        <v>138</v>
      </c>
      <c r="P30" s="257" t="s">
        <v>129</v>
      </c>
      <c r="Q30" s="109"/>
      <c r="R30" s="9"/>
      <c r="S30" s="9"/>
    </row>
    <row r="31" spans="1:21" s="43" customFormat="1" ht="20.25" customHeight="1">
      <c r="A31" s="394"/>
      <c r="B31" s="237"/>
      <c r="C31" s="234"/>
      <c r="D31" s="234"/>
      <c r="E31" s="145"/>
      <c r="F31" s="248"/>
      <c r="G31" s="145"/>
      <c r="H31" s="246"/>
      <c r="I31" s="145" t="s">
        <v>132</v>
      </c>
      <c r="J31" s="145" t="s">
        <v>133</v>
      </c>
      <c r="K31" s="145" t="s">
        <v>134</v>
      </c>
      <c r="L31" s="145" t="s">
        <v>135</v>
      </c>
      <c r="M31" s="145"/>
      <c r="N31" s="145"/>
      <c r="O31" s="145"/>
      <c r="P31" s="257"/>
      <c r="Q31" s="109"/>
      <c r="R31" s="9"/>
      <c r="S31" s="9"/>
    </row>
    <row r="32" spans="1:21" s="43" customFormat="1" ht="27.75" customHeight="1">
      <c r="A32" s="394"/>
      <c r="B32" s="237"/>
      <c r="C32" s="234"/>
      <c r="D32" s="234"/>
      <c r="E32" s="145"/>
      <c r="F32" s="174">
        <f>H32+G32+M32+N32+O32</f>
        <v>80</v>
      </c>
      <c r="G32" s="147">
        <v>16</v>
      </c>
      <c r="H32" s="147">
        <v>16</v>
      </c>
      <c r="I32" s="147">
        <v>6</v>
      </c>
      <c r="J32" s="147">
        <v>6</v>
      </c>
      <c r="K32" s="147">
        <v>15</v>
      </c>
      <c r="L32" s="147">
        <v>16</v>
      </c>
      <c r="M32" s="147">
        <v>16</v>
      </c>
      <c r="N32" s="147">
        <v>16</v>
      </c>
      <c r="O32" s="147">
        <v>16</v>
      </c>
      <c r="P32" s="257"/>
      <c r="Q32" s="109"/>
      <c r="R32" s="9"/>
      <c r="S32" s="9"/>
    </row>
    <row r="33" spans="1:25" s="9" customFormat="1" ht="36.75" customHeight="1">
      <c r="A33" s="283" t="s">
        <v>225</v>
      </c>
      <c r="B33" s="284"/>
      <c r="C33" s="284"/>
      <c r="D33" s="284"/>
      <c r="E33" s="170">
        <f>E36</f>
        <v>181275.1586</v>
      </c>
      <c r="F33" s="176">
        <f>SUM(G33:O33)</f>
        <v>2037575.5637500002</v>
      </c>
      <c r="G33" s="170">
        <f t="shared" ref="G33" si="18">G34+G35+G36+G37</f>
        <v>407683.76996000001</v>
      </c>
      <c r="H33" s="278">
        <f>H34+H35+H36+H37</f>
        <v>418413.78203</v>
      </c>
      <c r="I33" s="278"/>
      <c r="J33" s="278"/>
      <c r="K33" s="278"/>
      <c r="L33" s="278"/>
      <c r="M33" s="170">
        <f t="shared" ref="M33:O33" si="19">M34+M35+M36+M37</f>
        <v>403826.00391999999</v>
      </c>
      <c r="N33" s="170">
        <f t="shared" si="19"/>
        <v>403826.00391999999</v>
      </c>
      <c r="O33" s="170">
        <f t="shared" si="19"/>
        <v>403826.00391999999</v>
      </c>
      <c r="P33" s="171"/>
      <c r="Q33" s="35"/>
      <c r="R33" s="35"/>
      <c r="S33" s="35"/>
      <c r="X33" s="50"/>
      <c r="Y33" s="50"/>
    </row>
    <row r="34" spans="1:25" s="9" customFormat="1" ht="18">
      <c r="A34" s="397" t="s">
        <v>41</v>
      </c>
      <c r="B34" s="397"/>
      <c r="C34" s="397"/>
      <c r="D34" s="397"/>
      <c r="E34" s="107"/>
      <c r="F34" s="176">
        <f t="shared" ref="F34:F38" si="20">SUM(G34:O34)</f>
        <v>0</v>
      </c>
      <c r="G34" s="107">
        <f t="shared" ref="G34" si="21">G6</f>
        <v>0</v>
      </c>
      <c r="H34" s="396">
        <f>H6</f>
        <v>0</v>
      </c>
      <c r="I34" s="396"/>
      <c r="J34" s="396"/>
      <c r="K34" s="396"/>
      <c r="L34" s="396"/>
      <c r="M34" s="107">
        <f t="shared" ref="M34:O34" si="22">M6</f>
        <v>0</v>
      </c>
      <c r="N34" s="107">
        <f t="shared" si="22"/>
        <v>0</v>
      </c>
      <c r="O34" s="107">
        <f t="shared" si="22"/>
        <v>0</v>
      </c>
      <c r="P34" s="12"/>
      <c r="Q34" s="35"/>
      <c r="R34" s="35"/>
      <c r="S34" s="35"/>
      <c r="X34" s="50"/>
      <c r="Y34" s="50"/>
    </row>
    <row r="35" spans="1:25" ht="18">
      <c r="A35" s="285" t="s">
        <v>1</v>
      </c>
      <c r="B35" s="285"/>
      <c r="C35" s="285"/>
      <c r="D35" s="285"/>
      <c r="E35" s="53">
        <f>E7</f>
        <v>0</v>
      </c>
      <c r="F35" s="176">
        <f t="shared" si="20"/>
        <v>141.46065999999999</v>
      </c>
      <c r="G35" s="53">
        <f t="shared" ref="G35" si="23">G7</f>
        <v>141.46065999999999</v>
      </c>
      <c r="H35" s="250">
        <f>H7</f>
        <v>0</v>
      </c>
      <c r="I35" s="250"/>
      <c r="J35" s="250"/>
      <c r="K35" s="250"/>
      <c r="L35" s="250"/>
      <c r="M35" s="53">
        <f t="shared" ref="M35:O35" si="24">M7</f>
        <v>0</v>
      </c>
      <c r="N35" s="53">
        <f t="shared" si="24"/>
        <v>0</v>
      </c>
      <c r="O35" s="53">
        <f t="shared" si="24"/>
        <v>0</v>
      </c>
      <c r="P35" s="12"/>
      <c r="Q35" s="35"/>
      <c r="R35" s="35"/>
      <c r="S35" s="35"/>
      <c r="X35" s="51"/>
      <c r="Y35" s="51"/>
    </row>
    <row r="36" spans="1:25" ht="18">
      <c r="A36" s="285" t="s">
        <v>49</v>
      </c>
      <c r="B36" s="285"/>
      <c r="C36" s="285"/>
      <c r="D36" s="285"/>
      <c r="E36" s="53">
        <f>E8</f>
        <v>181275.1586</v>
      </c>
      <c r="F36" s="176">
        <f t="shared" si="20"/>
        <v>1222012.8359100001</v>
      </c>
      <c r="G36" s="53">
        <f t="shared" ref="G36" si="25">G8</f>
        <v>236926.81779999999</v>
      </c>
      <c r="H36" s="250">
        <f>H8</f>
        <v>257212.33811000001</v>
      </c>
      <c r="I36" s="250"/>
      <c r="J36" s="250"/>
      <c r="K36" s="250"/>
      <c r="L36" s="250"/>
      <c r="M36" s="53">
        <f t="shared" ref="M36:O36" si="26">M8</f>
        <v>242624.56</v>
      </c>
      <c r="N36" s="53">
        <f t="shared" si="26"/>
        <v>242624.56</v>
      </c>
      <c r="O36" s="53">
        <f t="shared" si="26"/>
        <v>242624.56</v>
      </c>
      <c r="P36" s="12"/>
      <c r="Q36" s="35"/>
      <c r="R36" s="35"/>
      <c r="S36" s="35"/>
      <c r="X36" s="51"/>
      <c r="Y36" s="51"/>
    </row>
    <row r="37" spans="1:25" ht="18">
      <c r="A37" s="285" t="s">
        <v>90</v>
      </c>
      <c r="B37" s="285"/>
      <c r="C37" s="285"/>
      <c r="D37" s="285"/>
      <c r="E37" s="53"/>
      <c r="F37" s="176">
        <f t="shared" si="20"/>
        <v>815421.26717999997</v>
      </c>
      <c r="G37" s="53">
        <f t="shared" ref="G37" si="27">G9</f>
        <v>170615.4915</v>
      </c>
      <c r="H37" s="250">
        <f>H9</f>
        <v>161201.44391999999</v>
      </c>
      <c r="I37" s="250"/>
      <c r="J37" s="250"/>
      <c r="K37" s="250"/>
      <c r="L37" s="250"/>
      <c r="M37" s="53">
        <f t="shared" ref="M37:O37" si="28">M9</f>
        <v>161201.44391999999</v>
      </c>
      <c r="N37" s="53">
        <f t="shared" si="28"/>
        <v>161201.44391999999</v>
      </c>
      <c r="O37" s="53">
        <f t="shared" si="28"/>
        <v>161201.44391999999</v>
      </c>
      <c r="P37" s="12"/>
      <c r="Q37" s="35"/>
      <c r="R37" s="35"/>
      <c r="S37" s="35"/>
      <c r="X37" s="51"/>
      <c r="Y37" s="51"/>
    </row>
    <row r="38" spans="1:25" ht="18">
      <c r="A38" s="325" t="s">
        <v>91</v>
      </c>
      <c r="B38" s="325"/>
      <c r="C38" s="325"/>
      <c r="D38" s="325"/>
      <c r="E38" s="40" t="e">
        <f>#REF!+'Подпрограмма 1'!E399+'Подпрограмма 2'!#REF!</f>
        <v>#REF!</v>
      </c>
      <c r="F38" s="176">
        <f t="shared" si="20"/>
        <v>815421.26717999997</v>
      </c>
      <c r="G38" s="101">
        <f t="shared" ref="G38" si="29">G10</f>
        <v>170615.4915</v>
      </c>
      <c r="H38" s="279">
        <f>H10</f>
        <v>161201.44391999999</v>
      </c>
      <c r="I38" s="279"/>
      <c r="J38" s="279"/>
      <c r="K38" s="279"/>
      <c r="L38" s="279"/>
      <c r="M38" s="101">
        <f t="shared" ref="M38:O38" si="30">M10</f>
        <v>161201.44391999999</v>
      </c>
      <c r="N38" s="101">
        <f t="shared" si="30"/>
        <v>161201.44391999999</v>
      </c>
      <c r="O38" s="101">
        <f t="shared" si="30"/>
        <v>161201.44391999999</v>
      </c>
      <c r="P38" s="6"/>
      <c r="Q38" s="114" t="e">
        <f>#REF!+'Подпрограмма 1'!#REF!+'Подпрограмма 2'!#REF!</f>
        <v>#REF!</v>
      </c>
      <c r="R38" s="9"/>
      <c r="S38" s="9"/>
      <c r="T38" s="4"/>
      <c r="U38" s="4"/>
      <c r="X38" s="51"/>
      <c r="Y38" s="51"/>
    </row>
    <row r="39" spans="1:25" s="9" customFormat="1" ht="36.75" customHeight="1">
      <c r="A39" s="393" t="s">
        <v>18</v>
      </c>
      <c r="B39" s="393"/>
      <c r="C39" s="393"/>
      <c r="D39" s="393"/>
      <c r="E39" s="195" t="e">
        <f>E40+E41+E42+E45+E46</f>
        <v>#REF!</v>
      </c>
      <c r="F39" s="198">
        <f>SUM(G39:O39)</f>
        <v>64492496.978609994</v>
      </c>
      <c r="G39" s="163">
        <f>G40+G41+G42+G44</f>
        <v>12803361.490590002</v>
      </c>
      <c r="H39" s="267">
        <f>H40+H41+H42+H44</f>
        <v>13193400.39102</v>
      </c>
      <c r="I39" s="267"/>
      <c r="J39" s="267"/>
      <c r="K39" s="267"/>
      <c r="L39" s="267"/>
      <c r="M39" s="163">
        <f t="shared" ref="M39:O39" si="31">M40+M41+M42+M44</f>
        <v>12835113.295979999</v>
      </c>
      <c r="N39" s="163">
        <f t="shared" si="31"/>
        <v>12833241.18767</v>
      </c>
      <c r="O39" s="163">
        <f t="shared" si="31"/>
        <v>12827380.61335</v>
      </c>
      <c r="P39" s="196"/>
      <c r="Q39" s="20"/>
      <c r="T39" s="8"/>
      <c r="U39" s="8"/>
      <c r="V39" s="128">
        <v>64839775.624750003</v>
      </c>
      <c r="W39" s="50">
        <f>F39-V39</f>
        <v>-347278.64614000916</v>
      </c>
      <c r="X39" s="50">
        <v>12803361.490590002</v>
      </c>
      <c r="Y39" s="50"/>
    </row>
    <row r="40" spans="1:25" s="9" customFormat="1" ht="18">
      <c r="A40" s="392" t="s">
        <v>41</v>
      </c>
      <c r="B40" s="392"/>
      <c r="C40" s="392"/>
      <c r="D40" s="392"/>
      <c r="E40" s="113" t="e">
        <f>'Подпрограмма 1'!E436+'Подпрограмма 2'!E171</f>
        <v>#REF!</v>
      </c>
      <c r="F40" s="198">
        <f>SUM(G40:O40)</f>
        <v>1883764.4878800001</v>
      </c>
      <c r="G40" s="141">
        <f>'Подпрограмма 1'!G436+'Подпрограмма 2'!G171+'Подпрограмма 3'!G34</f>
        <v>398561.31916999992</v>
      </c>
      <c r="H40" s="384">
        <f>'Подпрограмма 1'!H436+'Подпрограмма 2'!H171+'Подпрограмма 3'!H34</f>
        <v>408925.86278000002</v>
      </c>
      <c r="I40" s="384"/>
      <c r="J40" s="384"/>
      <c r="K40" s="384"/>
      <c r="L40" s="384"/>
      <c r="M40" s="141">
        <f>'Подпрограмма 1'!M436+'Подпрограмма 2'!M171+'Подпрограмма 3'!M34</f>
        <v>370867.20355999999</v>
      </c>
      <c r="N40" s="141">
        <f>'Подпрограмма 1'!N436+'Подпрограмма 2'!N171+'Подпрограмма 3'!N34</f>
        <v>352705.05237000005</v>
      </c>
      <c r="O40" s="141">
        <f>'Подпрограмма 1'!O436+'Подпрограмма 2'!O171+'Подпрограмма 3'!O34</f>
        <v>352705.05000000005</v>
      </c>
      <c r="P40" s="19"/>
      <c r="Q40" s="20" t="e">
        <f>#REF!</f>
        <v>#REF!</v>
      </c>
      <c r="T40" s="8"/>
      <c r="U40" s="8"/>
      <c r="V40" s="128">
        <v>1872051.01917</v>
      </c>
      <c r="W40" s="50">
        <f t="shared" ref="W40:W46" si="32">F40-V40</f>
        <v>11713.468710000161</v>
      </c>
      <c r="X40" s="129">
        <v>398561.31916999992</v>
      </c>
      <c r="Y40" s="129">
        <f>G40-X40</f>
        <v>0</v>
      </c>
    </row>
    <row r="41" spans="1:25" s="9" customFormat="1" ht="18">
      <c r="A41" s="392" t="s">
        <v>1</v>
      </c>
      <c r="B41" s="392"/>
      <c r="C41" s="392"/>
      <c r="D41" s="392"/>
      <c r="E41" s="113" t="e">
        <f>#REF!+'Подпрограмма 1'!E437+'Подпрограмма 2'!E172+#REF!</f>
        <v>#REF!</v>
      </c>
      <c r="F41" s="198">
        <f t="shared" ref="F41:F46" si="33">SUM(G41:O41)</f>
        <v>38650499.941430002</v>
      </c>
      <c r="G41" s="141">
        <f>'Подпрограмма 1'!G437+'Подпрограмма 2'!G172+'Подпрограмма 3'!G35</f>
        <v>7623938.0609600022</v>
      </c>
      <c r="H41" s="384">
        <f>'Подпрограмма 1'!H437+'Подпрограмма 2'!H172+'Подпрограмма 3'!H35</f>
        <v>7866872.6394500006</v>
      </c>
      <c r="I41" s="384"/>
      <c r="J41" s="384"/>
      <c r="K41" s="384"/>
      <c r="L41" s="384"/>
      <c r="M41" s="141">
        <f>'Подпрограмма 1'!M437+'Подпрограмма 2'!M172+'Подпрограмма 3'!M35</f>
        <v>7710356.36907</v>
      </c>
      <c r="N41" s="141">
        <f>'Подпрограмма 1'!N437+'Подпрограмма 2'!N172+'Подпрограмма 3'!N35</f>
        <v>7727010.4219500003</v>
      </c>
      <c r="O41" s="141">
        <f>'Подпрограмма 1'!O437+'Подпрограмма 2'!O172+'Подпрограмма 3'!O35</f>
        <v>7722322.4500000002</v>
      </c>
      <c r="P41" s="19"/>
      <c r="Q41" s="22" t="e">
        <f>#REF!+'Подпрограмма 1'!F398+'Подпрограмма 2'!#REF!+#REF!</f>
        <v>#REF!</v>
      </c>
      <c r="T41" s="8"/>
      <c r="U41" s="8"/>
      <c r="V41" s="128">
        <v>39441712.982210003</v>
      </c>
      <c r="W41" s="50">
        <f t="shared" si="32"/>
        <v>-791213.04078000039</v>
      </c>
      <c r="X41" s="129">
        <v>7623938.0609600022</v>
      </c>
      <c r="Y41" s="129">
        <f t="shared" ref="Y41:Y46" si="34">G41-X41</f>
        <v>0</v>
      </c>
    </row>
    <row r="42" spans="1:25" s="9" customFormat="1" ht="18">
      <c r="A42" s="392" t="s">
        <v>49</v>
      </c>
      <c r="B42" s="392"/>
      <c r="C42" s="392"/>
      <c r="D42" s="392"/>
      <c r="E42" s="113" t="e">
        <f>#REF!+'Подпрограмма 1'!E438+'Подпрограмма 2'!E173+#REF!+'Подпрограмма 3'!E36</f>
        <v>#REF!</v>
      </c>
      <c r="F42" s="198">
        <f t="shared" si="33"/>
        <v>19972516.213719998</v>
      </c>
      <c r="G42" s="141">
        <f>'Подпрограмма 1'!G438+'Подпрограмма 2'!G173+'Подпрограмма 3'!G36</f>
        <v>4095859.6682799999</v>
      </c>
      <c r="H42" s="384">
        <f>'Подпрограмма 1'!H438+'Подпрограмма 2'!H173+'Подпрограмма 3'!H36</f>
        <v>4092423.4154399992</v>
      </c>
      <c r="I42" s="384"/>
      <c r="J42" s="384"/>
      <c r="K42" s="384"/>
      <c r="L42" s="384"/>
      <c r="M42" s="141">
        <f>'Подпрограмма 1'!M438+'Подпрограмма 2'!M173+'Подпрограмма 3'!M36</f>
        <v>3928711.25</v>
      </c>
      <c r="N42" s="141">
        <f>'Подпрограмма 1'!N438+'Подпрограмма 2'!N173+'Подпрограмма 3'!N36</f>
        <v>3928347.2399999998</v>
      </c>
      <c r="O42" s="141">
        <f>'Подпрограмма 1'!O438+'Подпрограмма 2'!O173+'Подпрограмма 3'!O36</f>
        <v>3927174.64</v>
      </c>
      <c r="P42" s="19"/>
      <c r="Q42" s="22" t="e">
        <f>#REF!+'Подпрограмма 1'!F399+'Подпрограмма 2'!#REF!+#REF!+#REF!</f>
        <v>#REF!</v>
      </c>
      <c r="T42" s="8"/>
      <c r="U42" s="8"/>
      <c r="V42" s="128">
        <v>19909798.706069998</v>
      </c>
      <c r="W42" s="50">
        <f t="shared" si="32"/>
        <v>62717.507649999112</v>
      </c>
      <c r="X42" s="129">
        <v>4095859.6682799999</v>
      </c>
      <c r="Y42" s="129">
        <f t="shared" si="34"/>
        <v>0</v>
      </c>
    </row>
    <row r="43" spans="1:25" s="9" customFormat="1" ht="18">
      <c r="A43" s="325" t="s">
        <v>61</v>
      </c>
      <c r="B43" s="325"/>
      <c r="C43" s="325"/>
      <c r="D43" s="325"/>
      <c r="E43" s="133" t="e">
        <f>#REF!</f>
        <v>#REF!</v>
      </c>
      <c r="F43" s="199">
        <f t="shared" si="33"/>
        <v>2529243</v>
      </c>
      <c r="G43" s="132">
        <f>'Подпрограмма 1'!G439</f>
        <v>413035</v>
      </c>
      <c r="H43" s="279">
        <f>'Подпрограмма 1'!H439</f>
        <v>529052</v>
      </c>
      <c r="I43" s="279"/>
      <c r="J43" s="279"/>
      <c r="K43" s="279"/>
      <c r="L43" s="279"/>
      <c r="M43" s="132">
        <f>'Подпрограмма 1'!M439</f>
        <v>529052</v>
      </c>
      <c r="N43" s="132">
        <f>'Подпрограмма 1'!N439</f>
        <v>529052</v>
      </c>
      <c r="O43" s="132">
        <f>'Подпрограмма 1'!O439</f>
        <v>529052</v>
      </c>
      <c r="P43" s="6"/>
      <c r="V43" s="128">
        <v>2529243</v>
      </c>
      <c r="W43" s="50">
        <f t="shared" si="32"/>
        <v>0</v>
      </c>
      <c r="X43" s="129">
        <v>413035</v>
      </c>
      <c r="Y43" s="129">
        <f t="shared" si="34"/>
        <v>0</v>
      </c>
    </row>
    <row r="44" spans="1:25" s="9" customFormat="1" ht="18">
      <c r="A44" s="326" t="s">
        <v>90</v>
      </c>
      <c r="B44" s="326"/>
      <c r="C44" s="326"/>
      <c r="D44" s="326"/>
      <c r="E44" s="133"/>
      <c r="F44" s="198">
        <f t="shared" si="33"/>
        <v>3985716.3355800007</v>
      </c>
      <c r="G44" s="133">
        <f>G45+G46</f>
        <v>685002.44218000001</v>
      </c>
      <c r="H44" s="280">
        <f>H45+H46</f>
        <v>825178.4733500001</v>
      </c>
      <c r="I44" s="280"/>
      <c r="J44" s="280"/>
      <c r="K44" s="280"/>
      <c r="L44" s="280"/>
      <c r="M44" s="133">
        <f t="shared" ref="M44:O44" si="35">M45+M46</f>
        <v>825178.4733500001</v>
      </c>
      <c r="N44" s="133">
        <f t="shared" si="35"/>
        <v>825178.4733500001</v>
      </c>
      <c r="O44" s="133">
        <f t="shared" si="35"/>
        <v>825178.4733500001</v>
      </c>
      <c r="P44" s="6"/>
      <c r="V44" s="128">
        <v>3616212.9173000003</v>
      </c>
      <c r="W44" s="50">
        <f t="shared" si="32"/>
        <v>369503.41828000033</v>
      </c>
      <c r="X44" s="129">
        <v>685002.44218000001</v>
      </c>
      <c r="Y44" s="129">
        <f t="shared" si="34"/>
        <v>0</v>
      </c>
    </row>
    <row r="45" spans="1:25" s="9" customFormat="1" ht="18">
      <c r="A45" s="325" t="s">
        <v>91</v>
      </c>
      <c r="B45" s="325"/>
      <c r="C45" s="325"/>
      <c r="D45" s="325"/>
      <c r="E45" s="115" t="e">
        <f>#REF!+'Подпрограмма 1'!E441+'Подпрограмма 2'!E175</f>
        <v>#REF!</v>
      </c>
      <c r="F45" s="199">
        <f t="shared" si="33"/>
        <v>3863642.9975799997</v>
      </c>
      <c r="G45" s="132">
        <f>'Подпрограмма 1'!G441+'Подпрограмма 2'!G175+'Подпрограмма 3'!G38</f>
        <v>661811.04018000001</v>
      </c>
      <c r="H45" s="279">
        <f>'Подпрограмма 1'!H441+'Подпрограмма 2'!H175+'Подпрограмма 3'!H38</f>
        <v>800457.98935000005</v>
      </c>
      <c r="I45" s="279"/>
      <c r="J45" s="279"/>
      <c r="K45" s="279"/>
      <c r="L45" s="279"/>
      <c r="M45" s="132">
        <f>'Подпрограмма 1'!M441+'Подпрограмма 2'!M175+'Подпрограмма 3'!M38</f>
        <v>800457.98935000005</v>
      </c>
      <c r="N45" s="132">
        <f>'Подпрограмма 1'!N441+'Подпрограмма 2'!N175+'Подпрограмма 3'!N38</f>
        <v>800457.98935000005</v>
      </c>
      <c r="O45" s="132">
        <f>'Подпрограмма 1'!O441+'Подпрограмма 2'!O175+'Подпрограмма 3'!O38</f>
        <v>800457.98935000005</v>
      </c>
      <c r="P45" s="6"/>
      <c r="Q45" s="114" t="e">
        <f>#REF!+'Подпрограмма 1'!F435+'Подпрограмма 2'!F170</f>
        <v>#REF!</v>
      </c>
      <c r="T45" s="8"/>
      <c r="U45" s="8"/>
      <c r="V45" s="128">
        <v>3494139.5792999999</v>
      </c>
      <c r="W45" s="50">
        <f t="shared" si="32"/>
        <v>369503.41827999987</v>
      </c>
      <c r="X45" s="129">
        <v>661811.04018000001</v>
      </c>
      <c r="Y45" s="129">
        <f t="shared" si="34"/>
        <v>0</v>
      </c>
    </row>
    <row r="46" spans="1:25" s="9" customFormat="1" ht="18">
      <c r="A46" s="325" t="s">
        <v>92</v>
      </c>
      <c r="B46" s="325"/>
      <c r="C46" s="325"/>
      <c r="D46" s="325"/>
      <c r="E46" s="115" t="e">
        <f>#REF!+'Подпрограмма 1'!E442</f>
        <v>#REF!</v>
      </c>
      <c r="F46" s="199">
        <f t="shared" si="33"/>
        <v>122073.33799999999</v>
      </c>
      <c r="G46" s="132">
        <f>'Подпрограмма 1'!G442</f>
        <v>23191.402000000002</v>
      </c>
      <c r="H46" s="279">
        <f>'Подпрограмма 1'!H442</f>
        <v>24720.484</v>
      </c>
      <c r="I46" s="279"/>
      <c r="J46" s="279"/>
      <c r="K46" s="279"/>
      <c r="L46" s="279"/>
      <c r="M46" s="132">
        <f>'Подпрограмма 1'!M442</f>
        <v>24720.484</v>
      </c>
      <c r="N46" s="132">
        <f>'Подпрограмма 1'!N442</f>
        <v>24720.484</v>
      </c>
      <c r="O46" s="132">
        <f>'Подпрограмма 1'!O442</f>
        <v>24720.484</v>
      </c>
      <c r="P46" s="6"/>
      <c r="Q46" s="114" t="e">
        <f>#REF!+'Подпрограмма 1'!F436</f>
        <v>#REF!</v>
      </c>
      <c r="T46" s="8"/>
      <c r="U46" s="8"/>
      <c r="V46" s="128">
        <v>122073.33799999999</v>
      </c>
      <c r="W46" s="50">
        <f t="shared" si="32"/>
        <v>0</v>
      </c>
      <c r="X46" s="129">
        <v>23191.402000000002</v>
      </c>
      <c r="Y46" s="129">
        <f t="shared" si="34"/>
        <v>0</v>
      </c>
    </row>
    <row r="47" spans="1:25" ht="18">
      <c r="A47" s="72"/>
      <c r="B47" s="72"/>
      <c r="C47" s="72"/>
      <c r="D47" s="72"/>
      <c r="E47" s="73"/>
      <c r="F47" s="200"/>
      <c r="G47" s="74"/>
      <c r="H47" s="74"/>
      <c r="I47" s="74"/>
      <c r="J47" s="74"/>
      <c r="K47" s="74"/>
      <c r="L47" s="74"/>
      <c r="M47" s="74"/>
      <c r="N47" s="74"/>
      <c r="O47" s="74"/>
      <c r="P47" s="75"/>
      <c r="Q47" s="32"/>
      <c r="T47" s="4"/>
      <c r="U47" s="4"/>
    </row>
    <row r="48" spans="1:25" ht="18">
      <c r="A48" s="20"/>
      <c r="B48" s="21"/>
      <c r="C48" s="21"/>
      <c r="D48" s="21"/>
      <c r="E48" s="21"/>
      <c r="F48" s="201"/>
      <c r="G48" s="46"/>
      <c r="H48" s="22"/>
      <c r="I48" s="22"/>
      <c r="J48" s="22"/>
      <c r="K48" s="22"/>
      <c r="L48" s="22"/>
      <c r="M48" s="46"/>
      <c r="N48" s="22"/>
      <c r="O48" s="22"/>
      <c r="P48" s="23" t="s">
        <v>127</v>
      </c>
      <c r="Q48" s="23"/>
    </row>
    <row r="49" spans="1:17" ht="18">
      <c r="A49" s="24"/>
      <c r="B49" s="25" t="s">
        <v>305</v>
      </c>
      <c r="C49" s="30"/>
      <c r="D49" s="30"/>
      <c r="E49" s="30"/>
      <c r="F49" s="202" t="s">
        <v>297</v>
      </c>
      <c r="G49" s="30" t="s">
        <v>306</v>
      </c>
      <c r="H49" s="24"/>
      <c r="I49" s="24"/>
      <c r="J49" s="24"/>
      <c r="K49" s="24"/>
      <c r="L49" s="24"/>
      <c r="M49" s="57"/>
      <c r="N49" s="27"/>
      <c r="O49" s="27"/>
      <c r="P49" s="27"/>
      <c r="Q49" s="24"/>
    </row>
    <row r="50" spans="1:17" ht="18">
      <c r="A50" s="24"/>
      <c r="B50" s="57"/>
      <c r="C50" s="57"/>
      <c r="D50" s="29"/>
      <c r="E50" s="57"/>
      <c r="F50" s="203"/>
      <c r="G50" s="47"/>
      <c r="H50" s="28"/>
      <c r="I50" s="28"/>
      <c r="J50" s="28"/>
      <c r="K50" s="28"/>
      <c r="L50" s="28"/>
      <c r="M50" s="57"/>
      <c r="N50" s="28"/>
      <c r="O50" s="28"/>
      <c r="P50" s="28"/>
      <c r="Q50" s="28"/>
    </row>
    <row r="51" spans="1:17" ht="18">
      <c r="A51" s="20"/>
      <c r="B51" s="21"/>
      <c r="C51" s="29"/>
      <c r="D51" s="29"/>
      <c r="E51" s="29"/>
      <c r="F51" s="204"/>
      <c r="G51" s="25"/>
      <c r="H51" s="24"/>
      <c r="I51" s="24"/>
      <c r="J51" s="24"/>
      <c r="K51" s="24"/>
      <c r="L51" s="24"/>
      <c r="M51" s="25"/>
      <c r="N51" s="48"/>
      <c r="O51" s="48"/>
      <c r="P51" s="20"/>
      <c r="Q51" s="20"/>
    </row>
    <row r="52" spans="1:17" ht="18">
      <c r="A52" s="20"/>
      <c r="B52" s="30" t="s">
        <v>19</v>
      </c>
      <c r="C52" s="30"/>
      <c r="D52" s="30"/>
      <c r="E52" s="30"/>
      <c r="F52" s="202" t="s">
        <v>297</v>
      </c>
      <c r="G52" s="25" t="s">
        <v>40</v>
      </c>
      <c r="H52" s="24"/>
      <c r="I52" s="24"/>
      <c r="J52" s="24"/>
      <c r="K52" s="24"/>
      <c r="L52" s="24"/>
      <c r="M52" s="25"/>
      <c r="N52" s="48"/>
      <c r="O52" s="48"/>
      <c r="P52" s="20"/>
      <c r="Q52" s="20"/>
    </row>
    <row r="53" spans="1:17" ht="18">
      <c r="A53" s="20"/>
      <c r="B53" s="30"/>
      <c r="C53" s="30"/>
      <c r="D53" s="30"/>
      <c r="E53" s="30"/>
      <c r="F53" s="202"/>
      <c r="G53" s="25"/>
      <c r="H53" s="24"/>
      <c r="I53" s="24"/>
      <c r="J53" s="24"/>
      <c r="K53" s="24"/>
      <c r="L53" s="24"/>
      <c r="M53" s="25"/>
      <c r="N53" s="48"/>
      <c r="O53" s="48"/>
      <c r="P53" s="20"/>
      <c r="Q53" s="20"/>
    </row>
    <row r="54" spans="1:17" ht="18">
      <c r="A54" s="20"/>
      <c r="B54" s="30"/>
      <c r="C54" s="30"/>
      <c r="D54" s="30"/>
      <c r="E54" s="30"/>
      <c r="F54" s="205"/>
      <c r="G54" s="25"/>
      <c r="H54" s="26"/>
      <c r="I54" s="24"/>
      <c r="J54" s="24"/>
      <c r="K54" s="24"/>
      <c r="L54" s="24"/>
      <c r="M54" s="25"/>
      <c r="N54" s="48"/>
      <c r="O54" s="48"/>
      <c r="P54" s="20"/>
      <c r="Q54" s="20"/>
    </row>
    <row r="55" spans="1:17" ht="19">
      <c r="B55" s="359" t="s">
        <v>20</v>
      </c>
      <c r="C55" s="360"/>
      <c r="D55" s="360"/>
      <c r="E55" s="62" t="e">
        <f>#REF!+'Подпрограмма 1'!E445+'Подпрограмма 2'!E179</f>
        <v>#REF!</v>
      </c>
      <c r="F55" s="63">
        <f t="shared" ref="F55:F67" si="36">SUM(H55:O55)</f>
        <v>0</v>
      </c>
      <c r="G55" s="62">
        <f>'Подпрограмма 1'!F444+'Подпрограмма 2'!F178</f>
        <v>0</v>
      </c>
      <c r="H55" s="367">
        <f>'Подпрограмма 1'!H444+'Подпрограмма 2'!H178</f>
        <v>0</v>
      </c>
      <c r="I55" s="368"/>
      <c r="J55" s="368"/>
      <c r="K55" s="368"/>
      <c r="L55" s="369"/>
      <c r="M55" s="62">
        <f>'Подпрограмма 1'!M444+'Подпрограмма 2'!M178</f>
        <v>0</v>
      </c>
      <c r="N55" s="62">
        <f>'Подпрограмма 1'!N444+'Подпрограмма 2'!N178</f>
        <v>0</v>
      </c>
      <c r="O55" s="62">
        <f>'Подпрограмма 1'!O444+'Подпрограмма 2'!O178</f>
        <v>0</v>
      </c>
      <c r="P55" s="7"/>
    </row>
    <row r="56" spans="1:17" ht="19">
      <c r="B56" s="359" t="s">
        <v>22</v>
      </c>
      <c r="C56" s="360"/>
      <c r="D56" s="360"/>
      <c r="E56" s="62" t="e">
        <f>#REF!+'Подпрограмма 1'!E444</f>
        <v>#REF!</v>
      </c>
      <c r="F56" s="63">
        <f t="shared" si="36"/>
        <v>591505.51789999998</v>
      </c>
      <c r="G56" s="62">
        <f>'Подпрограмма 1'!F445+'Подпрограмма 2'!F179</f>
        <v>591505.51789999998</v>
      </c>
      <c r="H56" s="367">
        <f>'Подпрограмма 1'!H445+'Подпрограмма 2'!H179</f>
        <v>95328.797900000005</v>
      </c>
      <c r="I56" s="368"/>
      <c r="J56" s="368"/>
      <c r="K56" s="368"/>
      <c r="L56" s="369"/>
      <c r="M56" s="62">
        <f>'Подпрограмма 1'!M445+'Подпрограмма 2'!M179</f>
        <v>165392.24</v>
      </c>
      <c r="N56" s="62">
        <f>'Подпрограмма 1'!N445+'Подпрограмма 2'!N179</f>
        <v>165392.24</v>
      </c>
      <c r="O56" s="62">
        <f>'Подпрограмма 1'!O445+'Подпрограмма 2'!O179</f>
        <v>165392.24</v>
      </c>
      <c r="P56" s="7"/>
    </row>
    <row r="57" spans="1:17" ht="19">
      <c r="B57" s="361" t="s">
        <v>21</v>
      </c>
      <c r="C57" s="362"/>
      <c r="D57" s="362"/>
      <c r="E57" s="64" t="e">
        <f>SUM(E55:E56)</f>
        <v>#REF!</v>
      </c>
      <c r="F57" s="63">
        <f t="shared" si="36"/>
        <v>591505.51789999998</v>
      </c>
      <c r="G57" s="64">
        <f>SUM(G55:G56)</f>
        <v>591505.51789999998</v>
      </c>
      <c r="H57" s="364">
        <f>SUM(H55:H56)</f>
        <v>95328.797900000005</v>
      </c>
      <c r="I57" s="365"/>
      <c r="J57" s="365"/>
      <c r="K57" s="365"/>
      <c r="L57" s="366"/>
      <c r="M57" s="64">
        <f>SUM(M55:M56)</f>
        <v>165392.24</v>
      </c>
      <c r="N57" s="64">
        <f>SUM(N55:N56)</f>
        <v>165392.24</v>
      </c>
      <c r="O57" s="64">
        <f>SUM(O55:O56)</f>
        <v>165392.24</v>
      </c>
      <c r="P57" s="7"/>
    </row>
    <row r="58" spans="1:17" ht="19">
      <c r="B58" s="359" t="s">
        <v>63</v>
      </c>
      <c r="C58" s="360"/>
      <c r="D58" s="360"/>
      <c r="E58" s="62" t="e">
        <f>#REF!+'Подпрограмма 1'!E447</f>
        <v>#REF!</v>
      </c>
      <c r="F58" s="63">
        <f t="shared" si="36"/>
        <v>0</v>
      </c>
      <c r="G58" s="62">
        <f>'Подпрограмма 1'!F447</f>
        <v>0</v>
      </c>
      <c r="H58" s="367">
        <f>'Подпрограмма 1'!H447</f>
        <v>0</v>
      </c>
      <c r="I58" s="368"/>
      <c r="J58" s="368"/>
      <c r="K58" s="368"/>
      <c r="L58" s="369"/>
      <c r="M58" s="62">
        <f>'Подпрограмма 1'!M447</f>
        <v>0</v>
      </c>
      <c r="N58" s="62">
        <f>'Подпрограмма 1'!N447</f>
        <v>0</v>
      </c>
      <c r="O58" s="62">
        <f>'Подпрограмма 1'!O447</f>
        <v>0</v>
      </c>
      <c r="P58" s="7"/>
    </row>
    <row r="59" spans="1:17" ht="19">
      <c r="B59" s="359" t="s">
        <v>64</v>
      </c>
      <c r="C59" s="360"/>
      <c r="D59" s="360"/>
      <c r="E59" s="62" t="e">
        <f>#REF!+'Подпрограмма 1'!E448</f>
        <v>#REF!</v>
      </c>
      <c r="F59" s="63">
        <f t="shared" si="36"/>
        <v>27600</v>
      </c>
      <c r="G59" s="62">
        <f>'Подпрограмма 1'!F448</f>
        <v>27600</v>
      </c>
      <c r="H59" s="367">
        <f>'Подпрограмма 1'!H448</f>
        <v>6900</v>
      </c>
      <c r="I59" s="368"/>
      <c r="J59" s="368"/>
      <c r="K59" s="368"/>
      <c r="L59" s="369"/>
      <c r="M59" s="62">
        <f>'Подпрограмма 1'!M448</f>
        <v>6900</v>
      </c>
      <c r="N59" s="62">
        <f>'Подпрограмма 1'!N448</f>
        <v>6900</v>
      </c>
      <c r="O59" s="62">
        <f>'Подпрограмма 1'!O448</f>
        <v>6900</v>
      </c>
      <c r="P59" s="7"/>
    </row>
    <row r="60" spans="1:17" ht="19">
      <c r="B60" s="361" t="s">
        <v>65</v>
      </c>
      <c r="C60" s="362"/>
      <c r="D60" s="362"/>
      <c r="E60" s="64" t="e">
        <f>SUM(E58:E59)</f>
        <v>#REF!</v>
      </c>
      <c r="F60" s="63">
        <f t="shared" si="36"/>
        <v>27600</v>
      </c>
      <c r="G60" s="64">
        <f>SUM(G58:G59)</f>
        <v>27600</v>
      </c>
      <c r="H60" s="364">
        <f>SUM(H58:H59)</f>
        <v>6900</v>
      </c>
      <c r="I60" s="365"/>
      <c r="J60" s="365"/>
      <c r="K60" s="365"/>
      <c r="L60" s="366"/>
      <c r="M60" s="64">
        <f>SUM(M58:M59)</f>
        <v>6900</v>
      </c>
      <c r="N60" s="64">
        <f>SUM(N58:N59)</f>
        <v>6900</v>
      </c>
      <c r="O60" s="64">
        <f>SUM(O58:O59)</f>
        <v>6900</v>
      </c>
      <c r="P60" s="7"/>
    </row>
    <row r="61" spans="1:17" ht="19">
      <c r="B61" s="359" t="s">
        <v>44</v>
      </c>
      <c r="C61" s="360"/>
      <c r="D61" s="360"/>
      <c r="E61" s="52" t="e">
        <f>E40</f>
        <v>#REF!</v>
      </c>
      <c r="F61" s="63">
        <f t="shared" si="36"/>
        <v>1485203.1687100001</v>
      </c>
      <c r="G61" s="52">
        <f t="shared" ref="G61" si="37">G40</f>
        <v>398561.31916999992</v>
      </c>
      <c r="H61" s="367">
        <f>H40</f>
        <v>408925.86278000002</v>
      </c>
      <c r="I61" s="368"/>
      <c r="J61" s="368"/>
      <c r="K61" s="368"/>
      <c r="L61" s="369"/>
      <c r="M61" s="52">
        <f t="shared" ref="M61:O61" si="38">M40</f>
        <v>370867.20355999999</v>
      </c>
      <c r="N61" s="52">
        <f t="shared" si="38"/>
        <v>352705.05237000005</v>
      </c>
      <c r="O61" s="52">
        <f t="shared" si="38"/>
        <v>352705.05000000005</v>
      </c>
    </row>
    <row r="62" spans="1:17" ht="19">
      <c r="B62" s="359" t="s">
        <v>66</v>
      </c>
      <c r="C62" s="360"/>
      <c r="D62" s="360"/>
      <c r="E62" s="62" t="e">
        <f>E42-E55-E58-#REF!</f>
        <v>#REF!</v>
      </c>
      <c r="F62" s="63">
        <f t="shared" si="36"/>
        <v>30998961.88047</v>
      </c>
      <c r="G62" s="62">
        <f t="shared" ref="G62" si="39">G41-G55-G59</f>
        <v>7596338.0609600022</v>
      </c>
      <c r="H62" s="367">
        <f>H41-H55-H59</f>
        <v>7859972.6394500006</v>
      </c>
      <c r="I62" s="368"/>
      <c r="J62" s="368"/>
      <c r="K62" s="368"/>
      <c r="L62" s="369"/>
      <c r="M62" s="62">
        <f t="shared" ref="M62:O62" si="40">M41-M55-M59</f>
        <v>7703456.36907</v>
      </c>
      <c r="N62" s="62">
        <f t="shared" si="40"/>
        <v>7720110.4219500003</v>
      </c>
      <c r="O62" s="62">
        <f t="shared" si="40"/>
        <v>7715422.4500000002</v>
      </c>
      <c r="P62" s="7"/>
    </row>
    <row r="63" spans="1:17" ht="19">
      <c r="B63" s="359" t="s">
        <v>24</v>
      </c>
      <c r="C63" s="360"/>
      <c r="D63" s="360"/>
      <c r="E63" s="62" t="e">
        <f>E41-E56-E59-#REF!</f>
        <v>#REF!</v>
      </c>
      <c r="F63" s="63">
        <f t="shared" si="36"/>
        <v>15285151.02754</v>
      </c>
      <c r="G63" s="62">
        <f t="shared" ref="G63" si="41">G42-G56-G58</f>
        <v>3504354.15038</v>
      </c>
      <c r="H63" s="367">
        <f>H42-H56-H58</f>
        <v>3997094.6175399991</v>
      </c>
      <c r="I63" s="368"/>
      <c r="J63" s="368"/>
      <c r="K63" s="368"/>
      <c r="L63" s="369"/>
      <c r="M63" s="62">
        <f t="shared" ref="M63:O63" si="42">M42-M56-M58</f>
        <v>3763319.01</v>
      </c>
      <c r="N63" s="62">
        <f t="shared" si="42"/>
        <v>3762955</v>
      </c>
      <c r="O63" s="62">
        <f t="shared" si="42"/>
        <v>3761782.4000000004</v>
      </c>
      <c r="P63" s="7"/>
    </row>
    <row r="64" spans="1:17" ht="19">
      <c r="B64" s="359" t="s">
        <v>90</v>
      </c>
      <c r="C64" s="360"/>
      <c r="D64" s="363"/>
      <c r="E64" s="62"/>
      <c r="F64" s="63">
        <f t="shared" si="36"/>
        <v>3300713.8934000004</v>
      </c>
      <c r="G64" s="62">
        <f t="shared" ref="G64" si="43">G65+G66</f>
        <v>685002.44218000001</v>
      </c>
      <c r="H64" s="367">
        <f>H65+H66</f>
        <v>825178.4733500001</v>
      </c>
      <c r="I64" s="368"/>
      <c r="J64" s="368"/>
      <c r="K64" s="368"/>
      <c r="L64" s="369"/>
      <c r="M64" s="62">
        <f t="shared" ref="M64:O64" si="44">M65+M66</f>
        <v>825178.4733500001</v>
      </c>
      <c r="N64" s="62">
        <f t="shared" si="44"/>
        <v>825178.4733500001</v>
      </c>
      <c r="O64" s="62">
        <f t="shared" si="44"/>
        <v>825178.4733500001</v>
      </c>
      <c r="P64" s="7"/>
    </row>
    <row r="65" spans="1:19" ht="19">
      <c r="B65" s="390" t="s">
        <v>91</v>
      </c>
      <c r="C65" s="391"/>
      <c r="D65" s="391"/>
      <c r="E65" s="62" t="e">
        <f>E45-#REF!</f>
        <v>#REF!</v>
      </c>
      <c r="F65" s="63">
        <f t="shared" si="36"/>
        <v>3201831.9574000002</v>
      </c>
      <c r="G65" s="62">
        <f t="shared" ref="G65" si="45">G45</f>
        <v>661811.04018000001</v>
      </c>
      <c r="H65" s="367">
        <f>H45</f>
        <v>800457.98935000005</v>
      </c>
      <c r="I65" s="368"/>
      <c r="J65" s="368"/>
      <c r="K65" s="368"/>
      <c r="L65" s="369"/>
      <c r="M65" s="62">
        <f t="shared" ref="M65:O65" si="46">M45</f>
        <v>800457.98935000005</v>
      </c>
      <c r="N65" s="62">
        <f t="shared" si="46"/>
        <v>800457.98935000005</v>
      </c>
      <c r="O65" s="62">
        <f t="shared" si="46"/>
        <v>800457.98935000005</v>
      </c>
      <c r="P65" s="7"/>
    </row>
    <row r="66" spans="1:19" ht="19">
      <c r="B66" s="390" t="s">
        <v>92</v>
      </c>
      <c r="C66" s="391"/>
      <c r="D66" s="391"/>
      <c r="E66" s="62" t="e">
        <f>E46</f>
        <v>#REF!</v>
      </c>
      <c r="F66" s="63">
        <f t="shared" si="36"/>
        <v>98881.936000000002</v>
      </c>
      <c r="G66" s="62">
        <f t="shared" ref="G66" si="47">G46</f>
        <v>23191.402000000002</v>
      </c>
      <c r="H66" s="367">
        <f>H46</f>
        <v>24720.484</v>
      </c>
      <c r="I66" s="368"/>
      <c r="J66" s="368"/>
      <c r="K66" s="368"/>
      <c r="L66" s="369"/>
      <c r="M66" s="62">
        <f t="shared" ref="M66:O66" si="48">M46</f>
        <v>24720.484</v>
      </c>
      <c r="N66" s="62">
        <f t="shared" si="48"/>
        <v>24720.484</v>
      </c>
      <c r="O66" s="62">
        <f t="shared" si="48"/>
        <v>24720.484</v>
      </c>
      <c r="P66" s="7"/>
    </row>
    <row r="67" spans="1:19" ht="19">
      <c r="B67" s="361" t="s">
        <v>25</v>
      </c>
      <c r="C67" s="362"/>
      <c r="D67" s="362"/>
      <c r="E67" s="64" t="e">
        <f>SUM(E61:E66)</f>
        <v>#REF!</v>
      </c>
      <c r="F67" s="63">
        <f t="shared" si="36"/>
        <v>54370743.863519996</v>
      </c>
      <c r="G67" s="63">
        <f>SUM(G61:G66)</f>
        <v>12869258.414870003</v>
      </c>
      <c r="H67" s="381">
        <f>SUM(H61:H66)</f>
        <v>13916350.066469999</v>
      </c>
      <c r="I67" s="382"/>
      <c r="J67" s="382"/>
      <c r="K67" s="382"/>
      <c r="L67" s="383"/>
      <c r="M67" s="63">
        <f>SUM(M61:M66)</f>
        <v>13487999.52933</v>
      </c>
      <c r="N67" s="63">
        <f>SUM(N61:N66)</f>
        <v>13486127.421019999</v>
      </c>
      <c r="O67" s="63">
        <f>SUM(O61:O66)</f>
        <v>13480266.8467</v>
      </c>
      <c r="P67" s="7"/>
    </row>
    <row r="68" spans="1:19" ht="15" customHeight="1">
      <c r="A68" s="15"/>
      <c r="B68" s="15"/>
      <c r="C68" s="16"/>
      <c r="D68" s="16"/>
      <c r="E68" s="16"/>
      <c r="F68" s="206"/>
      <c r="G68" s="45"/>
      <c r="H68" s="17"/>
      <c r="I68" s="17"/>
      <c r="J68" s="17"/>
      <c r="K68" s="17"/>
      <c r="L68" s="17"/>
      <c r="M68" s="56"/>
      <c r="N68" s="18"/>
      <c r="O68" s="18"/>
      <c r="P68" s="15"/>
      <c r="Q68" s="15"/>
      <c r="R68" s="15"/>
      <c r="S68" s="15"/>
    </row>
    <row r="69" spans="1:19">
      <c r="E69" s="4"/>
      <c r="F69" s="189"/>
      <c r="G69" s="4"/>
      <c r="H69" s="4"/>
      <c r="I69" s="4"/>
      <c r="J69" s="4"/>
      <c r="K69" s="4"/>
      <c r="L69" s="4"/>
      <c r="M69" s="4"/>
      <c r="N69" s="4"/>
      <c r="O69" s="4"/>
    </row>
    <row r="70" spans="1:19" ht="16">
      <c r="C70" s="7"/>
      <c r="D70" s="7"/>
      <c r="E70" s="7"/>
      <c r="F70" s="207">
        <f>F57+F60+F61+F62+F63</f>
        <v>48388421.594619997</v>
      </c>
      <c r="G70" s="119">
        <f t="shared" ref="G70" si="49">G57+G60+G61+G62+G63</f>
        <v>12118359.048410002</v>
      </c>
      <c r="H70" s="380">
        <f>H57+H60+H61+H62+H63</f>
        <v>12368221.91767</v>
      </c>
      <c r="I70" s="380"/>
      <c r="J70" s="380"/>
      <c r="K70" s="380"/>
      <c r="L70" s="380"/>
      <c r="M70" s="119">
        <f t="shared" ref="M70:O70" si="50">M57+M60+M61+M62+M63</f>
        <v>12009934.822629999</v>
      </c>
      <c r="N70" s="119">
        <f t="shared" si="50"/>
        <v>12008062.71432</v>
      </c>
      <c r="O70" s="119">
        <f t="shared" si="50"/>
        <v>12002202.140000001</v>
      </c>
    </row>
    <row r="71" spans="1:19" ht="21">
      <c r="E71" s="4"/>
      <c r="H71" s="4"/>
      <c r="I71" s="4"/>
      <c r="J71" s="4"/>
      <c r="K71" s="4"/>
      <c r="L71" s="4"/>
      <c r="M71" s="77"/>
      <c r="N71" s="77"/>
      <c r="O71" s="77"/>
    </row>
    <row r="72" spans="1:19">
      <c r="E72" s="4"/>
      <c r="F72" s="208"/>
      <c r="G72" s="44"/>
      <c r="H72" s="4"/>
      <c r="I72" s="4"/>
      <c r="J72" s="4"/>
      <c r="K72" s="4"/>
      <c r="L72" s="4"/>
      <c r="M72" s="44"/>
      <c r="N72" s="11"/>
      <c r="O72" s="11"/>
    </row>
    <row r="73" spans="1:19">
      <c r="E73" s="4"/>
      <c r="F73" s="208"/>
      <c r="G73" s="44"/>
      <c r="H73" s="4"/>
      <c r="I73" s="4"/>
      <c r="J73" s="4"/>
      <c r="K73" s="4"/>
      <c r="L73" s="4"/>
      <c r="M73" s="66"/>
      <c r="N73" s="4"/>
      <c r="O73" s="4"/>
    </row>
    <row r="74" spans="1:19">
      <c r="E74" s="4"/>
      <c r="F74" s="208"/>
      <c r="G74" s="44"/>
      <c r="H74" s="4"/>
      <c r="I74" s="4"/>
      <c r="J74" s="4"/>
      <c r="K74" s="4"/>
      <c r="L74" s="4"/>
      <c r="M74" s="44"/>
      <c r="N74" s="11"/>
      <c r="O74" s="11"/>
    </row>
    <row r="75" spans="1:19">
      <c r="E75" s="11"/>
      <c r="F75" s="208"/>
      <c r="G75" s="44"/>
      <c r="H75" s="4"/>
      <c r="I75" s="4"/>
      <c r="J75" s="4"/>
      <c r="K75" s="4"/>
      <c r="L75" s="4"/>
      <c r="M75" s="44"/>
      <c r="N75" s="11"/>
      <c r="O75" s="11"/>
    </row>
    <row r="76" spans="1:19" ht="19">
      <c r="F76" s="208"/>
      <c r="H76" s="65"/>
      <c r="I76" s="65"/>
      <c r="J76" s="65"/>
      <c r="K76" s="65"/>
      <c r="L76" s="65"/>
    </row>
    <row r="77" spans="1:19">
      <c r="E77" s="11"/>
      <c r="F77" s="208"/>
      <c r="G77" s="44"/>
      <c r="H77" s="11"/>
      <c r="I77" s="11"/>
      <c r="J77" s="11"/>
      <c r="K77" s="11"/>
      <c r="L77" s="11"/>
      <c r="M77" s="44"/>
      <c r="N77" s="44"/>
      <c r="O77" s="11"/>
    </row>
    <row r="78" spans="1:19" ht="19">
      <c r="E78" s="11"/>
      <c r="F78" s="208"/>
      <c r="G78" s="44"/>
      <c r="H78" s="65"/>
      <c r="I78" s="65"/>
      <c r="J78" s="65"/>
      <c r="K78" s="65"/>
      <c r="L78" s="65"/>
      <c r="M78" s="44"/>
      <c r="N78" s="11"/>
      <c r="O78" s="11"/>
    </row>
    <row r="79" spans="1:19" ht="19">
      <c r="F79" s="208"/>
      <c r="G79" s="44"/>
      <c r="H79" s="65"/>
      <c r="I79" s="65"/>
      <c r="J79" s="65"/>
      <c r="K79" s="65"/>
      <c r="L79" s="65"/>
    </row>
    <row r="80" spans="1:19" ht="19">
      <c r="H80" s="67"/>
      <c r="I80" s="67"/>
      <c r="J80" s="67"/>
      <c r="K80" s="67"/>
      <c r="L80" s="67"/>
    </row>
    <row r="81" spans="6:15">
      <c r="F81" s="208"/>
      <c r="G81" s="44"/>
      <c r="H81" s="11"/>
      <c r="I81" s="11"/>
      <c r="J81" s="11"/>
      <c r="K81" s="11"/>
      <c r="L81" s="11"/>
      <c r="M81" s="44"/>
      <c r="N81" s="11"/>
      <c r="O81" s="11"/>
    </row>
    <row r="82" spans="6:15">
      <c r="F82" s="208"/>
      <c r="G82" s="44"/>
      <c r="H82" s="11"/>
      <c r="I82" s="11"/>
      <c r="J82" s="11"/>
      <c r="K82" s="11"/>
      <c r="L82" s="11"/>
      <c r="M82" s="44"/>
      <c r="N82" s="11"/>
      <c r="O82" s="11"/>
    </row>
    <row r="83" spans="6:15">
      <c r="F83" s="189"/>
      <c r="G83" s="42"/>
      <c r="H83" s="4"/>
      <c r="I83" s="4"/>
      <c r="J83" s="4"/>
      <c r="K83" s="4"/>
      <c r="L83" s="4"/>
      <c r="M83" s="42"/>
      <c r="N83" s="4"/>
      <c r="O83" s="4"/>
    </row>
  </sheetData>
  <mergeCells count="122">
    <mergeCell ref="H38:L38"/>
    <mergeCell ref="H37:L37"/>
    <mergeCell ref="H36:L36"/>
    <mergeCell ref="H35:L35"/>
    <mergeCell ref="H34:L34"/>
    <mergeCell ref="A34:D34"/>
    <mergeCell ref="A37:D37"/>
    <mergeCell ref="P30:P32"/>
    <mergeCell ref="F23:F24"/>
    <mergeCell ref="H23:H24"/>
    <mergeCell ref="I23:L23"/>
    <mergeCell ref="P23:P25"/>
    <mergeCell ref="A18:A25"/>
    <mergeCell ref="H21:L21"/>
    <mergeCell ref="H20:L20"/>
    <mergeCell ref="H19:L19"/>
    <mergeCell ref="H18:L18"/>
    <mergeCell ref="A26:A32"/>
    <mergeCell ref="C18:C22"/>
    <mergeCell ref="P26:P29"/>
    <mergeCell ref="B26:B29"/>
    <mergeCell ref="C26:C29"/>
    <mergeCell ref="H28:L28"/>
    <mergeCell ref="H27:L27"/>
    <mergeCell ref="H41:L41"/>
    <mergeCell ref="H40:L40"/>
    <mergeCell ref="H39:L39"/>
    <mergeCell ref="P15:P17"/>
    <mergeCell ref="A11:A17"/>
    <mergeCell ref="A33:D33"/>
    <mergeCell ref="B11:B14"/>
    <mergeCell ref="C11:C14"/>
    <mergeCell ref="P18:P22"/>
    <mergeCell ref="H26:L26"/>
    <mergeCell ref="P11:P14"/>
    <mergeCell ref="H33:L33"/>
    <mergeCell ref="H29:L29"/>
    <mergeCell ref="A36:D36"/>
    <mergeCell ref="A40:D40"/>
    <mergeCell ref="A41:D41"/>
    <mergeCell ref="B18:B22"/>
    <mergeCell ref="H14:L14"/>
    <mergeCell ref="H13:L13"/>
    <mergeCell ref="H12:L12"/>
    <mergeCell ref="H11:L11"/>
    <mergeCell ref="H22:L22"/>
    <mergeCell ref="A35:D35"/>
    <mergeCell ref="F15:F16"/>
    <mergeCell ref="F30:F31"/>
    <mergeCell ref="H30:H31"/>
    <mergeCell ref="I30:L30"/>
    <mergeCell ref="B15:B17"/>
    <mergeCell ref="C15:C17"/>
    <mergeCell ref="D15:D17"/>
    <mergeCell ref="B23:B25"/>
    <mergeCell ref="C23:C25"/>
    <mergeCell ref="D23:D25"/>
    <mergeCell ref="B30:B32"/>
    <mergeCell ref="C30:C32"/>
    <mergeCell ref="D30:D32"/>
    <mergeCell ref="H15:H16"/>
    <mergeCell ref="I15:L15"/>
    <mergeCell ref="B65:D65"/>
    <mergeCell ref="B66:D66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A39:D39"/>
    <mergeCell ref="A44:D44"/>
    <mergeCell ref="H2:L2"/>
    <mergeCell ref="H3:L3"/>
    <mergeCell ref="H10:L10"/>
    <mergeCell ref="H9:L9"/>
    <mergeCell ref="H8:L8"/>
    <mergeCell ref="H7:L7"/>
    <mergeCell ref="H6:L6"/>
    <mergeCell ref="H5:L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  <mergeCell ref="P5:P10"/>
    <mergeCell ref="G1:O1"/>
    <mergeCell ref="H46:L46"/>
    <mergeCell ref="H45:L45"/>
    <mergeCell ref="H44:L44"/>
    <mergeCell ref="H43:L43"/>
    <mergeCell ref="H42:L42"/>
    <mergeCell ref="H58:L58"/>
    <mergeCell ref="H57:L57"/>
    <mergeCell ref="H56:L56"/>
    <mergeCell ref="H55:L55"/>
    <mergeCell ref="H63:L63"/>
    <mergeCell ref="H62:L62"/>
    <mergeCell ref="H61:L61"/>
    <mergeCell ref="H60:L60"/>
    <mergeCell ref="H59:L59"/>
    <mergeCell ref="H70:L70"/>
    <mergeCell ref="H67:L67"/>
    <mergeCell ref="H66:L66"/>
    <mergeCell ref="H65:L65"/>
    <mergeCell ref="H64:L64"/>
  </mergeCells>
  <pageMargins left="0.19685039370078741" right="0.19685039370078741" top="0.59055118110236227" bottom="0.19685039370078741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Пользователь Microsoft Office</cp:lastModifiedBy>
  <cp:lastPrinted>2024-07-23T08:22:09Z</cp:lastPrinted>
  <dcterms:created xsi:type="dcterms:W3CDTF">2020-11-02T07:16:17Z</dcterms:created>
  <dcterms:modified xsi:type="dcterms:W3CDTF">2024-08-20T19:10:51Z</dcterms:modified>
</cp:coreProperties>
</file>