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0.4\общая\ГУБЕРНСКАЯ\ПРОГРАММА ОБРАЗОВАНИЕ 2023-2027\2025\3. Программа №1608 от 19.03.2025 - уточнение (совет депутатов)\"/>
    </mc:Choice>
  </mc:AlternateContent>
  <bookViews>
    <workbookView xWindow="0" yWindow="0" windowWidth="28800" windowHeight="12435" tabRatio="697"/>
  </bookViews>
  <sheets>
    <sheet name="Подпрограмма 1" sheetId="2" r:id="rId1"/>
    <sheet name="Подпрограмма 2" sheetId="3" r:id="rId2"/>
    <sheet name="Подпрограмма 3" sheetId="9" r:id="rId3"/>
  </sheets>
  <externalReferences>
    <externalReference r:id="rId4"/>
  </externalReferences>
  <definedNames>
    <definedName name="_xlnm._FilterDatabase" localSheetId="0" hidden="1">'Подпрограмма 1'!$A$13:$U$402</definedName>
    <definedName name="_xlnm._FilterDatabase" localSheetId="1" hidden="1">'Подпрограмма 2'!$A$6:$AA$99</definedName>
    <definedName name="_xlnm.Print_Titles" localSheetId="0">'Подпрограмма 1'!$11:$14</definedName>
    <definedName name="_xlnm.Print_Titles" localSheetId="1">'Подпрограмма 2'!$1:$4</definedName>
    <definedName name="_xlnm.Print_Titles" localSheetId="2">'Подпрограмма 3'!$1:$3</definedName>
    <definedName name="_xlnm.Print_Area" localSheetId="0">'Подпрограмма 1'!$A$1:$P$402</definedName>
    <definedName name="_xlnm.Print_Area" localSheetId="1">'Подпрограмма 2'!$A$1:$P$99</definedName>
    <definedName name="_xlnm.Print_Area" localSheetId="2">'Подпрограмма 3'!$A$1:$P$52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4" i="2" l="1"/>
  <c r="I363" i="2"/>
  <c r="I362" i="2"/>
  <c r="I13" i="9"/>
  <c r="I209" i="2"/>
  <c r="H17" i="2"/>
  <c r="G19" i="2"/>
  <c r="G248" i="2"/>
  <c r="I23" i="3" l="1"/>
  <c r="N23" i="3"/>
  <c r="O23" i="3"/>
  <c r="N60" i="3" l="1"/>
  <c r="O60" i="3"/>
  <c r="N61" i="3"/>
  <c r="O61" i="3"/>
  <c r="N62" i="3"/>
  <c r="O62" i="3"/>
  <c r="O59" i="3"/>
  <c r="N59" i="3"/>
  <c r="I60" i="3"/>
  <c r="I61" i="3"/>
  <c r="I62" i="3"/>
  <c r="I59" i="3"/>
  <c r="G60" i="3"/>
  <c r="H60" i="3"/>
  <c r="G61" i="3"/>
  <c r="H61" i="3"/>
  <c r="G62" i="3"/>
  <c r="H62" i="3"/>
  <c r="H59" i="3"/>
  <c r="G59" i="3"/>
  <c r="N20" i="3"/>
  <c r="O20" i="3"/>
  <c r="O19" i="3"/>
  <c r="N19" i="3"/>
  <c r="I20" i="3"/>
  <c r="I21" i="3"/>
  <c r="I19" i="3"/>
  <c r="G20" i="3"/>
  <c r="H20" i="3"/>
  <c r="G21" i="3"/>
  <c r="H21" i="3"/>
  <c r="H19" i="3"/>
  <c r="G19" i="3"/>
  <c r="O247" i="2"/>
  <c r="O248" i="2"/>
  <c r="N249" i="2"/>
  <c r="O249" i="2"/>
  <c r="O246" i="2"/>
  <c r="N246" i="2"/>
  <c r="I249" i="2"/>
  <c r="I246" i="2"/>
  <c r="G249" i="2"/>
  <c r="H249" i="2"/>
  <c r="G247" i="2"/>
  <c r="H247" i="2"/>
  <c r="H248" i="2"/>
  <c r="H246" i="2"/>
  <c r="G246" i="2"/>
  <c r="G236" i="2"/>
  <c r="H236" i="2"/>
  <c r="H235" i="2"/>
  <c r="G235" i="2"/>
  <c r="O20" i="2" l="1"/>
  <c r="N20" i="2"/>
  <c r="O18" i="2"/>
  <c r="N18" i="2"/>
  <c r="O17" i="2"/>
  <c r="N17" i="2"/>
  <c r="I17" i="2"/>
  <c r="H20" i="2"/>
  <c r="G18" i="2"/>
  <c r="H18" i="2"/>
  <c r="H19" i="2"/>
  <c r="G17" i="2"/>
  <c r="G150" i="2"/>
  <c r="I84" i="2"/>
  <c r="H84" i="2"/>
  <c r="H21" i="2" s="1"/>
  <c r="H23" i="3"/>
  <c r="G23" i="3"/>
  <c r="F45" i="3"/>
  <c r="N371" i="2" l="1"/>
  <c r="O371" i="2"/>
  <c r="N372" i="2"/>
  <c r="O372" i="2"/>
  <c r="N373" i="2"/>
  <c r="O373" i="2"/>
  <c r="O370" i="2"/>
  <c r="N370" i="2"/>
  <c r="F32" i="9"/>
  <c r="I370" i="2"/>
  <c r="F76" i="2"/>
  <c r="F75" i="2"/>
  <c r="F74" i="2"/>
  <c r="F73" i="2"/>
  <c r="F394" i="2" l="1"/>
  <c r="F387" i="2"/>
  <c r="F368" i="2"/>
  <c r="N347" i="2" l="1"/>
  <c r="O347" i="2"/>
  <c r="N348" i="2"/>
  <c r="O348" i="2"/>
  <c r="N349" i="2"/>
  <c r="O349" i="2"/>
  <c r="O346" i="2"/>
  <c r="N346" i="2"/>
  <c r="I347" i="2"/>
  <c r="I348" i="2"/>
  <c r="I349" i="2"/>
  <c r="I346" i="2"/>
  <c r="G347" i="2"/>
  <c r="H347" i="2"/>
  <c r="G348" i="2"/>
  <c r="H348" i="2"/>
  <c r="G349" i="2"/>
  <c r="H349" i="2"/>
  <c r="H346" i="2"/>
  <c r="G346" i="2"/>
  <c r="N321" i="2"/>
  <c r="O321" i="2"/>
  <c r="N322" i="2"/>
  <c r="O322" i="2"/>
  <c r="N323" i="2"/>
  <c r="O323" i="2"/>
  <c r="O320" i="2"/>
  <c r="N320" i="2"/>
  <c r="I321" i="2"/>
  <c r="I322" i="2"/>
  <c r="I323" i="2"/>
  <c r="I320" i="2"/>
  <c r="G322" i="2"/>
  <c r="H322" i="2"/>
  <c r="G323" i="2"/>
  <c r="H323" i="2"/>
  <c r="H320" i="2"/>
  <c r="H321" i="2"/>
  <c r="G321" i="2"/>
  <c r="G320" i="2"/>
  <c r="I149" i="2" l="1"/>
  <c r="I150" i="2"/>
  <c r="I152" i="2"/>
  <c r="I151" i="2"/>
  <c r="R396" i="2" s="1"/>
  <c r="F147" i="2"/>
  <c r="S148" i="2" l="1"/>
  <c r="S147" i="2"/>
  <c r="N22" i="9" l="1"/>
  <c r="I22" i="9" s="1"/>
  <c r="H21" i="9"/>
  <c r="H59" i="9"/>
  <c r="H58" i="9"/>
  <c r="H60" i="9" s="1"/>
  <c r="H56" i="9"/>
  <c r="H55" i="9"/>
  <c r="H57" i="9" s="1"/>
  <c r="H10" i="9"/>
  <c r="H38" i="9" s="1"/>
  <c r="H9" i="9"/>
  <c r="H8" i="9"/>
  <c r="H36" i="9" s="1"/>
  <c r="H7" i="9"/>
  <c r="H35" i="9" s="1"/>
  <c r="H6" i="9"/>
  <c r="H34" i="9" s="1"/>
  <c r="F81" i="3"/>
  <c r="F17" i="3"/>
  <c r="H27" i="3"/>
  <c r="H22" i="3" s="1"/>
  <c r="H104" i="3"/>
  <c r="H87" i="3"/>
  <c r="H86" i="3"/>
  <c r="H85" i="3"/>
  <c r="H84" i="3"/>
  <c r="H83" i="3"/>
  <c r="H74" i="3"/>
  <c r="H73" i="3"/>
  <c r="H72" i="3"/>
  <c r="H71" i="3"/>
  <c r="H49" i="3"/>
  <c r="H48" i="3"/>
  <c r="H50" i="3"/>
  <c r="H47" i="3"/>
  <c r="H99" i="3"/>
  <c r="H109" i="3" s="1"/>
  <c r="H108" i="3" s="1"/>
  <c r="H10" i="3"/>
  <c r="H98" i="3" s="1"/>
  <c r="H9" i="3"/>
  <c r="H8" i="3"/>
  <c r="H7" i="3"/>
  <c r="H95" i="3" s="1"/>
  <c r="F386" i="2"/>
  <c r="F385" i="2"/>
  <c r="F384" i="2"/>
  <c r="F383" i="2"/>
  <c r="F382" i="2"/>
  <c r="F381" i="2"/>
  <c r="F380" i="2"/>
  <c r="I359" i="2"/>
  <c r="I360" i="2"/>
  <c r="R397" i="2" s="1"/>
  <c r="I361" i="2"/>
  <c r="I358" i="2"/>
  <c r="O361" i="2"/>
  <c r="N361" i="2"/>
  <c r="O360" i="2"/>
  <c r="N360" i="2"/>
  <c r="O359" i="2"/>
  <c r="N359" i="2"/>
  <c r="O358" i="2"/>
  <c r="N358" i="2"/>
  <c r="G359" i="2"/>
  <c r="H359" i="2"/>
  <c r="G360" i="2"/>
  <c r="H360" i="2"/>
  <c r="G361" i="2"/>
  <c r="H361" i="2"/>
  <c r="H358" i="2"/>
  <c r="G358" i="2"/>
  <c r="F367" i="2"/>
  <c r="F366" i="2"/>
  <c r="F365" i="2"/>
  <c r="F364" i="2"/>
  <c r="F363" i="2"/>
  <c r="F362" i="2"/>
  <c r="E359" i="2"/>
  <c r="E358" i="2"/>
  <c r="F344" i="2"/>
  <c r="F337" i="2"/>
  <c r="F330" i="2"/>
  <c r="F306" i="2"/>
  <c r="F393" i="2"/>
  <c r="F392" i="2"/>
  <c r="F391" i="2"/>
  <c r="F390" i="2"/>
  <c r="F389" i="2"/>
  <c r="F388" i="2"/>
  <c r="F379" i="2"/>
  <c r="F378" i="2"/>
  <c r="F377" i="2"/>
  <c r="F376" i="2"/>
  <c r="F375" i="2"/>
  <c r="F374" i="2"/>
  <c r="F353" i="2"/>
  <c r="F350" i="2"/>
  <c r="F341" i="2"/>
  <c r="F340" i="2"/>
  <c r="F339" i="2"/>
  <c r="F338" i="2"/>
  <c r="F334" i="2"/>
  <c r="F333" i="2"/>
  <c r="F332" i="2"/>
  <c r="F331" i="2"/>
  <c r="F326" i="2"/>
  <c r="F325" i="2"/>
  <c r="F324" i="2"/>
  <c r="F315" i="2"/>
  <c r="F314" i="2"/>
  <c r="F313" i="2"/>
  <c r="F312" i="2"/>
  <c r="F303" i="2"/>
  <c r="F302" i="2"/>
  <c r="F301" i="2"/>
  <c r="F300" i="2"/>
  <c r="F253" i="2"/>
  <c r="F250" i="2"/>
  <c r="F241" i="2"/>
  <c r="F238" i="2"/>
  <c r="F229" i="2"/>
  <c r="F228" i="2"/>
  <c r="F227" i="2"/>
  <c r="F226" i="2"/>
  <c r="F217" i="2"/>
  <c r="F216" i="2"/>
  <c r="F215" i="2"/>
  <c r="F214" i="2"/>
  <c r="F210" i="2"/>
  <c r="F209" i="2"/>
  <c r="F208" i="2"/>
  <c r="F207" i="2"/>
  <c r="F198" i="2"/>
  <c r="F197" i="2"/>
  <c r="F196" i="2"/>
  <c r="F195" i="2"/>
  <c r="F191" i="2"/>
  <c r="F190" i="2"/>
  <c r="F189" i="2"/>
  <c r="F188" i="2"/>
  <c r="F184" i="2"/>
  <c r="F183" i="2"/>
  <c r="F182" i="2"/>
  <c r="F181" i="2"/>
  <c r="F177" i="2"/>
  <c r="F176" i="2"/>
  <c r="F174" i="2"/>
  <c r="F168" i="2"/>
  <c r="F169" i="2"/>
  <c r="F170" i="2"/>
  <c r="F167" i="2"/>
  <c r="F161" i="2"/>
  <c r="F162" i="2"/>
  <c r="F163" i="2"/>
  <c r="F153" i="2"/>
  <c r="F155" i="2"/>
  <c r="F156" i="2"/>
  <c r="F144" i="2"/>
  <c r="F143" i="2"/>
  <c r="F142" i="2"/>
  <c r="F141" i="2"/>
  <c r="F137" i="2"/>
  <c r="F136" i="2"/>
  <c r="F135" i="2"/>
  <c r="F134" i="2"/>
  <c r="F130" i="2"/>
  <c r="F129" i="2"/>
  <c r="F128" i="2"/>
  <c r="F127" i="2"/>
  <c r="F123" i="2"/>
  <c r="F122" i="2"/>
  <c r="F121" i="2"/>
  <c r="F120" i="2"/>
  <c r="F112" i="2"/>
  <c r="F116" i="2"/>
  <c r="F114" i="2"/>
  <c r="F113" i="2"/>
  <c r="F109" i="2"/>
  <c r="F108" i="2"/>
  <c r="F107" i="2"/>
  <c r="F106" i="2"/>
  <c r="F102" i="2"/>
  <c r="F101" i="2"/>
  <c r="F99" i="2"/>
  <c r="F98" i="2"/>
  <c r="F96" i="2"/>
  <c r="F92" i="2"/>
  <c r="F90" i="2"/>
  <c r="F89" i="2"/>
  <c r="F85" i="2"/>
  <c r="F83" i="2"/>
  <c r="F81" i="2"/>
  <c r="F80" i="2"/>
  <c r="F69" i="2"/>
  <c r="F68" i="2"/>
  <c r="F67" i="2"/>
  <c r="F66" i="2"/>
  <c r="F62" i="2"/>
  <c r="F61" i="2"/>
  <c r="F60" i="2"/>
  <c r="F59" i="2"/>
  <c r="F55" i="2"/>
  <c r="F54" i="2"/>
  <c r="F53" i="2"/>
  <c r="F52" i="2"/>
  <c r="F48" i="2"/>
  <c r="F47" i="2"/>
  <c r="F46" i="2"/>
  <c r="F45" i="2"/>
  <c r="F44" i="2"/>
  <c r="F40" i="2"/>
  <c r="F41" i="2"/>
  <c r="F38" i="2"/>
  <c r="F39" i="2"/>
  <c r="F34" i="2"/>
  <c r="F33" i="2"/>
  <c r="F32" i="2"/>
  <c r="F31" i="2"/>
  <c r="F27" i="2"/>
  <c r="F25" i="2"/>
  <c r="F24" i="2"/>
  <c r="F294" i="2"/>
  <c r="F288" i="2"/>
  <c r="F260" i="2"/>
  <c r="F267" i="2"/>
  <c r="F274" i="2"/>
  <c r="F284" i="2"/>
  <c r="F282" i="2"/>
  <c r="F281" i="2"/>
  <c r="F283" i="2"/>
  <c r="F287" i="2"/>
  <c r="F280" i="2"/>
  <c r="F273" i="2"/>
  <c r="F266" i="2"/>
  <c r="F259" i="2"/>
  <c r="F256" i="2"/>
  <c r="F166" i="2"/>
  <c r="H96" i="3" l="1"/>
  <c r="H6" i="3"/>
  <c r="H97" i="3"/>
  <c r="H82" i="3"/>
  <c r="F17" i="2"/>
  <c r="H106" i="3"/>
  <c r="H105" i="3"/>
  <c r="H107" i="3"/>
  <c r="H46" i="3"/>
  <c r="F361" i="2"/>
  <c r="H5" i="9"/>
  <c r="H37" i="9"/>
  <c r="H33" i="9" s="1"/>
  <c r="H18" i="3"/>
  <c r="H70" i="3"/>
  <c r="H58" i="3"/>
  <c r="F359" i="2"/>
  <c r="F358" i="2"/>
  <c r="I357" i="2"/>
  <c r="N357" i="2"/>
  <c r="H357" i="2"/>
  <c r="G357" i="2"/>
  <c r="O357" i="2"/>
  <c r="F360" i="2"/>
  <c r="I20" i="2"/>
  <c r="F30" i="2"/>
  <c r="H94" i="3" l="1"/>
  <c r="H110" i="3"/>
  <c r="F357" i="2"/>
  <c r="O100" i="2" l="1"/>
  <c r="N100" i="2"/>
  <c r="I100" i="2"/>
  <c r="I21" i="2" s="1"/>
  <c r="G409" i="2" l="1"/>
  <c r="G405" i="2"/>
  <c r="G406" i="2" s="1"/>
  <c r="G373" i="2"/>
  <c r="G372" i="2"/>
  <c r="G371" i="2"/>
  <c r="G370" i="2"/>
  <c r="F323" i="2"/>
  <c r="G311" i="2"/>
  <c r="G310" i="2"/>
  <c r="G309" i="2"/>
  <c r="G308" i="2"/>
  <c r="G299" i="2"/>
  <c r="G298" i="2"/>
  <c r="G297" i="2"/>
  <c r="G296" i="2"/>
  <c r="G237" i="2"/>
  <c r="G234" i="2"/>
  <c r="G225" i="2"/>
  <c r="G224" i="2"/>
  <c r="G398" i="2" s="1"/>
  <c r="G223" i="2"/>
  <c r="G222" i="2"/>
  <c r="G206" i="2"/>
  <c r="G205" i="2"/>
  <c r="G204" i="2"/>
  <c r="G203" i="2"/>
  <c r="G152" i="2"/>
  <c r="G151" i="2"/>
  <c r="G149" i="2"/>
  <c r="G100" i="2"/>
  <c r="G84" i="2"/>
  <c r="G23" i="2"/>
  <c r="G22" i="2"/>
  <c r="G20" i="2"/>
  <c r="G396" i="2" l="1"/>
  <c r="G397" i="2"/>
  <c r="F100" i="2"/>
  <c r="G21" i="2"/>
  <c r="G400" i="2" s="1"/>
  <c r="G410" i="2"/>
  <c r="G411" i="2"/>
  <c r="G399" i="2"/>
  <c r="G43" i="9" s="1"/>
  <c r="G401" i="2"/>
  <c r="G307" i="2"/>
  <c r="G402" i="2"/>
  <c r="G46" i="9" s="1"/>
  <c r="G345" i="2"/>
  <c r="G221" i="2"/>
  <c r="G245" i="2"/>
  <c r="G148" i="2"/>
  <c r="G233" i="2"/>
  <c r="G202" i="2"/>
  <c r="G319" i="2"/>
  <c r="G295" i="2"/>
  <c r="G369" i="2"/>
  <c r="O20" i="9"/>
  <c r="N20" i="9"/>
  <c r="O34" i="3"/>
  <c r="O21" i="3" s="1"/>
  <c r="N34" i="3"/>
  <c r="N21" i="3" s="1"/>
  <c r="O115" i="2"/>
  <c r="N115" i="2"/>
  <c r="O91" i="2"/>
  <c r="N91" i="2"/>
  <c r="F91" i="2" l="1"/>
  <c r="G412" i="2"/>
  <c r="G16" i="2"/>
  <c r="G395" i="2"/>
  <c r="F115" i="2"/>
  <c r="G415" i="2"/>
  <c r="G414" i="2"/>
  <c r="G413" i="2" l="1"/>
  <c r="G416" i="2" s="1"/>
  <c r="N82" i="2"/>
  <c r="O82" i="2"/>
  <c r="I373" i="2"/>
  <c r="H373" i="2"/>
  <c r="I372" i="2"/>
  <c r="H372" i="2"/>
  <c r="E372" i="2"/>
  <c r="H371" i="2"/>
  <c r="E371" i="2"/>
  <c r="H370" i="2"/>
  <c r="E370" i="2"/>
  <c r="F370" i="2" l="1"/>
  <c r="F372" i="2"/>
  <c r="F373" i="2"/>
  <c r="F82" i="2"/>
  <c r="E369" i="2"/>
  <c r="N369" i="2"/>
  <c r="O369" i="2"/>
  <c r="I371" i="2"/>
  <c r="I369" i="2" s="1"/>
  <c r="H369" i="2"/>
  <c r="F369" i="2" l="1"/>
  <c r="F371" i="2"/>
  <c r="F352" i="2"/>
  <c r="F351" i="2" l="1"/>
  <c r="F52" i="3"/>
  <c r="O22" i="9" l="1"/>
  <c r="F57" i="3" l="1"/>
  <c r="I26" i="2" l="1"/>
  <c r="I19" i="2" l="1"/>
  <c r="Q396" i="2" s="1"/>
  <c r="H150" i="2"/>
  <c r="I240" i="2" l="1"/>
  <c r="I239" i="2"/>
  <c r="I252" i="2"/>
  <c r="I251" i="2"/>
  <c r="I247" i="2" s="1"/>
  <c r="I262" i="2"/>
  <c r="I261" i="2"/>
  <c r="I268" i="2"/>
  <c r="I269" i="2"/>
  <c r="I276" i="2"/>
  <c r="I275" i="2"/>
  <c r="I290" i="2"/>
  <c r="F290" i="2" s="1"/>
  <c r="I289" i="2"/>
  <c r="F289" i="2" s="1"/>
  <c r="I248" i="2" l="1"/>
  <c r="F239" i="2"/>
  <c r="I235" i="2"/>
  <c r="F240" i="2"/>
  <c r="I236" i="2"/>
  <c r="I205" i="2"/>
  <c r="Q397" i="2" s="1"/>
  <c r="I204" i="2"/>
  <c r="F327" i="2"/>
  <c r="F291" i="2"/>
  <c r="F277" i="2"/>
  <c r="F270" i="2"/>
  <c r="F263" i="2"/>
  <c r="H409" i="2"/>
  <c r="H405" i="2"/>
  <c r="H406" i="2" s="1"/>
  <c r="H311" i="2"/>
  <c r="H310" i="2"/>
  <c r="H309" i="2"/>
  <c r="H308" i="2"/>
  <c r="H297" i="2"/>
  <c r="H299" i="2"/>
  <c r="H298" i="2"/>
  <c r="H296" i="2"/>
  <c r="H237" i="2"/>
  <c r="H234" i="2"/>
  <c r="H225" i="2"/>
  <c r="H224" i="2"/>
  <c r="H223" i="2"/>
  <c r="H222" i="2"/>
  <c r="H396" i="2" s="1"/>
  <c r="H205" i="2"/>
  <c r="H206" i="2"/>
  <c r="H204" i="2"/>
  <c r="H203" i="2"/>
  <c r="H151" i="2"/>
  <c r="H152" i="2"/>
  <c r="H149" i="2"/>
  <c r="H23" i="2"/>
  <c r="H22" i="2"/>
  <c r="F88" i="3"/>
  <c r="F89" i="3"/>
  <c r="F90" i="3"/>
  <c r="F76" i="3"/>
  <c r="F77" i="3"/>
  <c r="F78" i="3"/>
  <c r="F64" i="3"/>
  <c r="F66" i="3"/>
  <c r="F63" i="3"/>
  <c r="F40" i="3"/>
  <c r="F41" i="3"/>
  <c r="F42" i="3"/>
  <c r="F39" i="3"/>
  <c r="F33" i="3"/>
  <c r="F34" i="3"/>
  <c r="F35" i="3"/>
  <c r="F32" i="3"/>
  <c r="F24" i="3"/>
  <c r="F25" i="3"/>
  <c r="F28" i="3"/>
  <c r="F11" i="3"/>
  <c r="F12" i="3"/>
  <c r="F13" i="3"/>
  <c r="F14" i="3"/>
  <c r="G104" i="3"/>
  <c r="G85" i="3"/>
  <c r="G86" i="3"/>
  <c r="G84" i="3"/>
  <c r="G83" i="3"/>
  <c r="G74" i="3"/>
  <c r="G73" i="3"/>
  <c r="G72" i="3"/>
  <c r="G71" i="3"/>
  <c r="G49" i="3"/>
  <c r="G48" i="3"/>
  <c r="G50" i="3"/>
  <c r="G47" i="3"/>
  <c r="G27" i="3"/>
  <c r="G22" i="3" s="1"/>
  <c r="G99" i="3"/>
  <c r="G10" i="3"/>
  <c r="G9" i="3"/>
  <c r="G8" i="3"/>
  <c r="G7" i="3"/>
  <c r="G95" i="3" s="1"/>
  <c r="F27" i="9"/>
  <c r="F28" i="9"/>
  <c r="F29" i="9"/>
  <c r="F26" i="9"/>
  <c r="F19" i="9"/>
  <c r="F22" i="9"/>
  <c r="F18" i="9"/>
  <c r="F12" i="9"/>
  <c r="F13" i="9"/>
  <c r="F14" i="9"/>
  <c r="F11" i="9"/>
  <c r="G21" i="9"/>
  <c r="G9" i="9" s="1"/>
  <c r="G37" i="9" s="1"/>
  <c r="G6" i="9"/>
  <c r="I6" i="9"/>
  <c r="G7" i="9"/>
  <c r="G35" i="9" s="1"/>
  <c r="I7" i="9"/>
  <c r="G8" i="9"/>
  <c r="I8" i="9"/>
  <c r="G10" i="9"/>
  <c r="G38" i="9" s="1"/>
  <c r="I10" i="9"/>
  <c r="G34" i="9"/>
  <c r="H397" i="2" l="1"/>
  <c r="G6" i="3"/>
  <c r="G97" i="3"/>
  <c r="G96" i="3"/>
  <c r="G41" i="9" s="1"/>
  <c r="H400" i="2"/>
  <c r="H398" i="2"/>
  <c r="H42" i="9" s="1"/>
  <c r="G98" i="3"/>
  <c r="G40" i="9"/>
  <c r="H41" i="9"/>
  <c r="H40" i="9"/>
  <c r="G45" i="9"/>
  <c r="H399" i="2"/>
  <c r="H401" i="2"/>
  <c r="H45" i="9" s="1"/>
  <c r="H402" i="2"/>
  <c r="H46" i="9" s="1"/>
  <c r="H221" i="2"/>
  <c r="Y46" i="9"/>
  <c r="G36" i="9"/>
  <c r="G33" i="9" s="1"/>
  <c r="G109" i="3"/>
  <c r="G108" i="3" s="1"/>
  <c r="G58" i="3"/>
  <c r="G46" i="3"/>
  <c r="H295" i="2"/>
  <c r="H307" i="2"/>
  <c r="H345" i="2"/>
  <c r="H319" i="2"/>
  <c r="H245" i="2"/>
  <c r="H148" i="2"/>
  <c r="H202" i="2"/>
  <c r="H233" i="2"/>
  <c r="G82" i="3"/>
  <c r="G70" i="3"/>
  <c r="G18" i="3"/>
  <c r="G5" i="9"/>
  <c r="G106" i="3" l="1"/>
  <c r="Y43" i="9"/>
  <c r="H43" i="9"/>
  <c r="G42" i="9"/>
  <c r="Y42" i="9" s="1"/>
  <c r="H415" i="2"/>
  <c r="H414" i="2"/>
  <c r="Y45" i="9"/>
  <c r="G44" i="9"/>
  <c r="G105" i="3"/>
  <c r="G107" i="3"/>
  <c r="H411" i="2"/>
  <c r="Y41" i="9"/>
  <c r="H412" i="2"/>
  <c r="H16" i="2"/>
  <c r="Y40" i="9"/>
  <c r="G94" i="3"/>
  <c r="H413" i="2" l="1"/>
  <c r="G110" i="3"/>
  <c r="Y44" i="9"/>
  <c r="G39" i="9"/>
  <c r="H395" i="2"/>
  <c r="H410" i="2"/>
  <c r="H416" i="2" s="1"/>
  <c r="F20" i="9" l="1"/>
  <c r="N275" i="2" l="1"/>
  <c r="F275" i="2" s="1"/>
  <c r="N268" i="2"/>
  <c r="F268" i="2" s="1"/>
  <c r="N261" i="2"/>
  <c r="F261" i="2" s="1"/>
  <c r="N251" i="2"/>
  <c r="N276" i="2"/>
  <c r="F276" i="2" s="1"/>
  <c r="F251" i="2" l="1"/>
  <c r="N247" i="2"/>
  <c r="N269" i="2"/>
  <c r="F269" i="2" s="1"/>
  <c r="N262" i="2" l="1"/>
  <c r="F262" i="2" s="1"/>
  <c r="N252" i="2"/>
  <c r="N204" i="2"/>
  <c r="O204" i="2"/>
  <c r="F252" i="2" l="1"/>
  <c r="N248" i="2"/>
  <c r="F204" i="2"/>
  <c r="F65" i="3" l="1"/>
  <c r="N21" i="9"/>
  <c r="O21" i="9"/>
  <c r="F26" i="3" l="1"/>
  <c r="F61" i="3"/>
  <c r="O175" i="2"/>
  <c r="N175" i="2"/>
  <c r="O149" i="2"/>
  <c r="O154" i="2"/>
  <c r="N154" i="2"/>
  <c r="F154" i="2" s="1"/>
  <c r="F175" i="2" l="1"/>
  <c r="O151" i="2"/>
  <c r="N150" i="2"/>
  <c r="N151" i="2"/>
  <c r="O150" i="2"/>
  <c r="F150" i="2" l="1"/>
  <c r="O26" i="2"/>
  <c r="O19" i="2" s="1"/>
  <c r="N26" i="2"/>
  <c r="F26" i="2" l="1"/>
  <c r="F19" i="2" s="1"/>
  <c r="N19" i="2"/>
  <c r="O245" i="2" l="1"/>
  <c r="N245" i="2"/>
  <c r="I21" i="9" l="1"/>
  <c r="I9" i="9" l="1"/>
  <c r="F21" i="9"/>
  <c r="I5" i="9" l="1"/>
  <c r="I47" i="3"/>
  <c r="N47" i="3"/>
  <c r="O47" i="3"/>
  <c r="N50" i="3"/>
  <c r="O50" i="3"/>
  <c r="I50" i="3"/>
  <c r="F248" i="2"/>
  <c r="I97" i="2"/>
  <c r="I18" i="2" s="1"/>
  <c r="F97" i="2" l="1"/>
  <c r="F18" i="2" s="1"/>
  <c r="F54" i="3"/>
  <c r="F53" i="3"/>
  <c r="F51" i="3"/>
  <c r="F50" i="3"/>
  <c r="E49" i="3"/>
  <c r="E48" i="3"/>
  <c r="F47" i="3"/>
  <c r="E46" i="3" l="1"/>
  <c r="O225" i="2"/>
  <c r="N225" i="2"/>
  <c r="I225" i="2"/>
  <c r="O224" i="2"/>
  <c r="N224" i="2"/>
  <c r="E224" i="2"/>
  <c r="E221" i="2" s="1"/>
  <c r="O223" i="2"/>
  <c r="N223" i="2"/>
  <c r="I223" i="2"/>
  <c r="O222" i="2"/>
  <c r="N222" i="2"/>
  <c r="I222" i="2"/>
  <c r="F225" i="2" l="1"/>
  <c r="F223" i="2"/>
  <c r="F222" i="2"/>
  <c r="O221" i="2"/>
  <c r="N221" i="2"/>
  <c r="I224" i="2"/>
  <c r="F224" i="2" l="1"/>
  <c r="I221" i="2"/>
  <c r="F221" i="2" s="1"/>
  <c r="F151" i="2" l="1"/>
  <c r="O311" i="2" l="1"/>
  <c r="N311" i="2"/>
  <c r="I311" i="2"/>
  <c r="O310" i="2"/>
  <c r="N310" i="2"/>
  <c r="I310" i="2"/>
  <c r="E310" i="2"/>
  <c r="O309" i="2"/>
  <c r="N309" i="2"/>
  <c r="I309" i="2"/>
  <c r="E309" i="2"/>
  <c r="O308" i="2"/>
  <c r="N308" i="2"/>
  <c r="I308" i="2"/>
  <c r="E308" i="2"/>
  <c r="F247" i="2"/>
  <c r="F311" i="2" l="1"/>
  <c r="F308" i="2"/>
  <c r="F309" i="2"/>
  <c r="F310" i="2"/>
  <c r="I307" i="2"/>
  <c r="E307" i="2"/>
  <c r="N307" i="2"/>
  <c r="O307" i="2"/>
  <c r="F307" i="2" l="1"/>
  <c r="N23" i="2"/>
  <c r="N402" i="2" s="1"/>
  <c r="O23" i="2"/>
  <c r="O402" i="2" s="1"/>
  <c r="I23" i="2"/>
  <c r="F23" i="2" l="1"/>
  <c r="I402" i="2"/>
  <c r="F408" i="2"/>
  <c r="G59" i="9" s="1"/>
  <c r="F402" i="2" l="1"/>
  <c r="H66" i="9"/>
  <c r="N58" i="9"/>
  <c r="O58" i="9"/>
  <c r="N59" i="9"/>
  <c r="O59" i="9"/>
  <c r="N55" i="9"/>
  <c r="O55" i="9"/>
  <c r="I59" i="9"/>
  <c r="I58" i="9"/>
  <c r="I56" i="9"/>
  <c r="I55" i="9"/>
  <c r="O56" i="9" l="1"/>
  <c r="N56" i="9"/>
  <c r="I415" i="2" l="1"/>
  <c r="F322" i="2" l="1"/>
  <c r="F246" i="2"/>
  <c r="N46" i="9" l="1"/>
  <c r="N66" i="9" s="1"/>
  <c r="O46" i="9"/>
  <c r="O66" i="9" s="1"/>
  <c r="I38" i="9"/>
  <c r="O9" i="9"/>
  <c r="O37" i="9" s="1"/>
  <c r="I34" i="9"/>
  <c r="N6" i="9"/>
  <c r="N34" i="9" s="1"/>
  <c r="O6" i="9"/>
  <c r="O34" i="9" s="1"/>
  <c r="N7" i="9"/>
  <c r="N35" i="9" s="1"/>
  <c r="O7" i="9"/>
  <c r="O35" i="9" s="1"/>
  <c r="N8" i="9"/>
  <c r="N36" i="9" s="1"/>
  <c r="O8" i="9"/>
  <c r="O36" i="9" s="1"/>
  <c r="N9" i="9"/>
  <c r="N37" i="9" s="1"/>
  <c r="N10" i="9"/>
  <c r="N38" i="9" s="1"/>
  <c r="O10" i="9"/>
  <c r="I36" i="9"/>
  <c r="U36" i="9" s="1"/>
  <c r="I35" i="9"/>
  <c r="F6" i="9" l="1"/>
  <c r="F34" i="9"/>
  <c r="F35" i="9"/>
  <c r="F7" i="9"/>
  <c r="F8" i="9"/>
  <c r="F10" i="9"/>
  <c r="F9" i="9"/>
  <c r="O38" i="9"/>
  <c r="N33" i="9"/>
  <c r="O33" i="9"/>
  <c r="N5" i="9"/>
  <c r="O5" i="9"/>
  <c r="O74" i="3"/>
  <c r="N74" i="3"/>
  <c r="I74" i="3"/>
  <c r="O73" i="3"/>
  <c r="N73" i="3"/>
  <c r="I73" i="3"/>
  <c r="E73" i="3"/>
  <c r="O72" i="3"/>
  <c r="N72" i="3"/>
  <c r="I72" i="3"/>
  <c r="E72" i="3"/>
  <c r="O71" i="3"/>
  <c r="N71" i="3"/>
  <c r="I71" i="3"/>
  <c r="E71" i="3"/>
  <c r="F87" i="3"/>
  <c r="O86" i="3"/>
  <c r="N86" i="3"/>
  <c r="I86" i="3"/>
  <c r="O85" i="3"/>
  <c r="N85" i="3"/>
  <c r="I85" i="3"/>
  <c r="O84" i="3"/>
  <c r="N84" i="3"/>
  <c r="I84" i="3"/>
  <c r="E84" i="3"/>
  <c r="O83" i="3"/>
  <c r="N83" i="3"/>
  <c r="I83" i="3"/>
  <c r="E83" i="3"/>
  <c r="F73" i="3" l="1"/>
  <c r="F74" i="3"/>
  <c r="F38" i="9"/>
  <c r="F84" i="3"/>
  <c r="F36" i="9"/>
  <c r="F62" i="3"/>
  <c r="F72" i="3"/>
  <c r="F5" i="9"/>
  <c r="N70" i="3"/>
  <c r="F85" i="3"/>
  <c r="F71" i="3"/>
  <c r="F75" i="3"/>
  <c r="I48" i="3"/>
  <c r="F59" i="3"/>
  <c r="F86" i="3"/>
  <c r="I49" i="3"/>
  <c r="F60" i="3"/>
  <c r="N49" i="3"/>
  <c r="O48" i="3"/>
  <c r="O49" i="3"/>
  <c r="N48" i="3"/>
  <c r="N82" i="3"/>
  <c r="I70" i="3"/>
  <c r="E70" i="3"/>
  <c r="I82" i="3"/>
  <c r="I37" i="9"/>
  <c r="O70" i="3"/>
  <c r="O82" i="3"/>
  <c r="O58" i="3"/>
  <c r="N58" i="3"/>
  <c r="I58" i="3"/>
  <c r="F48" i="3" l="1"/>
  <c r="I33" i="9"/>
  <c r="F33" i="9" s="1"/>
  <c r="F37" i="9"/>
  <c r="F83" i="3"/>
  <c r="F58" i="3"/>
  <c r="I46" i="3"/>
  <c r="F82" i="3"/>
  <c r="F70" i="3"/>
  <c r="O46" i="3"/>
  <c r="N46" i="3"/>
  <c r="F49" i="3"/>
  <c r="N99" i="3"/>
  <c r="O99" i="3"/>
  <c r="F46" i="3" l="1"/>
  <c r="I99" i="3"/>
  <c r="F99" i="3" s="1"/>
  <c r="F23" i="3"/>
  <c r="F19" i="3"/>
  <c r="F20" i="3"/>
  <c r="F21" i="3"/>
  <c r="O109" i="3"/>
  <c r="O108" i="3" s="1"/>
  <c r="N109" i="3"/>
  <c r="N108" i="3" s="1"/>
  <c r="I109" i="3" l="1"/>
  <c r="I108" i="3" s="1"/>
  <c r="N27" i="3"/>
  <c r="N22" i="3" s="1"/>
  <c r="O27" i="3"/>
  <c r="O22" i="3" s="1"/>
  <c r="I27" i="3"/>
  <c r="I22" i="3" s="1"/>
  <c r="I98" i="3" s="1"/>
  <c r="N7" i="3"/>
  <c r="N95" i="3" s="1"/>
  <c r="O7" i="3"/>
  <c r="O95" i="3" s="1"/>
  <c r="N8" i="3"/>
  <c r="N96" i="3" s="1"/>
  <c r="O8" i="3"/>
  <c r="O96" i="3" s="1"/>
  <c r="N9" i="3"/>
  <c r="N97" i="3" s="1"/>
  <c r="O9" i="3"/>
  <c r="O97" i="3" s="1"/>
  <c r="N10" i="3"/>
  <c r="O10" i="3"/>
  <c r="I10" i="3"/>
  <c r="I9" i="3"/>
  <c r="I8" i="3"/>
  <c r="I96" i="3" s="1"/>
  <c r="I7" i="3"/>
  <c r="I95" i="3" s="1"/>
  <c r="O98" i="3" l="1"/>
  <c r="N98" i="3"/>
  <c r="I97" i="3"/>
  <c r="Q97" i="3" s="1"/>
  <c r="N18" i="3"/>
  <c r="O18" i="3"/>
  <c r="F10" i="3"/>
  <c r="F7" i="3"/>
  <c r="I105" i="3"/>
  <c r="F8" i="3"/>
  <c r="F27" i="3"/>
  <c r="F9" i="3"/>
  <c r="N105" i="3"/>
  <c r="N107" i="3"/>
  <c r="O107" i="3"/>
  <c r="O106" i="3"/>
  <c r="F95" i="3" l="1"/>
  <c r="F98" i="3"/>
  <c r="F96" i="3"/>
  <c r="I107" i="3"/>
  <c r="F97" i="3"/>
  <c r="I18" i="3"/>
  <c r="F18" i="3" s="1"/>
  <c r="F22" i="3"/>
  <c r="N94" i="3"/>
  <c r="O94" i="3"/>
  <c r="I106" i="3"/>
  <c r="N106" i="3"/>
  <c r="N110" i="3" s="1"/>
  <c r="O105" i="3"/>
  <c r="O110" i="3" s="1"/>
  <c r="I94" i="3"/>
  <c r="F349" i="2"/>
  <c r="F321" i="2"/>
  <c r="F320" i="2"/>
  <c r="N296" i="2"/>
  <c r="O296" i="2"/>
  <c r="N297" i="2"/>
  <c r="O297" i="2"/>
  <c r="N298" i="2"/>
  <c r="O298" i="2"/>
  <c r="N299" i="2"/>
  <c r="O299" i="2"/>
  <c r="I299" i="2"/>
  <c r="I298" i="2"/>
  <c r="I398" i="2" s="1"/>
  <c r="I297" i="2"/>
  <c r="I397" i="2" s="1"/>
  <c r="I296" i="2"/>
  <c r="E298" i="2"/>
  <c r="E295" i="2" s="1"/>
  <c r="F249" i="2"/>
  <c r="F298" i="2" l="1"/>
  <c r="F297" i="2"/>
  <c r="F299" i="2"/>
  <c r="F346" i="2"/>
  <c r="F347" i="2"/>
  <c r="F296" i="2"/>
  <c r="F348" i="2"/>
  <c r="I110" i="3"/>
  <c r="I245" i="2"/>
  <c r="F245" i="2" s="1"/>
  <c r="F94" i="3"/>
  <c r="I319" i="2"/>
  <c r="N345" i="2"/>
  <c r="O345" i="2"/>
  <c r="I345" i="2"/>
  <c r="O319" i="2"/>
  <c r="N319" i="2"/>
  <c r="I295" i="2"/>
  <c r="N295" i="2"/>
  <c r="O295" i="2"/>
  <c r="F295" i="2" l="1"/>
  <c r="F319" i="2"/>
  <c r="F345" i="2"/>
  <c r="N234" i="2"/>
  <c r="O234" i="2"/>
  <c r="N235" i="2"/>
  <c r="N397" i="2" s="1"/>
  <c r="O235" i="2"/>
  <c r="O397" i="2" s="1"/>
  <c r="N236" i="2"/>
  <c r="O236" i="2"/>
  <c r="N237" i="2"/>
  <c r="O237" i="2"/>
  <c r="I237" i="2"/>
  <c r="I234" i="2"/>
  <c r="N203" i="2"/>
  <c r="O203" i="2"/>
  <c r="O396" i="2" s="1"/>
  <c r="N205" i="2"/>
  <c r="N398" i="2" s="1"/>
  <c r="O205" i="2"/>
  <c r="O398" i="2" s="1"/>
  <c r="N206" i="2"/>
  <c r="O206" i="2"/>
  <c r="I206" i="2"/>
  <c r="I400" i="2" s="1"/>
  <c r="I203" i="2"/>
  <c r="I396" i="2" s="1"/>
  <c r="H62" i="9"/>
  <c r="E236" i="2"/>
  <c r="E233" i="2" s="1"/>
  <c r="O152" i="2"/>
  <c r="N152" i="2"/>
  <c r="N160" i="2"/>
  <c r="N399" i="2"/>
  <c r="N22" i="2"/>
  <c r="N401" i="2" s="1"/>
  <c r="N45" i="9" s="1"/>
  <c r="O22" i="2"/>
  <c r="O401" i="2" s="1"/>
  <c r="O45" i="9" s="1"/>
  <c r="I399" i="2"/>
  <c r="O399" i="2" l="1"/>
  <c r="O43" i="9" s="1"/>
  <c r="H61" i="9"/>
  <c r="H67" i="9" s="1"/>
  <c r="O41" i="9"/>
  <c r="O62" i="9" s="1"/>
  <c r="F234" i="2"/>
  <c r="F203" i="2"/>
  <c r="F152" i="2"/>
  <c r="F206" i="2"/>
  <c r="F237" i="2"/>
  <c r="N43" i="9"/>
  <c r="F20" i="2"/>
  <c r="N149" i="2"/>
  <c r="N396" i="2" s="1"/>
  <c r="F160" i="2"/>
  <c r="F205" i="2"/>
  <c r="F236" i="2"/>
  <c r="F235" i="2"/>
  <c r="O40" i="9"/>
  <c r="O65" i="9"/>
  <c r="O64" i="9" s="1"/>
  <c r="O44" i="9"/>
  <c r="N65" i="9"/>
  <c r="N64" i="9" s="1"/>
  <c r="N44" i="9"/>
  <c r="I43" i="9"/>
  <c r="I233" i="2"/>
  <c r="I202" i="2"/>
  <c r="O202" i="2"/>
  <c r="O148" i="2"/>
  <c r="N202" i="2"/>
  <c r="O233" i="2"/>
  <c r="N233" i="2"/>
  <c r="I148" i="2"/>
  <c r="N84" i="2"/>
  <c r="N21" i="2" s="1"/>
  <c r="N400" i="2" s="1"/>
  <c r="O84" i="2"/>
  <c r="O21" i="2" s="1"/>
  <c r="O400" i="2" s="1"/>
  <c r="E81" i="2"/>
  <c r="H63" i="9" l="1"/>
  <c r="Q398" i="2"/>
  <c r="U48" i="9" s="1"/>
  <c r="O61" i="9"/>
  <c r="F149" i="2"/>
  <c r="N40" i="9"/>
  <c r="H70" i="9"/>
  <c r="F397" i="2"/>
  <c r="F84" i="2"/>
  <c r="F21" i="2" s="1"/>
  <c r="F16" i="2" s="1"/>
  <c r="F202" i="2"/>
  <c r="F233" i="2"/>
  <c r="F399" i="2"/>
  <c r="F43" i="9"/>
  <c r="W43" i="9" s="1"/>
  <c r="I42" i="9"/>
  <c r="I41" i="9"/>
  <c r="N61" i="9" l="1"/>
  <c r="F398" i="2"/>
  <c r="F396" i="2"/>
  <c r="I16" i="2"/>
  <c r="O42" i="9"/>
  <c r="I63" i="9"/>
  <c r="I62" i="9"/>
  <c r="N16" i="2"/>
  <c r="O16" i="2"/>
  <c r="O63" i="9" l="1"/>
  <c r="F400" i="2"/>
  <c r="O39" i="9"/>
  <c r="O395" i="2"/>
  <c r="I104" i="3" l="1"/>
  <c r="I409" i="2"/>
  <c r="I406" i="2" l="1"/>
  <c r="E38" i="9" l="1"/>
  <c r="E248" i="2" l="1"/>
  <c r="E247" i="2"/>
  <c r="E245" i="2" l="1"/>
  <c r="E35" i="9" l="1"/>
  <c r="N42" i="9" l="1"/>
  <c r="N63" i="9" s="1"/>
  <c r="N41" i="9"/>
  <c r="N148" i="2"/>
  <c r="F148" i="2" s="1"/>
  <c r="F42" i="9" l="1"/>
  <c r="W42" i="9" s="1"/>
  <c r="N395" i="2"/>
  <c r="N39" i="9"/>
  <c r="N62" i="9"/>
  <c r="F41" i="9" l="1"/>
  <c r="W41" i="9" s="1"/>
  <c r="E151" i="2"/>
  <c r="E150" i="2"/>
  <c r="E149" i="2" l="1"/>
  <c r="E399" i="2" l="1"/>
  <c r="E61" i="3" l="1"/>
  <c r="E21" i="3"/>
  <c r="E148" i="2" l="1"/>
  <c r="E18" i="2"/>
  <c r="E17" i="2"/>
  <c r="E20" i="2" l="1"/>
  <c r="E60" i="3" l="1"/>
  <c r="E58" i="3" s="1"/>
  <c r="E321" i="2"/>
  <c r="E320" i="2"/>
  <c r="E95" i="3" l="1"/>
  <c r="E105" i="3" s="1"/>
  <c r="F102" i="3" l="1"/>
  <c r="E59" i="9" l="1"/>
  <c r="E58" i="9"/>
  <c r="N104" i="3"/>
  <c r="O104" i="3"/>
  <c r="E104" i="3"/>
  <c r="O409" i="2"/>
  <c r="N409" i="2"/>
  <c r="E409" i="2"/>
  <c r="E360" i="2" s="1"/>
  <c r="E357" i="2" s="1"/>
  <c r="F407" i="2"/>
  <c r="G58" i="9" s="1"/>
  <c r="G60" i="9" s="1"/>
  <c r="E405" i="2"/>
  <c r="E55" i="9" s="1"/>
  <c r="E404" i="2"/>
  <c r="F409" i="2" l="1"/>
  <c r="I60" i="9"/>
  <c r="F58" i="9"/>
  <c r="F59" i="9"/>
  <c r="N57" i="9"/>
  <c r="F104" i="3"/>
  <c r="F103" i="3"/>
  <c r="O406" i="2"/>
  <c r="E406" i="2"/>
  <c r="F404" i="2"/>
  <c r="G55" i="9" s="1"/>
  <c r="G62" i="9" s="1"/>
  <c r="F405" i="2"/>
  <c r="E56" i="9"/>
  <c r="E57" i="9" s="1"/>
  <c r="N406" i="2"/>
  <c r="O57" i="9"/>
  <c r="E60" i="9"/>
  <c r="O60" i="9"/>
  <c r="N60" i="9"/>
  <c r="G56" i="9" l="1"/>
  <c r="G63" i="9" s="1"/>
  <c r="N70" i="9"/>
  <c r="O70" i="9"/>
  <c r="F56" i="9"/>
  <c r="F55" i="9"/>
  <c r="I57" i="9"/>
  <c r="F60" i="9"/>
  <c r="F406" i="2"/>
  <c r="G57" i="9" l="1"/>
  <c r="F57" i="9"/>
  <c r="E98" i="2" l="1"/>
  <c r="E19" i="2" s="1"/>
  <c r="E205" i="2" l="1"/>
  <c r="I22" i="2"/>
  <c r="F22" i="2" s="1"/>
  <c r="E23" i="2"/>
  <c r="E22" i="2"/>
  <c r="Q38" i="9"/>
  <c r="I401" i="2" l="1"/>
  <c r="G65" i="9"/>
  <c r="I46" i="9"/>
  <c r="F46" i="9" s="1"/>
  <c r="W46" i="9" s="1"/>
  <c r="E202" i="2"/>
  <c r="E43" i="9"/>
  <c r="F401" i="2" l="1"/>
  <c r="I45" i="9"/>
  <c r="I414" i="2"/>
  <c r="I413" i="2" s="1"/>
  <c r="G66" i="9"/>
  <c r="G64" i="9" s="1"/>
  <c r="I66" i="9"/>
  <c r="Q40" i="9"/>
  <c r="F45" i="9" l="1"/>
  <c r="W45" i="9" s="1"/>
  <c r="H44" i="9"/>
  <c r="H39" i="9" s="1"/>
  <c r="H65" i="9"/>
  <c r="H64" i="9" s="1"/>
  <c r="I65" i="9"/>
  <c r="I64" i="9" s="1"/>
  <c r="F64" i="9" s="1"/>
  <c r="I44" i="9"/>
  <c r="E23" i="3"/>
  <c r="E99" i="3" s="1"/>
  <c r="N415" i="2"/>
  <c r="E322" i="2"/>
  <c r="E396" i="2"/>
  <c r="E347" i="2" s="1"/>
  <c r="O415" i="2"/>
  <c r="E16" i="2"/>
  <c r="F44" i="9" l="1"/>
  <c r="W44" i="9" s="1"/>
  <c r="F415" i="2"/>
  <c r="E109" i="3"/>
  <c r="F108" i="3"/>
  <c r="O414" i="2"/>
  <c r="O413" i="2" s="1"/>
  <c r="N414" i="2"/>
  <c r="N413" i="2" s="1"/>
  <c r="F105" i="3"/>
  <c r="O410" i="2"/>
  <c r="N410" i="2"/>
  <c r="E410" i="2"/>
  <c r="E398" i="2"/>
  <c r="E412" i="2" s="1"/>
  <c r="E319" i="2"/>
  <c r="E18" i="3"/>
  <c r="F414" i="2" l="1"/>
  <c r="F413" i="2"/>
  <c r="F109" i="3"/>
  <c r="E8" i="9" l="1"/>
  <c r="E5" i="9" s="1"/>
  <c r="E36" i="9" l="1"/>
  <c r="E33" i="9" s="1"/>
  <c r="S28" i="9" l="1"/>
  <c r="Q20" i="9"/>
  <c r="S20" i="9" s="1"/>
  <c r="Q13" i="9"/>
  <c r="S13" i="9" s="1"/>
  <c r="T95" i="3"/>
  <c r="E40" i="9" l="1"/>
  <c r="E61" i="9" s="1"/>
  <c r="E96" i="3"/>
  <c r="E9" i="3"/>
  <c r="E97" i="3" s="1"/>
  <c r="E106" i="3" l="1"/>
  <c r="E85" i="3" s="1"/>
  <c r="E82" i="3" s="1"/>
  <c r="I412" i="2"/>
  <c r="I411" i="2"/>
  <c r="N412" i="2"/>
  <c r="O411" i="2"/>
  <c r="N411" i="2"/>
  <c r="E94" i="3"/>
  <c r="E107" i="3"/>
  <c r="E110" i="3" s="1"/>
  <c r="Q42" i="9"/>
  <c r="N416" i="2" l="1"/>
  <c r="F411" i="2"/>
  <c r="O412" i="2"/>
  <c r="O416" i="2" s="1"/>
  <c r="F106" i="3"/>
  <c r="F412" i="2" l="1"/>
  <c r="E397" i="2"/>
  <c r="E411" i="2" l="1"/>
  <c r="E348" i="2"/>
  <c r="Q41" i="9"/>
  <c r="E6" i="3" l="1"/>
  <c r="N6" i="3" l="1"/>
  <c r="O6" i="3"/>
  <c r="I6" i="3"/>
  <c r="F6" i="3" l="1"/>
  <c r="F107" i="3"/>
  <c r="F110" i="3" l="1"/>
  <c r="E42" i="9"/>
  <c r="E62" i="9" s="1"/>
  <c r="N67" i="9" l="1"/>
  <c r="O67" i="9"/>
  <c r="F65" i="9"/>
  <c r="F66" i="9"/>
  <c r="F62" i="9" l="1"/>
  <c r="E41" i="9"/>
  <c r="E63" i="9" s="1"/>
  <c r="E402" i="2"/>
  <c r="E415" i="2" s="1"/>
  <c r="F63" i="9" l="1"/>
  <c r="E401" i="2"/>
  <c r="E395" i="2" l="1"/>
  <c r="E346" i="2" s="1"/>
  <c r="E345" i="2" s="1"/>
  <c r="E414" i="2"/>
  <c r="E46" i="9" l="1"/>
  <c r="E66" i="9" s="1"/>
  <c r="E45" i="9" l="1"/>
  <c r="E39" i="9" l="1"/>
  <c r="E65" i="9"/>
  <c r="E67" i="9" s="1"/>
  <c r="T99" i="3"/>
  <c r="T96" i="3"/>
  <c r="T97" i="3" l="1"/>
  <c r="E416" i="2" l="1"/>
  <c r="I40" i="9" l="1"/>
  <c r="I395" i="2"/>
  <c r="F395" i="2" s="1"/>
  <c r="I410" i="2"/>
  <c r="F40" i="9" l="1"/>
  <c r="W40" i="9" s="1"/>
  <c r="Q45" i="9"/>
  <c r="Q46" i="9"/>
  <c r="F410" i="2"/>
  <c r="I416" i="2"/>
  <c r="F416" i="2" s="1"/>
  <c r="I39" i="9"/>
  <c r="F39" i="9" s="1"/>
  <c r="W39" i="9" s="1"/>
  <c r="I61" i="9"/>
  <c r="I70" i="9" s="1"/>
  <c r="G61" i="9" l="1"/>
  <c r="F61" i="9"/>
  <c r="F70" i="9" s="1"/>
  <c r="I67" i="9"/>
  <c r="F67" i="9" s="1"/>
  <c r="G70" i="9" l="1"/>
  <c r="G67" i="9"/>
</calcChain>
</file>

<file path=xl/comments1.xml><?xml version="1.0" encoding="utf-8"?>
<comments xmlns="http://schemas.openxmlformats.org/spreadsheetml/2006/main">
  <authors>
    <author>Губернская Екатерина Геннадьевна</author>
  </authors>
  <commentList>
    <comment ref="G26" authorId="0" shapeId="0">
      <text>
        <r>
          <rPr>
            <b/>
            <sz val="9"/>
            <color rgb="FF000000"/>
            <rFont val="Tahoma"/>
            <family val="2"/>
            <charset val="204"/>
          </rPr>
          <t>Губернская Екатерина Геннадьевна: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164,566 - хэс
</t>
        </r>
      </text>
    </comment>
  </commentList>
</comments>
</file>

<file path=xl/sharedStrings.xml><?xml version="1.0" encoding="utf-8"?>
<sst xmlns="http://schemas.openxmlformats.org/spreadsheetml/2006/main" count="1593" uniqueCount="276">
  <si>
    <t>№ п/п</t>
  </si>
  <si>
    <t>Средства бюджета Московской области</t>
  </si>
  <si>
    <t>Итого:</t>
  </si>
  <si>
    <t>Управление образования</t>
  </si>
  <si>
    <t>№ п.п</t>
  </si>
  <si>
    <t>Мероприятия по реализации Программы</t>
  </si>
  <si>
    <t>Источники финансирования</t>
  </si>
  <si>
    <t>Всего                       (тыс. руб.)</t>
  </si>
  <si>
    <t>3</t>
  </si>
  <si>
    <t>5</t>
  </si>
  <si>
    <t>7</t>
  </si>
  <si>
    <t>9</t>
  </si>
  <si>
    <t>10</t>
  </si>
  <si>
    <t>1</t>
  </si>
  <si>
    <t>11</t>
  </si>
  <si>
    <t>Объем финансирования по годам (тыс. рублей)</t>
  </si>
  <si>
    <t>Объем финансирования по годам (тыс. руб.)</t>
  </si>
  <si>
    <t>ВСЕГО по Муниципальной программе, в том числе</t>
  </si>
  <si>
    <t>Начальник Управления бухгалтерского учета и отчетности, главный бухгалтер</t>
  </si>
  <si>
    <t>Администрация средства бюджета Московской области</t>
  </si>
  <si>
    <t>Администрация всего</t>
  </si>
  <si>
    <t>Администрация средства бюджета Одинцовского района</t>
  </si>
  <si>
    <t>Управление (за разницей) средства бюджета Одинцовского района</t>
  </si>
  <si>
    <t>Управление (за разницей) средства Московской области</t>
  </si>
  <si>
    <t>Управление все расходы (за разницей)</t>
  </si>
  <si>
    <t>Управление все расходы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</si>
  <si>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</si>
  <si>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</si>
  <si>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</si>
  <si>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</si>
  <si>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</si>
  <si>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</si>
  <si>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</si>
  <si>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</si>
  <si>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</si>
  <si>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6</t>
  </si>
  <si>
    <t>8</t>
  </si>
  <si>
    <t>4</t>
  </si>
  <si>
    <t>УМЦ "Развитие образования", Управление образования</t>
  </si>
  <si>
    <t xml:space="preserve">Н.А. Стародубова </t>
  </si>
  <si>
    <t>Средства федерального бюджета</t>
  </si>
  <si>
    <t>Стало</t>
  </si>
  <si>
    <t>Было</t>
  </si>
  <si>
    <t>Управление (за разницей) средства федерального бюджета</t>
  </si>
  <si>
    <t>Объем финансирования в 2019 году (тыс. руб.)</t>
  </si>
  <si>
    <t>2023 год</t>
  </si>
  <si>
    <t>2024 год</t>
  </si>
  <si>
    <t>Средства бюджета  Одинцовского городского округа</t>
  </si>
  <si>
    <t>Средства бюджета Одинцовского городского округа</t>
  </si>
  <si>
    <t xml:space="preserve">Средства бюджета Одинцовского городского округа </t>
  </si>
  <si>
    <t>Срок исполнения мероприятия</t>
  </si>
  <si>
    <t>4.1</t>
  </si>
  <si>
    <t>5.1</t>
  </si>
  <si>
    <t>Срок исполнения меропиятия</t>
  </si>
  <si>
    <t>8.1</t>
  </si>
  <si>
    <t>Объем финансирования в 2019 году (тыс.руб.)</t>
  </si>
  <si>
    <t>1.5</t>
  </si>
  <si>
    <t>6.1</t>
  </si>
  <si>
    <t>7.1</t>
  </si>
  <si>
    <t>в том числе за счет средств родительской платы за присмотр и уход за детьми</t>
  </si>
  <si>
    <t>Управление образования, МКУ "Централизованная бухгалтерия", МКУ ХЭС</t>
  </si>
  <si>
    <t>ФКУ средства бюджета Одинцовского городского округа</t>
  </si>
  <si>
    <t>ФКУ средства бюджета Московской области</t>
  </si>
  <si>
    <t>ФКУ всего</t>
  </si>
  <si>
    <t>Управление (за разницей) средства бюджета Одинцовского городского округа</t>
  </si>
  <si>
    <t>Управление образования, МАОУ "ОЦЭВ"</t>
  </si>
  <si>
    <t xml:space="preserve">к постановлению Администрации Одинцовского </t>
  </si>
  <si>
    <t>городского округа Московской области</t>
  </si>
  <si>
    <t>2.5</t>
  </si>
  <si>
    <t>1.6</t>
  </si>
  <si>
    <t>1.7</t>
  </si>
  <si>
    <t>1.8</t>
  </si>
  <si>
    <t>1.9</t>
  </si>
  <si>
    <t>1.10</t>
  </si>
  <si>
    <t>2</t>
  </si>
  <si>
    <t>Основное мероприятие 01. "Финансовое обеспечение деятельности образовательных организаций"</t>
  </si>
  <si>
    <t>Основное мероприятие 01. "Создание условий для реализации полномочий органов местного самоуправления"</t>
  </si>
  <si>
    <t>1.11</t>
  </si>
  <si>
    <t>1.12</t>
  </si>
  <si>
    <t>1.13</t>
  </si>
  <si>
    <t>Основное мероприятие 08. Модернизация школьных систем образования в рамках государственной программы Российской Федерации "Развитие образования"</t>
  </si>
  <si>
    <t>УМЦ "Развитие образования",     МБОУ ОРЦ "Сопровождение", МАУ "Комбинат питания "Доброе кафе"</t>
  </si>
  <si>
    <t>2025 год</t>
  </si>
  <si>
    <t>2026 год</t>
  </si>
  <si>
    <t>2027 год</t>
  </si>
  <si>
    <t>ПЕРЕЧЕНЬ МЕРОПРИЯТИЙ МУНИЦИПАЛЬНОЙ ПРОГРАММЫ ОДИНЦОВСКОГО ГОРОДСКОГО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МОСКОВСКОЙ ОБЛАСТИ "ОБРАЗОВАНИЕ" НА 2023-2027 ГОДЫ</t>
  </si>
  <si>
    <t>2023-2027 годы</t>
  </si>
  <si>
    <t>Внебюджетные источники</t>
  </si>
  <si>
    <t>в том числе за счет доходов от предпринимательской и иной, приносящей доход деятельности</t>
  </si>
  <si>
    <t>в том числе за счет средств  родительской платы за присмотр и уход за детьми</t>
  </si>
  <si>
    <t>Управление образования, МКУ ХЭС</t>
  </si>
  <si>
    <t>1.14</t>
  </si>
  <si>
    <t>1.15</t>
  </si>
  <si>
    <t>Основное мероприятие 02.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</si>
  <si>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Мероприятие 02.01.
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</si>
  <si>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Управление образования, МАУ "Комбинат питания "Доброе Кафе"</t>
  </si>
  <si>
    <t>Основное мероприятие 04.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</si>
  <si>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Мероприятие 04.01.
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</si>
  <si>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Основное мероприятие 07. "Проведение капитального ремонта объектов дошкольного образования, закупка оборудования"</t>
  </si>
  <si>
    <t xml:space="preserve">Мероприятие 07.01. 
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</t>
  </si>
  <si>
    <t>Мероприятие 08.03. 
Разработка проектно-сметной документации на проведение капитального ремонта зданий муниципальных общеобразовательных организаций</t>
  </si>
  <si>
    <t>Мероприятие 08.04. 
Благоустройство территорий муниципальных общеобразовательных организаций, в зданиях которых выполнен капитальный ремонт</t>
  </si>
  <si>
    <t>Мероприятие 08.05. 
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</si>
  <si>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Мероприятие 09.01. 
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</si>
  <si>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Мероприятие Е1.02.
Обеспечение условий для функционирования центров образования естественно-научной и технологической направленностей</t>
  </si>
  <si>
    <t>9.1</t>
  </si>
  <si>
    <t>10.1</t>
  </si>
  <si>
    <t>Мероприятие Р2.01.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</si>
  <si>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Основное мероприятие 01. "Реализация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детей"</t>
  </si>
  <si>
    <t>Основное мероприятие 04. "Обеспечение функционирования модели персонифицированного финансирования дополнительного образования детей"</t>
  </si>
  <si>
    <t>Мероприятие ЕВ.01. 
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</si>
  <si>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Мероприятие Е1.01.
Создание детского технопарка "Кванториум"</t>
  </si>
  <si>
    <t>Основное мероприятие 09. "Обеспечение условий доступности для инвалидов объектов и предоставляемых услуг в сфере образования"</t>
  </si>
  <si>
    <t>Основное мероприятие 02. "Финансовое обеспечение деятельности организаций дополнительного образования"</t>
  </si>
  <si>
    <t>Управление образования, Финансово-казначесйское управление, руководители организаций, МКУ "Централизованная бухгалтерия"</t>
  </si>
  <si>
    <t>».</t>
  </si>
  <si>
    <t>Х</t>
  </si>
  <si>
    <t>Всего</t>
  </si>
  <si>
    <t>в том числе по кварталам:</t>
  </si>
  <si>
    <t>I</t>
  </si>
  <si>
    <t>II</t>
  </si>
  <si>
    <t>III</t>
  </si>
  <si>
    <t>IV</t>
  </si>
  <si>
    <t>2025</t>
  </si>
  <si>
    <t>2026</t>
  </si>
  <si>
    <t>2027</t>
  </si>
  <si>
    <t>Мероприятие 01.01.                                                                                        Проведение капитального ремонта, технического переоснащения и благоустройства территорий учреждений образования</t>
  </si>
  <si>
    <t>Мероприятие 01.02.                                                                                         Обеспечение подвоза обучающихся к месту обучения в муниципальные общеобразовательные организации в Московской области за счет средств местного бюджета</t>
  </si>
  <si>
    <t>Мероприятие 01.07.                                                                              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</si>
  <si>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01.10.                                                                                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</si>
  <si>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02.02.                                                                                     Приобретение автобусов для доставки обучающихся в общеобразовательные организации, расположенные в сельских населенных пунктах</t>
  </si>
  <si>
    <t>Мероприятие 02.08.                                                                        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</si>
  <si>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02.10.                                                                                          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</si>
  <si>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 xml:space="preserve">Мероприятие 01.17.                                                                                         Расходы на обеспечение деятельности (оказание услуг) муниципальных учреждений - дошкольные образовательные организации                                                                        </t>
  </si>
  <si>
    <t>Мероприятие 01.19.                                                                              Профессиональная физическая охрана муниципальных учреждений дошкольного образования</t>
  </si>
  <si>
    <t>Мероприятие 02.13.                                                                                                 Создание и содержание дополнительных мест для детей в возрасте от 1,5 до 7 лет в организациях, осуществляющих присмотр и уход за детьми</t>
  </si>
  <si>
    <t>Мероприятие 08.01.                                                                                        Проведение работ по капитальному ремонту зданий региональных (муниципальных) общеобразовательных организаций</t>
  </si>
  <si>
    <t xml:space="preserve">Мероприятие Е1.03.                                                                                          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</t>
  </si>
  <si>
    <t>Мероприятия подпрограммы</t>
  </si>
  <si>
    <t>Мероприятие 01.01.                                                                                                    Стипендии в области образования, культуры и искусства (юные дарования, одаренные дети)</t>
  </si>
  <si>
    <t>Мероприятие 02.01.                                                                                                    Расходы на обеспечение деятельности (оказание услуг) муниципальных учреждений - организации дополнительного образования</t>
  </si>
  <si>
    <t>Мероприятие 02.03.                                                                                   Профессиональная физическая охрана муниципальных учреждений дополнительного образования</t>
  </si>
  <si>
    <t xml:space="preserve">Мероприятие Е1.01.                                                                                              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
</t>
  </si>
  <si>
    <t>Подпрограмма 2 "Дополнительное образование, воспитание и психолого-социальное сопровождение детей"</t>
  </si>
  <si>
    <t>Подпрограмма 1 "Общее образование"</t>
  </si>
  <si>
    <t>Подпрограмма 4 "Обеспечивающая подпрограмма"</t>
  </si>
  <si>
    <t>Мероприятие 01.03.                                                                                   Мероприятия в сфере образования</t>
  </si>
  <si>
    <t>Мероприятие 08.08. 
Устройство спортивных и детских площадок на территории муниципальных общеобразовательных организаций</t>
  </si>
  <si>
    <t>Мероприятие ЕВ.01. 
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</si>
  <si>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ЕВ. Федеральный проект "Патриотическое воспитание граждан Российской Федерации" национального проекта "Образование"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</si>
  <si>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муниципальных дошкольных и общеобразовательных организациях, в общей численности обучающихся в муниципальных дошкольных и общеобразовательных организациях, %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</si>
  <si>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частных дошкольных и общеобразовательных организациях, в общей численности обучающихся в частных дошкольных и общеобразовательных организациях,%</t>
  </si>
  <si>
    <t>Выплачена компенсация родительской платы за присмотр и уход за детьми, осваивающими образовательные программы дошкольного образования, в общем числе обратившихся, %</t>
  </si>
  <si>
    <t>В муниципальных общеобразовательных организациях улучшена материально-техническая база, проведен текущий ремонт, шт.</t>
  </si>
  <si>
    <t xml:space="preserve">Обеспечение общеобразовательных учреждений  услугой по охране объектов и имущества, % </t>
  </si>
  <si>
    <t>Обеспечено финансирование муниципальных организаций - дошкольные образовательные организации, шт.</t>
  </si>
  <si>
    <t xml:space="preserve">Обеспечение  дошкольных образовательных учреждений  услугой по охране объектов и имущества, % </t>
  </si>
  <si>
    <t>Выплачена компенсация за проезд отдельным категориям обучающихся по очной форме обучения муниципальных общеобразовательных организаций в общем  числе обратившихся,%</t>
  </si>
  <si>
    <t>Приобретены автобусы для доставки обучающихся в общеобразовательные организации, расположенные в сельских населенных пунктах,шт.</t>
  </si>
  <si>
    <t>Доля обучающихся, получающих начальное общее образование в 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организациях,%</t>
  </si>
  <si>
    <t>Доля детодней, в которые отдельные категории обучающихся муниципальных общеобразовательных организаций в Московской области получали бесплатное питание, от общего количества детодней, в которые отдельные категории обучающихся в муниципальных общеобразовательных организаций в Московской области посещали образовательную организацию, %</t>
  </si>
  <si>
    <t>Обеспечено содержание созданных дополнительных мест для детей в возрасте от 1,5 до 7 лет в организациях, осуществляющих присмотр и уход за детьми, место</t>
  </si>
  <si>
    <t>Проведен капитальный ремонт дошкольных образовательных организаций, шт.</t>
  </si>
  <si>
    <t>Выполнены в полном объеме мероприятия по капитальному ремонту общеобразовательных организаций, шт.</t>
  </si>
  <si>
    <t>Оснащены средствами обучения и воспитания отремонтированные здания общеобразовательных организаций, шт.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</si>
  <si>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шт.</t>
  </si>
  <si>
    <t>Объекты капитального ремонта приведены в соответствие с требованиями, установленными законодательством по антитеррористической защищённости, шт.</t>
  </si>
  <si>
    <t xml:space="preserve">Осуществлено устройство спортивных и детских площадок на территории муниципальных общеобразовательных организаций, шт. </t>
  </si>
  <si>
    <t>Созданы условия для получения детьми-инвалидами качественного образования в муниципальных образовательных организаций: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шт.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</si>
  <si>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направленностей, шт.</t>
  </si>
  <si>
    <t>В Московской области реализованы дополнительные мероприятия по созданию центров образования естественно-научной и технологической направленностей, шт.</t>
  </si>
  <si>
    <t>Обновлена материально-техническая база в организациях, осуществляющих образовательную деятельность исключительно по адаптированным основным общеобразовательным программам, шт.</t>
  </si>
  <si>
    <t>Доля воспитанников в частных дошкольных образовательных организациях,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обеспеченных содержанием, в общей численности воспитанников, зачисленных  в частные дошкольные образовательные организации, частные общеобразовательные организации и к индивидуальным предпринимателям, осуществляющим образовательную деятельность по основным общеобразовательным программам дошкольного образования, посредством информационной системы управления дошкольными образовательными организациями Московской области, %</t>
  </si>
  <si>
    <t>Произведены выплаты в области образования, культуры и искусства (юные дарования, одаренные дети), человек</t>
  </si>
  <si>
    <t>Обеспечено финансирование муниципальных организаций дополнительного образования, шт.</t>
  </si>
  <si>
    <t>Обеспечение  дополнительного образования  услугой по охране объектов и имущества, %</t>
  </si>
  <si>
    <t>100% внедрение и обеспечение функционирования модели персонифицированного финансирования дополнительного образования детей, %</t>
  </si>
  <si>
    <t>Созданы детские технопарки «Кванториум», шт.</t>
  </si>
  <si>
    <t>Обеспечение 100% эффективной деятельности аппарата управления,%</t>
  </si>
  <si>
    <t xml:space="preserve">Количество проведенных мероприятий в сфере образования, штук </t>
  </si>
  <si>
    <t>Обеспечение подвоза обучающихся к месту учебы и обратно, %</t>
  </si>
  <si>
    <t>Обеспечены пункты проведения итоговой аттестации и проведена государственная итоговая аттестация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экзамена, %</t>
  </si>
  <si>
    <t>Итого Подпрограмма 1 "Общее образование", в том числе:</t>
  </si>
  <si>
    <t>Итого Подпрограмма 2 "Дополнительное образование, воспитание и психолого-социальное сопровождение детей", в том числе:</t>
  </si>
  <si>
    <t xml:space="preserve"> Итого Подпрограмма 4 "Обеспечивающая подпрограмма", в том числе:</t>
  </si>
  <si>
    <t>Обеспечено финансирование муниципальных организаций, шт.</t>
  </si>
  <si>
    <t>Благоустроены территории  муниципальных общеобразовательных организаций, шт.</t>
  </si>
  <si>
    <t xml:space="preserve">«Приложение 1 к муниципальной программе </t>
  </si>
  <si>
    <t xml:space="preserve">Количество общеобразовательных учреждений, в которых созданы условия, отвечающие требованиям СанПиН. (Проведение капитального ремонта, технического переоснащения и благоустройства территорий), шт.                         </t>
  </si>
  <si>
    <t>Основное мероприятие 06. "Предоставление добровольных имущественных взносов на обеспечение деятельности общеобразовательных организаций"</t>
  </si>
  <si>
    <t>Мероприятие 06.01.
Предоставление добровольных имущественных взносов на обеспечение деятельности общеобразовательных организаций</t>
  </si>
  <si>
    <t>Количество общеобразовательных организаций, которым предоставлен добровольный имущественный взнос на обеспечение деятельности общеобразовательных организаций, шт.</t>
  </si>
  <si>
    <t>7.2</t>
  </si>
  <si>
    <t>7.3</t>
  </si>
  <si>
    <t>7.4</t>
  </si>
  <si>
    <t>7.5</t>
  </si>
  <si>
    <t>7.6</t>
  </si>
  <si>
    <t>Мероприятие 01.03.                                                                                         Обеспечение условий для функционирования центров образования естественно-научной и технологической направленностей за счет средств местного бюджета</t>
  </si>
  <si>
    <t>1.16</t>
  </si>
  <si>
    <t>В общеобразовательных организациях, расположенных в сельской местности и малых городах, обеспечены условия для функционирования центров образования естественно-научной и технологической направленностей за счет средств местного бюджета, шт.</t>
  </si>
  <si>
    <t>2.6</t>
  </si>
  <si>
    <t>Мероприятие 02.14.                                                                                                 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</si>
  <si>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Не взимается плата за присмотр и уход за детьми из семей граждан, участвующих в специальной военной операции, в общем числе обратившихся, %</t>
  </si>
  <si>
    <t>Мероприятие 03.05.                                                                                                        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</si>
  <si>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4.2</t>
  </si>
  <si>
    <t xml:space="preserve"> </t>
  </si>
  <si>
    <t>МКУ ХЭС</t>
  </si>
  <si>
    <t>2024-2027 годы</t>
  </si>
  <si>
    <t>Мероприятие 04.02.                                                                                                        Внедрение и обеспечение функционирования модели персонифицированного финансирования дополнительного образования детей</t>
  </si>
  <si>
    <t>1.17</t>
  </si>
  <si>
    <t xml:space="preserve">Мероприятие 02.18.                                                                                               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</si>
  <si>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>Мероприятие 04.03.
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</si>
  <si>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Доля отдельных категорий обучающихся по очной форме обучения в частных общеобразовательных организациях, обеспеченных питанием, к общему количеству обучающихся отдельных категорий обучающихся по очной форме обучения в частных общеобразовательных организациях, %</t>
  </si>
  <si>
    <t>Доля работников, получивших компенсацию, в общей численности работников, привлеченных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аттестации, %</t>
  </si>
  <si>
    <t>Созданы комфортные условия для реализации современных образовательных программ в зданиях муниципальных общеобразовательных организаций, ед.</t>
  </si>
  <si>
    <t>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объединениями, ед.</t>
  </si>
  <si>
    <t>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Федерации, ед.</t>
  </si>
  <si>
    <t>Мероприятие 08.02.                                                                                              Оснащение отремонтированных зданий общеобразовательных организаций средствами обучения и воспитания</t>
  </si>
  <si>
    <t xml:space="preserve">Мероприятие 01.21.                                                                                                 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 </t>
  </si>
  <si>
    <t>Мероприятие 01.22.                                                                                        Укрепление материально-технической базы, содержание имущества и проведение текущего ремонта общеобразовательных организаций</t>
  </si>
  <si>
    <t>2023</t>
  </si>
  <si>
    <t>2024</t>
  </si>
  <si>
    <t>10.2</t>
  </si>
  <si>
    <t>10.3</t>
  </si>
  <si>
    <t>12</t>
  </si>
  <si>
    <t>12.1</t>
  </si>
  <si>
    <t>2.7</t>
  </si>
  <si>
    <t>_______________</t>
  </si>
  <si>
    <t>Основное мероприятие 03. "Обеспечение развития инновационной инфраструктуры общего образования"</t>
  </si>
  <si>
    <t xml:space="preserve">Приложение </t>
  </si>
  <si>
    <t xml:space="preserve">Начальник Управления образования                                                                   </t>
  </si>
  <si>
    <t>О.А. Ткачева</t>
  </si>
  <si>
    <t>Мероприятие 01.23.  Профессиональная физическая охрана муниципальных учреждений в сфере общеобразовательных организаций</t>
  </si>
  <si>
    <t>Мероприятие 01.27.                                                                                                               Обеспечение стимулирующих выплат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</si>
  <si>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Обеспечено финансирование муниципальных организаций - общеобразовательные организации, оказывающие услуги дошкольного, начального общего, основного общего, среднего общего образования, шт. </t>
  </si>
  <si>
    <t>Мероприятие 01.28.                                                                                                                Обеспечение выплат ежемесячных доплат за напряженный труд работникам муниципальных дошкольных и общеобразовательных организаций</t>
  </si>
  <si>
    <t>Мероприятие 01.29.                                                                                                                 Организация питания обучающихся в муниципальных общеобразовательных организациях в Московской области</t>
  </si>
  <si>
    <t>Мероприятие 01.30.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</si>
  <si>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14</t>
  </si>
  <si>
    <t>14.1</t>
  </si>
  <si>
    <t>Мероприятие Ю6.02.                                                                             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</si>
  <si>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Мероприятие Ю6.04. 
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</si>
  <si>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Мероприятие 01.08.                                                                                         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                                                                                                                          </t>
  </si>
  <si>
    <t>Основное мероприятие Ю6. Федеральный проект "Педагоги и наставники"</t>
  </si>
  <si>
    <t>Основное мероприятие Е1. Федеральный проект "Современная школа"</t>
  </si>
  <si>
    <t xml:space="preserve">Основное мероприятие Р2. Федеральный проект "Содействие занятости" </t>
  </si>
  <si>
    <t>Обеспечениы выплаты ежемесячного денежного вознаграждения  советникам директоров по воспитанию и взаимодействию с детскими общественными объединениями, ед.</t>
  </si>
  <si>
    <t>Итого 2023</t>
  </si>
  <si>
    <t>Итого 2024</t>
  </si>
  <si>
    <t>Ответственный за выполнение мероприятия программы</t>
  </si>
  <si>
    <t>Доля педагогических работников муниципальных дошкольных и общеобразовательных организаций – молодых работников и специалистов, получивших выплату и пособие, в общем числе обратившихся за выплатой и пособием, %</t>
  </si>
  <si>
    <t>Основное мероприятие Ю4: 
Все лучшее детям</t>
  </si>
  <si>
    <t>Мероприятие Ю4.01
Оснащение предметных кабинетов общеобразовательных организаций средствами обучения и воспитания</t>
  </si>
  <si>
    <t>Оснащены предметные кабинеты общеобразовательных организаций средствами обучения и воспитания, ед.</t>
  </si>
  <si>
    <t>В государственных и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объединениями, ед.</t>
  </si>
  <si>
    <t>Обеспечены выплаты денежного вознаграждения за классное руководство, предоставляемые педагогическим работникам государственных образовательных организаций, ежемесячно, ед.</t>
  </si>
  <si>
    <t>Мероприятие  Ю6.07.
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</si>
  <si>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организаций, ед.</t>
  </si>
  <si>
    <t>15</t>
  </si>
  <si>
    <t>15.1</t>
  </si>
  <si>
    <t>15.2</t>
  </si>
  <si>
    <t>15.3</t>
  </si>
  <si>
    <t>Не взимается плата за посещение занятий по дополнительным образовательным программам, реализуемым на платной основе в муниципальных образовательных организациях, детьми граждан, участвующих в специальной военной операции, в общем числе обратившихся, ед.</t>
  </si>
  <si>
    <t>Мероприятие 01.15.                                                                       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</si>
  <si>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Мероприятие 02.07.                                                                                             Сохранение достигнутого уровня заработной платы педагогических работников организаций дополнительного образования сферы образования</t>
  </si>
  <si>
    <t xml:space="preserve">Достижение соотношения средней заработной платы педагогических работников организаций дополнительного образования сферы образования без учета внешних совместителей и среднемесячной номинальной начисленной заработной платы учителей, %                        </t>
  </si>
  <si>
    <t>Управление образования, МКУ "Централизованная бухгалтерия"</t>
  </si>
  <si>
    <t>от «___» __________ 2025 № ______</t>
  </si>
  <si>
    <t>2025-2027 годы</t>
  </si>
  <si>
    <t>2023год</t>
  </si>
  <si>
    <t>2023-2024 годы</t>
  </si>
  <si>
    <t>Мероприятие 01.01.                                                                                         Обеспечение деятельности муниципальных органов - учреждения в сфере образования</t>
  </si>
  <si>
    <t>Мероприятие 01.02.                                                                                         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</si>
  <si>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Доля  руководителей муниципальных общеобразовательных организаций, получивших стимулирующие выплаты руководителям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организациях, в общей численности работников такой категории, %</t>
  </si>
  <si>
    <t>Доля работников муниципальных дошкольных образовательных организаций, и  муниципальных общеобразовательных организаций, получивших ежемесячную доплату за напряженный труд, в общей численности работников такой категории, процентзовательных организаций, получивших ежемесячную доплату за напряженный труд, в общей численности работников такой категории, %</t>
  </si>
  <si>
    <t xml:space="preserve">Мероприятие 01.11.                                                                                          Выплата пособия и ежемесячных выплат педагогическим работникам муниципальных дошкольных и общеобразовательных организаций - молодым работникам и специалистам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</si>
</sst>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0"/>
    <numFmt numFmtId="166" formatCode="0.000"/>
    <numFmt numFmtId="167" formatCode="#,##0.00000"/>
    <numFmt numFmtId="168" formatCode="#,##0.0000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2"/>
    </font>
    <font>
      <sz val="14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b/>
      <sz val="48"/>
      <name val="Times New Roman"/>
      <family val="1"/>
      <charset val="204"/>
    </font>
    <font>
      <sz val="14"/>
      <name val="Times New Roman"/>
      <family val="2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4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3"/>
      <color theme="1"/>
      <name val="Times New Roman"/>
      <family val="1"/>
      <charset val="204"/>
    </font>
    <font>
      <sz val="16"/>
      <name val="Arial"/>
      <family val="2"/>
      <charset val="204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>
      <alignment vertical="center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</cellStyleXfs>
  <cellXfs count="537">
    <xf numFmtId="0" fontId="0" fillId="0" borderId="0" xfId="0"/>
    <xf numFmtId="0" fontId="6" fillId="0" borderId="0" xfId="0" applyFont="1"/>
    <xf numFmtId="0" fontId="7" fillId="2" borderId="0" xfId="7" applyNumberFormat="1" applyFont="1" applyFill="1" applyBorder="1" applyAlignment="1" applyProtection="1">
      <alignment vertical="top"/>
    </xf>
    <xf numFmtId="0" fontId="7" fillId="2" borderId="0" xfId="7" applyNumberFormat="1" applyFont="1" applyFill="1" applyBorder="1" applyAlignment="1" applyProtection="1">
      <alignment horizontal="center" vertical="top"/>
    </xf>
    <xf numFmtId="165" fontId="6" fillId="0" borderId="0" xfId="0" applyNumberFormat="1" applyFont="1"/>
    <xf numFmtId="0" fontId="6" fillId="4" borderId="0" xfId="0" applyFont="1" applyFill="1"/>
    <xf numFmtId="0" fontId="9" fillId="0" borderId="2" xfId="1" applyFont="1" applyFill="1" applyBorder="1"/>
    <xf numFmtId="0" fontId="10" fillId="0" borderId="0" xfId="0" applyFont="1"/>
    <xf numFmtId="165" fontId="6" fillId="0" borderId="0" xfId="0" applyNumberFormat="1" applyFont="1" applyFill="1"/>
    <xf numFmtId="0" fontId="6" fillId="0" borderId="0" xfId="0" applyFont="1" applyFill="1"/>
    <xf numFmtId="0" fontId="3" fillId="2" borderId="0" xfId="4" applyNumberFormat="1" applyFont="1" applyFill="1" applyBorder="1" applyAlignment="1" applyProtection="1">
      <alignment vertical="top"/>
    </xf>
    <xf numFmtId="4" fontId="6" fillId="0" borderId="0" xfId="0" applyNumberFormat="1" applyFont="1"/>
    <xf numFmtId="0" fontId="9" fillId="0" borderId="2" xfId="4" applyNumberFormat="1" applyFont="1" applyFill="1" applyBorder="1" applyAlignment="1">
      <alignment horizontal="left" vertical="top" wrapText="1" indent="1"/>
    </xf>
    <xf numFmtId="0" fontId="16" fillId="0" borderId="2" xfId="4" applyNumberFormat="1" applyFont="1" applyFill="1" applyBorder="1" applyAlignment="1" applyProtection="1">
      <alignment vertical="top"/>
    </xf>
    <xf numFmtId="0" fontId="6" fillId="0" borderId="0" xfId="0" applyFont="1" applyAlignment="1">
      <alignment horizontal="center"/>
    </xf>
    <xf numFmtId="0" fontId="3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center" vertical="top" wrapText="1"/>
    </xf>
    <xf numFmtId="0" fontId="5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left" vertical="top"/>
    </xf>
    <xf numFmtId="0" fontId="16" fillId="0" borderId="2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vertical="top"/>
    </xf>
    <xf numFmtId="165" fontId="16" fillId="0" borderId="0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horizontal="right" vertical="top"/>
    </xf>
    <xf numFmtId="0" fontId="9" fillId="0" borderId="0" xfId="5" applyNumberFormat="1" applyFont="1" applyFill="1" applyBorder="1" applyAlignment="1" applyProtection="1">
      <alignment vertical="top"/>
    </xf>
    <xf numFmtId="0" fontId="9" fillId="3" borderId="0" xfId="5" applyNumberFormat="1" applyFont="1" applyFill="1" applyBorder="1" applyAlignment="1" applyProtection="1">
      <alignment horizontal="left" vertical="top"/>
    </xf>
    <xf numFmtId="0" fontId="9" fillId="0" borderId="1" xfId="5" applyNumberFormat="1" applyFont="1" applyFill="1" applyBorder="1" applyAlignment="1" applyProtection="1">
      <alignment vertical="top"/>
    </xf>
    <xf numFmtId="165" fontId="9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/>
    </xf>
    <xf numFmtId="0" fontId="9" fillId="3" borderId="0" xfId="5" applyNumberFormat="1" applyFont="1" applyFill="1" applyBorder="1" applyAlignment="1" applyProtection="1">
      <alignment vertical="top"/>
    </xf>
    <xf numFmtId="49" fontId="8" fillId="0" borderId="0" xfId="4" applyNumberFormat="1" applyFont="1" applyFill="1" applyBorder="1" applyAlignment="1" applyProtection="1">
      <alignment horizontal="center" vertical="top"/>
    </xf>
    <xf numFmtId="49" fontId="8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8" fillId="0" borderId="0" xfId="4" applyNumberFormat="1" applyFont="1" applyFill="1" applyBorder="1" applyAlignment="1">
      <alignment horizontal="left" vertical="top" wrapText="1" indent="1"/>
    </xf>
    <xf numFmtId="165" fontId="9" fillId="0" borderId="0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Border="1" applyAlignment="1">
      <alignment vertical="center"/>
    </xf>
    <xf numFmtId="165" fontId="16" fillId="0" borderId="0" xfId="4" applyNumberFormat="1" applyFont="1" applyFill="1" applyBorder="1" applyAlignment="1" applyProtection="1">
      <alignment vertical="top"/>
    </xf>
    <xf numFmtId="0" fontId="5" fillId="2" borderId="0" xfId="1" applyFont="1" applyFill="1" applyAlignment="1">
      <alignment horizontal="left"/>
    </xf>
    <xf numFmtId="165" fontId="8" fillId="0" borderId="2" xfId="1" applyNumberFormat="1" applyFont="1" applyFill="1" applyBorder="1" applyAlignment="1">
      <alignment horizontal="center" vertical="center"/>
    </xf>
    <xf numFmtId="0" fontId="5" fillId="3" borderId="0" xfId="7" applyNumberFormat="1" applyFont="1" applyFill="1" applyBorder="1" applyAlignment="1" applyProtection="1">
      <alignment vertical="top" wrapText="1"/>
    </xf>
    <xf numFmtId="165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165" fontId="5" fillId="3" borderId="0" xfId="5" applyNumberFormat="1" applyFont="1" applyFill="1" applyBorder="1" applyAlignment="1" applyProtection="1">
      <alignment horizontal="left" vertical="top"/>
    </xf>
    <xf numFmtId="0" fontId="9" fillId="0" borderId="0" xfId="5" applyNumberFormat="1" applyFont="1" applyFill="1" applyBorder="1" applyAlignment="1" applyProtection="1">
      <alignment horizontal="left" vertical="top"/>
    </xf>
    <xf numFmtId="167" fontId="8" fillId="0" borderId="2" xfId="1" applyNumberFormat="1" applyFont="1" applyFill="1" applyBorder="1" applyAlignment="1">
      <alignment horizontal="right" vertical="center"/>
    </xf>
    <xf numFmtId="167" fontId="6" fillId="0" borderId="0" xfId="0" applyNumberFormat="1" applyFont="1" applyFill="1"/>
    <xf numFmtId="167" fontId="6" fillId="0" borderId="0" xfId="0" applyNumberFormat="1" applyFont="1"/>
    <xf numFmtId="167" fontId="11" fillId="0" borderId="2" xfId="0" applyNumberFormat="1" applyFont="1" applyBorder="1"/>
    <xf numFmtId="167" fontId="8" fillId="0" borderId="2" xfId="4" applyNumberFormat="1" applyFont="1" applyFill="1" applyBorder="1" applyAlignment="1" applyProtection="1">
      <alignment horizontal="right" vertical="center"/>
    </xf>
    <xf numFmtId="0" fontId="5" fillId="3" borderId="0" xfId="7" applyNumberFormat="1" applyFont="1" applyFill="1" applyBorder="1" applyAlignment="1" applyProtection="1">
      <alignment horizontal="left" vertical="top" wrapText="1"/>
    </xf>
    <xf numFmtId="167" fontId="6" fillId="3" borderId="0" xfId="0" applyNumberFormat="1" applyFont="1" applyFill="1"/>
    <xf numFmtId="0" fontId="5" fillId="3" borderId="0" xfId="5" applyNumberFormat="1" applyFont="1" applyFill="1" applyBorder="1" applyAlignment="1" applyProtection="1">
      <alignment horizontal="left" vertical="top"/>
    </xf>
    <xf numFmtId="165" fontId="9" fillId="0" borderId="5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>
      <alignment vertical="center"/>
    </xf>
    <xf numFmtId="165" fontId="8" fillId="3" borderId="0" xfId="4" applyNumberFormat="1" applyFont="1" applyFill="1" applyBorder="1" applyAlignment="1" applyProtection="1">
      <alignment horizontal="center" vertical="center"/>
    </xf>
    <xf numFmtId="165" fontId="9" fillId="3" borderId="0" xfId="1" applyNumberFormat="1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right"/>
    </xf>
    <xf numFmtId="167" fontId="12" fillId="5" borderId="2" xfId="0" applyNumberFormat="1" applyFont="1" applyFill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4" fontId="11" fillId="0" borderId="0" xfId="0" applyNumberFormat="1" applyFont="1"/>
    <xf numFmtId="168" fontId="6" fillId="3" borderId="0" xfId="0" applyNumberFormat="1" applyFont="1" applyFill="1"/>
    <xf numFmtId="167" fontId="11" fillId="0" borderId="0" xfId="0" applyNumberFormat="1" applyFont="1"/>
    <xf numFmtId="0" fontId="7" fillId="3" borderId="0" xfId="7" applyNumberFormat="1" applyFont="1" applyFill="1" applyBorder="1" applyAlignment="1" applyProtection="1">
      <alignment vertical="top"/>
    </xf>
    <xf numFmtId="0" fontId="5" fillId="3" borderId="0" xfId="7" applyNumberFormat="1" applyFont="1" applyFill="1" applyBorder="1" applyAlignment="1" applyProtection="1">
      <alignment horizontal="center" vertical="center"/>
    </xf>
    <xf numFmtId="0" fontId="5" fillId="2" borderId="0" xfId="1" applyFont="1" applyFill="1" applyAlignment="1">
      <alignment horizontal="right"/>
    </xf>
    <xf numFmtId="0" fontId="8" fillId="0" borderId="0" xfId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3" borderId="0" xfId="0" applyNumberFormat="1" applyFont="1" applyFill="1" applyBorder="1" applyAlignment="1" applyProtection="1">
      <alignment horizontal="right" vertical="top"/>
    </xf>
    <xf numFmtId="167" fontId="21" fillId="3" borderId="0" xfId="0" applyNumberFormat="1" applyFont="1" applyFill="1"/>
    <xf numFmtId="167" fontId="9" fillId="0" borderId="2" xfId="3" applyNumberFormat="1" applyFont="1" applyFill="1" applyBorder="1" applyAlignment="1" applyProtection="1">
      <alignment horizontal="center" vertical="center" wrapText="1"/>
    </xf>
    <xf numFmtId="0" fontId="22" fillId="2" borderId="0" xfId="1" applyFont="1" applyFill="1" applyAlignment="1">
      <alignment horizontal="center"/>
    </xf>
    <xf numFmtId="0" fontId="22" fillId="3" borderId="0" xfId="7" applyNumberFormat="1" applyFont="1" applyFill="1" applyBorder="1" applyAlignment="1" applyProtection="1">
      <alignment vertical="top" wrapText="1"/>
    </xf>
    <xf numFmtId="0" fontId="23" fillId="0" borderId="0" xfId="1" applyFont="1" applyFill="1" applyBorder="1" applyAlignment="1">
      <alignment horizontal="right" vertical="center"/>
    </xf>
    <xf numFmtId="165" fontId="23" fillId="0" borderId="0" xfId="1" applyNumberFormat="1" applyFont="1" applyFill="1" applyBorder="1" applyAlignment="1">
      <alignment horizontal="right" vertical="center"/>
    </xf>
    <xf numFmtId="165" fontId="23" fillId="3" borderId="0" xfId="1" applyNumberFormat="1" applyFont="1" applyFill="1" applyBorder="1" applyAlignment="1">
      <alignment horizontal="right" vertical="center"/>
    </xf>
    <xf numFmtId="167" fontId="23" fillId="0" borderId="0" xfId="1" applyNumberFormat="1" applyFont="1" applyFill="1" applyBorder="1" applyAlignment="1">
      <alignment horizontal="right" vertical="center"/>
    </xf>
    <xf numFmtId="0" fontId="22" fillId="0" borderId="0" xfId="1" applyFont="1" applyFill="1" applyBorder="1"/>
    <xf numFmtId="0" fontId="1" fillId="0" borderId="0" xfId="0" applyFont="1"/>
    <xf numFmtId="167" fontId="24" fillId="0" borderId="2" xfId="0" applyNumberFormat="1" applyFont="1" applyBorder="1"/>
    <xf numFmtId="167" fontId="1" fillId="0" borderId="0" xfId="0" applyNumberFormat="1" applyFont="1"/>
    <xf numFmtId="167" fontId="25" fillId="0" borderId="2" xfId="0" applyNumberFormat="1" applyFont="1" applyBorder="1"/>
    <xf numFmtId="0" fontId="26" fillId="0" borderId="0" xfId="0" applyFont="1"/>
    <xf numFmtId="0" fontId="1" fillId="3" borderId="0" xfId="0" applyFont="1" applyFill="1"/>
    <xf numFmtId="165" fontId="26" fillId="3" borderId="0" xfId="0" applyNumberFormat="1" applyFont="1" applyFill="1"/>
    <xf numFmtId="165" fontId="1" fillId="3" borderId="0" xfId="0" applyNumberFormat="1" applyFont="1" applyFill="1"/>
    <xf numFmtId="165" fontId="1" fillId="0" borderId="0" xfId="0" applyNumberFormat="1" applyFont="1"/>
    <xf numFmtId="4" fontId="1" fillId="3" borderId="0" xfId="0" applyNumberFormat="1" applyFont="1" applyFill="1"/>
    <xf numFmtId="165" fontId="9" fillId="0" borderId="2" xfId="4" applyNumberFormat="1" applyFont="1" applyFill="1" applyBorder="1" applyAlignment="1">
      <alignment horizontal="left" vertical="top" wrapText="1" indent="1"/>
    </xf>
    <xf numFmtId="0" fontId="9" fillId="3" borderId="0" xfId="7" applyNumberFormat="1" applyFont="1" applyFill="1" applyBorder="1" applyAlignment="1" applyProtection="1">
      <alignment horizontal="right" vertical="top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7" fontId="9" fillId="0" borderId="2" xfId="1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 applyProtection="1">
      <alignment horizontal="center" vertical="top"/>
    </xf>
    <xf numFmtId="165" fontId="8" fillId="3" borderId="0" xfId="4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166" fontId="6" fillId="0" borderId="0" xfId="0" applyNumberFormat="1" applyFont="1" applyFill="1"/>
    <xf numFmtId="165" fontId="9" fillId="0" borderId="0" xfId="1" applyNumberFormat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>
      <alignment horizontal="right" vertical="center" wrapText="1"/>
    </xf>
    <xf numFmtId="0" fontId="16" fillId="0" borderId="0" xfId="4" applyNumberFormat="1" applyFont="1" applyFill="1" applyBorder="1" applyAlignment="1" applyProtection="1">
      <alignment vertical="top"/>
    </xf>
    <xf numFmtId="4" fontId="6" fillId="0" borderId="0" xfId="0" applyNumberFormat="1" applyFont="1" applyFill="1"/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7" fontId="19" fillId="0" borderId="2" xfId="3" applyNumberFormat="1" applyFont="1" applyFill="1" applyBorder="1" applyAlignment="1" applyProtection="1">
      <alignment horizontal="center" vertical="center" wrapText="1"/>
    </xf>
    <xf numFmtId="165" fontId="8" fillId="0" borderId="2" xfId="5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>
      <alignment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167" fontId="10" fillId="0" borderId="0" xfId="0" applyNumberFormat="1" applyFont="1"/>
    <xf numFmtId="0" fontId="20" fillId="3" borderId="0" xfId="7" applyNumberFormat="1" applyFont="1" applyFill="1" applyBorder="1" applyAlignment="1" applyProtection="1">
      <alignment vertical="top" wrapText="1"/>
    </xf>
    <xf numFmtId="0" fontId="27" fillId="3" borderId="0" xfId="0" applyFont="1" applyFill="1"/>
    <xf numFmtId="4" fontId="27" fillId="3" borderId="0" xfId="0" applyNumberFormat="1" applyFont="1" applyFill="1"/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9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167" fontId="8" fillId="0" borderId="2" xfId="5" applyNumberFormat="1" applyFont="1" applyFill="1" applyBorder="1" applyAlignment="1" applyProtection="1">
      <alignment horizontal="center" vertical="center"/>
    </xf>
    <xf numFmtId="0" fontId="18" fillId="3" borderId="0" xfId="7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165" fontId="13" fillId="0" borderId="2" xfId="3" applyNumberFormat="1" applyFont="1" applyFill="1" applyBorder="1" applyAlignment="1" applyProtection="1">
      <alignment horizontal="center" vertical="center" wrapText="1"/>
    </xf>
    <xf numFmtId="165" fontId="13" fillId="0" borderId="6" xfId="3" applyNumberFormat="1" applyFont="1" applyFill="1" applyBorder="1" applyAlignment="1" applyProtection="1">
      <alignment horizontal="center" vertical="center" wrapText="1"/>
    </xf>
    <xf numFmtId="165" fontId="13" fillId="0" borderId="0" xfId="3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/>
    </xf>
    <xf numFmtId="167" fontId="8" fillId="6" borderId="2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8" fillId="6" borderId="2" xfId="4" applyNumberFormat="1" applyFont="1" applyFill="1" applyBorder="1" applyAlignment="1">
      <alignment horizontal="right" vertical="center" wrapText="1"/>
    </xf>
    <xf numFmtId="0" fontId="9" fillId="6" borderId="2" xfId="4" applyNumberFormat="1" applyFont="1" applyFill="1" applyBorder="1" applyAlignment="1">
      <alignment horizontal="left" vertical="top" wrapText="1" indent="1"/>
    </xf>
    <xf numFmtId="49" fontId="8" fillId="5" borderId="2" xfId="4" applyNumberFormat="1" applyFont="1" applyFill="1" applyBorder="1" applyAlignment="1" applyProtection="1">
      <alignment horizontal="center" vertical="top"/>
    </xf>
    <xf numFmtId="167" fontId="8" fillId="5" borderId="2" xfId="4" applyNumberFormat="1" applyFont="1" applyFill="1" applyBorder="1" applyAlignment="1" applyProtection="1">
      <alignment horizontal="center" vertical="center"/>
    </xf>
    <xf numFmtId="3" fontId="9" fillId="5" borderId="2" xfId="1" applyNumberFormat="1" applyFont="1" applyFill="1" applyBorder="1" applyAlignment="1">
      <alignment horizontal="center" vertical="center"/>
    </xf>
    <xf numFmtId="167" fontId="8" fillId="5" borderId="2" xfId="4" applyNumberFormat="1" applyFont="1" applyFill="1" applyBorder="1" applyAlignment="1">
      <alignment horizontal="right" vertical="center" wrapText="1"/>
    </xf>
    <xf numFmtId="165" fontId="23" fillId="5" borderId="0" xfId="4" applyNumberFormat="1" applyFont="1" applyFill="1" applyBorder="1" applyAlignment="1" applyProtection="1">
      <alignment horizontal="right" vertical="center"/>
    </xf>
    <xf numFmtId="167" fontId="25" fillId="5" borderId="2" xfId="0" applyNumberFormat="1" applyFont="1" applyFill="1" applyBorder="1"/>
    <xf numFmtId="165" fontId="1" fillId="5" borderId="0" xfId="0" applyNumberFormat="1" applyFont="1" applyFill="1"/>
    <xf numFmtId="167" fontId="1" fillId="5" borderId="0" xfId="0" applyNumberFormat="1" applyFont="1" applyFill="1"/>
    <xf numFmtId="0" fontId="1" fillId="5" borderId="0" xfId="0" applyFont="1" applyFill="1"/>
    <xf numFmtId="0" fontId="23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center" vertical="center"/>
    </xf>
    <xf numFmtId="0" fontId="22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left" vertical="top" wrapText="1"/>
    </xf>
    <xf numFmtId="167" fontId="8" fillId="6" borderId="2" xfId="4" applyNumberFormat="1" applyFont="1" applyFill="1" applyBorder="1" applyAlignment="1" applyProtection="1">
      <alignment horizontal="right" vertical="center"/>
    </xf>
    <xf numFmtId="0" fontId="16" fillId="6" borderId="2" xfId="4" applyNumberFormat="1" applyFont="1" applyFill="1" applyBorder="1" applyAlignment="1" applyProtection="1">
      <alignment vertical="top"/>
    </xf>
    <xf numFmtId="167" fontId="8" fillId="5" borderId="2" xfId="4" applyNumberFormat="1" applyFont="1" applyFill="1" applyBorder="1" applyAlignment="1" applyProtection="1">
      <alignment horizontal="right" vertical="center"/>
    </xf>
    <xf numFmtId="165" fontId="6" fillId="5" borderId="0" xfId="0" applyNumberFormat="1" applyFont="1" applyFill="1"/>
    <xf numFmtId="0" fontId="6" fillId="5" borderId="0" xfId="0" applyFont="1" applyFill="1"/>
    <xf numFmtId="167" fontId="6" fillId="5" borderId="0" xfId="0" applyNumberFormat="1" applyFont="1" applyFill="1"/>
    <xf numFmtId="49" fontId="13" fillId="6" borderId="2" xfId="2" applyNumberFormat="1" applyFont="1" applyFill="1" applyBorder="1" applyAlignment="1" applyProtection="1">
      <alignment horizontal="center" vertical="center" wrapText="1"/>
    </xf>
    <xf numFmtId="167" fontId="13" fillId="6" borderId="2" xfId="5" applyNumberFormat="1" applyFont="1" applyFill="1" applyBorder="1" applyAlignment="1" applyProtection="1">
      <alignment horizontal="center" vertical="center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5" fontId="8" fillId="6" borderId="2" xfId="5" applyNumberFormat="1" applyFont="1" applyFill="1" applyBorder="1" applyAlignment="1" applyProtection="1">
      <alignment horizontal="center" vertical="center"/>
    </xf>
    <xf numFmtId="0" fontId="16" fillId="6" borderId="2" xfId="5" applyNumberFormat="1" applyFont="1" applyFill="1" applyBorder="1" applyAlignment="1" applyProtection="1">
      <alignment vertical="top"/>
    </xf>
    <xf numFmtId="167" fontId="8" fillId="5" borderId="2" xfId="3" applyNumberFormat="1" applyFont="1" applyFill="1" applyBorder="1" applyAlignment="1" applyProtection="1">
      <alignment horizontal="center" vertical="center" wrapText="1"/>
    </xf>
    <xf numFmtId="167" fontId="8" fillId="5" borderId="2" xfId="5" applyNumberFormat="1" applyFont="1" applyFill="1" applyBorder="1" applyAlignment="1" applyProtection="1">
      <alignment horizontal="center" vertical="center"/>
    </xf>
    <xf numFmtId="167" fontId="9" fillId="5" borderId="2" xfId="5" applyNumberFormat="1" applyFont="1" applyFill="1" applyBorder="1" applyAlignment="1" applyProtection="1">
      <alignment horizontal="center" vertical="center"/>
    </xf>
    <xf numFmtId="0" fontId="9" fillId="5" borderId="0" xfId="5" applyNumberFormat="1" applyFont="1" applyFill="1" applyBorder="1" applyAlignment="1" applyProtection="1">
      <alignment vertical="top"/>
    </xf>
    <xf numFmtId="0" fontId="9" fillId="5" borderId="1" xfId="5" applyNumberFormat="1" applyFont="1" applyFill="1" applyBorder="1" applyAlignment="1" applyProtection="1">
      <alignment vertical="top"/>
    </xf>
    <xf numFmtId="0" fontId="5" fillId="5" borderId="0" xfId="5" applyNumberFormat="1" applyFont="1" applyFill="1" applyBorder="1" applyAlignment="1" applyProtection="1">
      <alignment horizontal="center" vertical="top" wrapText="1"/>
    </xf>
    <xf numFmtId="167" fontId="10" fillId="5" borderId="0" xfId="0" applyNumberFormat="1" applyFont="1" applyFill="1"/>
    <xf numFmtId="4" fontId="6" fillId="5" borderId="0" xfId="0" applyNumberFormat="1" applyFont="1" applyFill="1"/>
    <xf numFmtId="3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3" fontId="29" fillId="0" borderId="2" xfId="1" applyNumberFormat="1" applyFont="1" applyFill="1" applyBorder="1" applyAlignment="1">
      <alignment horizontal="center" vertical="center"/>
    </xf>
    <xf numFmtId="3" fontId="29" fillId="5" borderId="2" xfId="1" applyNumberFormat="1" applyFont="1" applyFill="1" applyBorder="1" applyAlignment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0" fontId="33" fillId="3" borderId="0" xfId="7" applyNumberFormat="1" applyFont="1" applyFill="1" applyBorder="1" applyAlignment="1" applyProtection="1">
      <alignment horizontal="center" vertical="center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167" fontId="8" fillId="0" borderId="0" xfId="5" applyNumberFormat="1" applyFont="1" applyFill="1" applyBorder="1" applyAlignment="1" applyProtection="1">
      <alignment horizontal="center" vertical="center"/>
    </xf>
    <xf numFmtId="167" fontId="16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 wrapText="1"/>
    </xf>
    <xf numFmtId="165" fontId="9" fillId="0" borderId="0" xfId="5" applyNumberFormat="1" applyFont="1" applyFill="1" applyBorder="1" applyAlignment="1" applyProtection="1">
      <alignment horizontal="center" vertical="top"/>
    </xf>
    <xf numFmtId="167" fontId="9" fillId="0" borderId="0" xfId="5" applyNumberFormat="1" applyFont="1" applyFill="1" applyBorder="1" applyAlignment="1" applyProtection="1">
      <alignment horizontal="center" vertical="top"/>
    </xf>
    <xf numFmtId="0" fontId="18" fillId="3" borderId="0" xfId="7" applyNumberFormat="1" applyFont="1" applyFill="1" applyBorder="1" applyAlignment="1" applyProtection="1">
      <alignment horizontal="center" vertical="center"/>
    </xf>
    <xf numFmtId="0" fontId="8" fillId="5" borderId="2" xfId="11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0" fontId="37" fillId="3" borderId="0" xfId="7" applyNumberFormat="1" applyFont="1" applyFill="1" applyBorder="1" applyAlignment="1" applyProtection="1">
      <alignment vertical="top"/>
    </xf>
    <xf numFmtId="0" fontId="36" fillId="3" borderId="0" xfId="7" applyNumberFormat="1" applyFont="1" applyFill="1" applyBorder="1" applyAlignment="1" applyProtection="1">
      <alignment vertical="top"/>
    </xf>
    <xf numFmtId="0" fontId="38" fillId="3" borderId="0" xfId="7" applyNumberFormat="1" applyFont="1" applyFill="1" applyBorder="1" applyAlignment="1" applyProtection="1">
      <alignment vertical="top"/>
    </xf>
    <xf numFmtId="49" fontId="37" fillId="0" borderId="2" xfId="4" applyNumberFormat="1" applyFont="1" applyFill="1" applyBorder="1" applyAlignment="1" applyProtection="1">
      <alignment horizontal="center" vertical="top"/>
    </xf>
    <xf numFmtId="49" fontId="37" fillId="6" borderId="2" xfId="4" applyNumberFormat="1" applyFont="1" applyFill="1" applyBorder="1" applyAlignment="1" applyProtection="1">
      <alignment horizontal="center" vertical="center" wrapText="1"/>
    </xf>
    <xf numFmtId="0" fontId="37" fillId="6" borderId="2" xfId="7" applyNumberFormat="1" applyFont="1" applyFill="1" applyBorder="1" applyAlignment="1" applyProtection="1">
      <alignment horizontal="center" vertical="center" wrapText="1"/>
    </xf>
    <xf numFmtId="2" fontId="37" fillId="0" borderId="2" xfId="1" applyNumberFormat="1" applyFont="1" applyFill="1" applyBorder="1" applyAlignment="1" applyProtection="1">
      <alignment horizontal="center" vertical="center" wrapText="1"/>
    </xf>
    <xf numFmtId="49" fontId="37" fillId="0" borderId="2" xfId="4" applyNumberFormat="1" applyFont="1" applyFill="1" applyBorder="1" applyAlignment="1" applyProtection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49" fontId="37" fillId="6" borderId="2" xfId="2" applyNumberFormat="1" applyFont="1" applyFill="1" applyBorder="1" applyAlignment="1" applyProtection="1">
      <alignment horizontal="center" vertical="center" wrapText="1"/>
    </xf>
    <xf numFmtId="49" fontId="37" fillId="0" borderId="2" xfId="2" applyNumberFormat="1" applyFont="1" applyFill="1" applyBorder="1" applyAlignment="1" applyProtection="1">
      <alignment horizontal="center" vertical="center" wrapText="1"/>
    </xf>
    <xf numFmtId="0" fontId="37" fillId="6" borderId="2" xfId="1" applyFont="1" applyFill="1" applyBorder="1" applyAlignment="1">
      <alignment horizontal="center" vertical="center"/>
    </xf>
    <xf numFmtId="0" fontId="37" fillId="6" borderId="2" xfId="1" applyFont="1" applyFill="1" applyBorder="1" applyAlignment="1">
      <alignment horizontal="center" vertical="center" wrapText="1"/>
    </xf>
    <xf numFmtId="0" fontId="39" fillId="0" borderId="0" xfId="1" applyFont="1" applyFill="1" applyBorder="1" applyAlignment="1">
      <alignment horizontal="right" vertical="center"/>
    </xf>
    <xf numFmtId="0" fontId="40" fillId="0" borderId="0" xfId="0" applyFont="1"/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4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13" fillId="6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3" fontId="30" fillId="3" borderId="2" xfId="1" applyNumberFormat="1" applyFont="1" applyFill="1" applyBorder="1" applyAlignment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41" fillId="0" borderId="0" xfId="5" applyNumberFormat="1" applyFont="1" applyFill="1" applyBorder="1" applyAlignment="1" applyProtection="1">
      <alignment vertical="top"/>
    </xf>
    <xf numFmtId="4" fontId="9" fillId="0" borderId="2" xfId="1" applyNumberFormat="1" applyFont="1" applyFill="1" applyBorder="1" applyAlignment="1">
      <alignment horizontal="center" vertical="center"/>
    </xf>
    <xf numFmtId="2" fontId="9" fillId="5" borderId="2" xfId="1" applyNumberFormat="1" applyFont="1" applyFill="1" applyBorder="1" applyAlignment="1">
      <alignment horizontal="center" vertical="center"/>
    </xf>
    <xf numFmtId="167" fontId="28" fillId="0" borderId="2" xfId="4" applyNumberFormat="1" applyFont="1" applyFill="1" applyBorder="1" applyAlignment="1" applyProtection="1">
      <alignment horizontal="center" vertical="center"/>
    </xf>
    <xf numFmtId="49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1" applyNumberFormat="1" applyFont="1" applyFill="1" applyBorder="1" applyAlignment="1" applyProtection="1">
      <alignment horizontal="center" vertical="center" wrapText="1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167" fontId="28" fillId="0" borderId="2" xfId="1" applyNumberFormat="1" applyFont="1" applyFill="1" applyBorder="1" applyAlignment="1">
      <alignment horizontal="center" vertical="center"/>
    </xf>
    <xf numFmtId="167" fontId="29" fillId="0" borderId="2" xfId="1" applyNumberFormat="1" applyFont="1" applyFill="1" applyBorder="1" applyAlignment="1">
      <alignment horizontal="center" vertical="center" wrapText="1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167" fontId="29" fillId="0" borderId="2" xfId="4" applyNumberFormat="1" applyFont="1" applyFill="1" applyBorder="1" applyAlignment="1" applyProtection="1">
      <alignment horizontal="center" vertical="center"/>
    </xf>
    <xf numFmtId="167" fontId="21" fillId="0" borderId="0" xfId="0" applyNumberFormat="1" applyFont="1"/>
    <xf numFmtId="167" fontId="43" fillId="0" borderId="0" xfId="4" applyNumberFormat="1" applyFont="1" applyFill="1" applyBorder="1" applyAlignment="1" applyProtection="1">
      <alignment vertical="top"/>
    </xf>
    <xf numFmtId="0" fontId="37" fillId="7" borderId="2" xfId="1" applyFont="1" applyFill="1" applyBorder="1" applyAlignment="1">
      <alignment horizontal="center" vertical="center" wrapText="1"/>
    </xf>
    <xf numFmtId="0" fontId="6" fillId="7" borderId="0" xfId="0" applyFont="1" applyFill="1"/>
    <xf numFmtId="167" fontId="9" fillId="7" borderId="2" xfId="1" applyNumberFormat="1" applyFont="1" applyFill="1" applyBorder="1" applyAlignment="1" applyProtection="1">
      <alignment horizontal="center" vertical="center" wrapText="1"/>
    </xf>
    <xf numFmtId="49" fontId="9" fillId="7" borderId="2" xfId="1" applyNumberFormat="1" applyFont="1" applyFill="1" applyBorder="1" applyAlignment="1" applyProtection="1">
      <alignment horizontal="center" vertical="center" wrapText="1"/>
    </xf>
    <xf numFmtId="4" fontId="6" fillId="7" borderId="0" xfId="0" applyNumberFormat="1" applyFont="1" applyFill="1"/>
    <xf numFmtId="167" fontId="29" fillId="7" borderId="2" xfId="1" applyNumberFormat="1" applyFont="1" applyFill="1" applyBorder="1" applyAlignment="1" applyProtection="1">
      <alignment horizontal="center" vertical="center" wrapText="1"/>
    </xf>
    <xf numFmtId="3" fontId="9" fillId="7" borderId="2" xfId="1" applyNumberFormat="1" applyFont="1" applyFill="1" applyBorder="1" applyAlignment="1">
      <alignment horizontal="center" vertical="center"/>
    </xf>
    <xf numFmtId="3" fontId="29" fillId="7" borderId="2" xfId="1" applyNumberFormat="1" applyFont="1" applyFill="1" applyBorder="1" applyAlignment="1">
      <alignment horizontal="center" vertical="center"/>
    </xf>
    <xf numFmtId="167" fontId="8" fillId="7" borderId="2" xfId="4" applyNumberFormat="1" applyFont="1" applyFill="1" applyBorder="1" applyAlignment="1" applyProtection="1">
      <alignment horizontal="center" vertical="center"/>
    </xf>
    <xf numFmtId="167" fontId="6" fillId="7" borderId="0" xfId="0" applyNumberFormat="1" applyFont="1" applyFill="1"/>
    <xf numFmtId="49" fontId="37" fillId="7" borderId="2" xfId="2" applyNumberFormat="1" applyFont="1" applyFill="1" applyBorder="1" applyAlignment="1" applyProtection="1">
      <alignment horizontal="center" vertical="center" wrapText="1"/>
    </xf>
    <xf numFmtId="167" fontId="8" fillId="7" borderId="2" xfId="5" applyNumberFormat="1" applyFont="1" applyFill="1" applyBorder="1" applyAlignment="1" applyProtection="1">
      <alignment horizontal="center" vertical="center"/>
    </xf>
    <xf numFmtId="167" fontId="9" fillId="7" borderId="2" xfId="5" applyNumberFormat="1" applyFont="1" applyFill="1" applyBorder="1" applyAlignment="1" applyProtection="1">
      <alignment horizontal="center" vertical="center"/>
    </xf>
    <xf numFmtId="167" fontId="9" fillId="7" borderId="2" xfId="3" applyNumberFormat="1" applyFont="1" applyFill="1" applyBorder="1" applyAlignment="1" applyProtection="1">
      <alignment horizontal="center" vertical="center" wrapText="1"/>
    </xf>
    <xf numFmtId="167" fontId="8" fillId="7" borderId="2" xfId="3" applyNumberFormat="1" applyFont="1" applyFill="1" applyBorder="1" applyAlignment="1" applyProtection="1">
      <alignment horizontal="center" vertical="center" wrapText="1"/>
    </xf>
    <xf numFmtId="49" fontId="29" fillId="0" borderId="2" xfId="1" applyNumberFormat="1" applyFont="1" applyFill="1" applyBorder="1" applyAlignment="1" applyProtection="1">
      <alignment horizontal="center" vertical="center" wrapText="1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4" applyNumberFormat="1" applyFont="1" applyFill="1" applyBorder="1" applyAlignment="1" applyProtection="1">
      <alignment horizontal="center" vertical="center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167" fontId="28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3" applyNumberFormat="1" applyFont="1" applyFill="1" applyBorder="1" applyAlignment="1" applyProtection="1">
      <alignment horizontal="center" vertical="center" wrapText="1"/>
    </xf>
    <xf numFmtId="167" fontId="29" fillId="6" borderId="2" xfId="1" applyNumberFormat="1" applyFont="1" applyFill="1" applyBorder="1" applyAlignment="1">
      <alignment horizontal="center" vertical="center" wrapText="1"/>
    </xf>
    <xf numFmtId="167" fontId="29" fillId="6" borderId="2" xfId="1" applyNumberFormat="1" applyFont="1" applyFill="1" applyBorder="1" applyAlignment="1">
      <alignment horizontal="center" vertical="center"/>
    </xf>
    <xf numFmtId="167" fontId="28" fillId="6" borderId="2" xfId="1" applyNumberFormat="1" applyFont="1" applyFill="1" applyBorder="1" applyAlignment="1">
      <alignment horizontal="center" vertical="center"/>
    </xf>
    <xf numFmtId="167" fontId="29" fillId="0" borderId="2" xfId="1" applyNumberFormat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29" fillId="0" borderId="2" xfId="3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2" fontId="39" fillId="0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4" fontId="1" fillId="0" borderId="0" xfId="0" applyNumberFormat="1" applyFont="1" applyFill="1"/>
    <xf numFmtId="49" fontId="39" fillId="0" borderId="2" xfId="4" applyNumberFormat="1" applyFont="1" applyFill="1" applyBorder="1" applyAlignment="1" applyProtection="1">
      <alignment horizontal="center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39" fillId="0" borderId="2" xfId="7" applyNumberFormat="1" applyFont="1" applyFill="1" applyBorder="1" applyAlignment="1" applyProtection="1">
      <alignment horizontal="center" vertical="center" wrapText="1"/>
    </xf>
    <xf numFmtId="167" fontId="1" fillId="0" borderId="0" xfId="0" applyNumberFormat="1" applyFont="1" applyFill="1"/>
    <xf numFmtId="17" fontId="1" fillId="0" borderId="0" xfId="0" applyNumberFormat="1" applyFont="1" applyFill="1"/>
    <xf numFmtId="167" fontId="29" fillId="0" borderId="2" xfId="7" applyNumberFormat="1" applyFont="1" applyFill="1" applyBorder="1" applyAlignment="1" applyProtection="1">
      <alignment horizontal="center" vertical="center" wrapText="1"/>
    </xf>
    <xf numFmtId="167" fontId="28" fillId="5" borderId="2" xfId="4" applyNumberFormat="1" applyFont="1" applyFill="1" applyBorder="1" applyAlignment="1" applyProtection="1">
      <alignment horizontal="center" vertical="center"/>
    </xf>
    <xf numFmtId="0" fontId="39" fillId="6" borderId="2" xfId="1" applyFont="1" applyFill="1" applyBorder="1" applyAlignment="1">
      <alignment horizontal="center" vertical="center"/>
    </xf>
    <xf numFmtId="0" fontId="39" fillId="6" borderId="2" xfId="1" applyFont="1" applyFill="1" applyBorder="1" applyAlignment="1">
      <alignment horizontal="center" vertical="center" wrapText="1"/>
    </xf>
    <xf numFmtId="167" fontId="44" fillId="0" borderId="2" xfId="1" applyNumberFormat="1" applyFont="1" applyFill="1" applyBorder="1" applyAlignment="1">
      <alignment horizontal="center" vertical="center" wrapText="1"/>
    </xf>
    <xf numFmtId="167" fontId="45" fillId="0" borderId="2" xfId="1" applyNumberFormat="1" applyFont="1" applyFill="1" applyBorder="1" applyAlignment="1" applyProtection="1">
      <alignment horizontal="center" vertical="center" wrapText="1"/>
    </xf>
    <xf numFmtId="167" fontId="28" fillId="5" borderId="2" xfId="1" applyNumberFormat="1" applyFont="1" applyFill="1" applyBorder="1" applyAlignment="1">
      <alignment horizontal="center" vertical="center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0" fontId="29" fillId="0" borderId="2" xfId="1" applyNumberFormat="1" applyFont="1" applyFill="1" applyBorder="1" applyAlignment="1" applyProtection="1">
      <alignment horizontal="left" vertical="top" wrapText="1"/>
    </xf>
    <xf numFmtId="2" fontId="29" fillId="0" borderId="2" xfId="1" applyNumberFormat="1" applyFont="1" applyFill="1" applyBorder="1" applyAlignment="1" applyProtection="1">
      <alignment horizontal="center" vertical="center" wrapText="1"/>
    </xf>
    <xf numFmtId="2" fontId="38" fillId="0" borderId="2" xfId="1" applyNumberFormat="1" applyFont="1" applyFill="1" applyBorder="1" applyAlignment="1" applyProtection="1">
      <alignment horizontal="center" vertical="center" wrapText="1"/>
    </xf>
    <xf numFmtId="167" fontId="29" fillId="5" borderId="2" xfId="1" applyNumberFormat="1" applyFont="1" applyFill="1" applyBorder="1" applyAlignment="1">
      <alignment horizontal="center" vertical="center"/>
    </xf>
    <xf numFmtId="49" fontId="29" fillId="0" borderId="2" xfId="1" applyNumberFormat="1" applyFont="1" applyFill="1" applyBorder="1" applyAlignment="1" applyProtection="1">
      <alignment horizontal="center" vertical="center" wrapText="1"/>
    </xf>
    <xf numFmtId="49" fontId="29" fillId="0" borderId="2" xfId="1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167" fontId="28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4" applyNumberFormat="1" applyFont="1" applyFill="1" applyBorder="1" applyAlignment="1" applyProtection="1">
      <alignment horizontal="center" vertical="center" wrapText="1"/>
    </xf>
    <xf numFmtId="167" fontId="45" fillId="0" borderId="2" xfId="1" applyNumberFormat="1" applyFont="1" applyFill="1" applyBorder="1" applyAlignment="1" applyProtection="1">
      <alignment horizontal="center" vertical="center" wrapText="1"/>
    </xf>
    <xf numFmtId="49" fontId="29" fillId="6" borderId="2" xfId="1" applyNumberFormat="1" applyFont="1" applyFill="1" applyBorder="1" applyAlignment="1">
      <alignment horizontal="center" vertical="center" wrapText="1"/>
    </xf>
    <xf numFmtId="167" fontId="29" fillId="6" borderId="2" xfId="4" applyNumberFormat="1" applyFont="1" applyFill="1" applyBorder="1" applyAlignment="1" applyProtection="1">
      <alignment horizontal="center" vertical="center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167" fontId="28" fillId="0" borderId="2" xfId="4" applyNumberFormat="1" applyFont="1" applyFill="1" applyBorder="1" applyAlignment="1" applyProtection="1">
      <alignment horizontal="center" vertical="center"/>
    </xf>
    <xf numFmtId="167" fontId="29" fillId="6" borderId="2" xfId="1" applyNumberFormat="1" applyFont="1" applyFill="1" applyBorder="1" applyAlignment="1">
      <alignment horizontal="center" vertical="center"/>
    </xf>
    <xf numFmtId="167" fontId="29" fillId="6" borderId="2" xfId="1" applyNumberFormat="1" applyFont="1" applyFill="1" applyBorder="1" applyAlignment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top"/>
      <protection locked="0"/>
    </xf>
    <xf numFmtId="167" fontId="28" fillId="6" borderId="2" xfId="4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164" fontId="9" fillId="0" borderId="2" xfId="4" applyNumberFormat="1" applyFont="1" applyFill="1" applyBorder="1" applyAlignment="1" applyProtection="1">
      <alignment horizontal="center" vertical="center" wrapText="1"/>
    </xf>
    <xf numFmtId="49" fontId="9" fillId="6" borderId="2" xfId="1" applyNumberFormat="1" applyFont="1" applyFill="1" applyBorder="1" applyAlignment="1">
      <alignment horizontal="center" vertical="center" wrapText="1"/>
    </xf>
    <xf numFmtId="167" fontId="9" fillId="5" borderId="2" xfId="1" applyNumberFormat="1" applyFont="1" applyFill="1" applyBorder="1" applyAlignment="1">
      <alignment horizontal="center" vertical="center"/>
    </xf>
    <xf numFmtId="167" fontId="28" fillId="6" borderId="2" xfId="1" applyNumberFormat="1" applyFont="1" applyFill="1" applyBorder="1" applyAlignment="1">
      <alignment horizontal="center" vertical="center"/>
    </xf>
    <xf numFmtId="2" fontId="36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7" fontId="29" fillId="6" borderId="2" xfId="5" applyNumberFormat="1" applyFont="1" applyFill="1" applyBorder="1" applyAlignment="1" applyProtection="1">
      <alignment horizontal="center" vertical="center"/>
    </xf>
    <xf numFmtId="0" fontId="9" fillId="7" borderId="2" xfId="3" applyFont="1" applyFill="1" applyBorder="1" applyAlignment="1">
      <alignment horizontal="center" vertical="center" wrapText="1"/>
    </xf>
    <xf numFmtId="167" fontId="29" fillId="7" borderId="2" xfId="3" applyNumberFormat="1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29" fillId="0" borderId="2" xfId="3" applyFont="1" applyFill="1" applyBorder="1" applyAlignment="1">
      <alignment horizontal="center" vertical="center" wrapText="1"/>
    </xf>
    <xf numFmtId="167" fontId="28" fillId="0" borderId="2" xfId="3" applyNumberFormat="1" applyFont="1" applyFill="1" applyBorder="1" applyAlignment="1" applyProtection="1">
      <alignment horizontal="center" vertical="center" wrapText="1"/>
    </xf>
    <xf numFmtId="167" fontId="28" fillId="7" borderId="2" xfId="5" applyNumberFormat="1" applyFont="1" applyFill="1" applyBorder="1" applyAlignment="1" applyProtection="1">
      <alignment horizontal="center" vertical="center"/>
    </xf>
    <xf numFmtId="167" fontId="29" fillId="6" borderId="2" xfId="3" applyNumberFormat="1" applyFont="1" applyFill="1" applyBorder="1" applyAlignment="1" applyProtection="1">
      <alignment horizontal="center" vertical="center" wrapText="1"/>
    </xf>
    <xf numFmtId="167" fontId="48" fillId="0" borderId="2" xfId="3" applyNumberFormat="1" applyFont="1" applyFill="1" applyBorder="1" applyAlignment="1" applyProtection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49" fontId="9" fillId="7" borderId="2" xfId="1" applyNumberFormat="1" applyFont="1" applyFill="1" applyBorder="1" applyAlignment="1">
      <alignment horizontal="center" vertical="center" wrapText="1"/>
    </xf>
    <xf numFmtId="167" fontId="29" fillId="7" borderId="2" xfId="5" applyNumberFormat="1" applyFont="1" applyFill="1" applyBorder="1" applyAlignment="1" applyProtection="1">
      <alignment horizontal="center" vertical="center"/>
    </xf>
    <xf numFmtId="49" fontId="28" fillId="0" borderId="2" xfId="1" applyNumberFormat="1" applyFont="1" applyFill="1" applyBorder="1" applyAlignment="1" applyProtection="1">
      <alignment horizontal="center" vertical="top" wrapText="1"/>
    </xf>
    <xf numFmtId="0" fontId="28" fillId="0" borderId="2" xfId="1" applyNumberFormat="1" applyFont="1" applyFill="1" applyBorder="1" applyAlignment="1" applyProtection="1">
      <alignment horizontal="left" vertical="top" wrapText="1"/>
    </xf>
    <xf numFmtId="2" fontId="28" fillId="0" borderId="2" xfId="1" applyNumberFormat="1" applyFont="1" applyFill="1" applyBorder="1" applyAlignment="1" applyProtection="1">
      <alignment horizontal="center" vertical="center" wrapText="1"/>
    </xf>
    <xf numFmtId="167" fontId="46" fillId="0" borderId="2" xfId="1" applyNumberFormat="1" applyFont="1" applyFill="1" applyBorder="1" applyAlignment="1">
      <alignment horizontal="center" vertical="center" wrapText="1"/>
    </xf>
    <xf numFmtId="167" fontId="46" fillId="0" borderId="2" xfId="1" applyNumberFormat="1" applyFont="1" applyFill="1" applyBorder="1" applyAlignment="1" applyProtection="1">
      <alignment horizontal="center" vertical="center" wrapText="1"/>
    </xf>
    <xf numFmtId="167" fontId="47" fillId="0" borderId="2" xfId="1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167" fontId="29" fillId="0" borderId="2" xfId="1" applyNumberFormat="1" applyFont="1" applyFill="1" applyBorder="1" applyAlignment="1">
      <alignment horizontal="center" vertical="center"/>
    </xf>
    <xf numFmtId="167" fontId="29" fillId="6" borderId="3" xfId="4" applyNumberFormat="1" applyFont="1" applyFill="1" applyBorder="1" applyAlignment="1" applyProtection="1">
      <alignment horizontal="center" vertical="center"/>
    </xf>
    <xf numFmtId="167" fontId="29" fillId="6" borderId="4" xfId="4" applyNumberFormat="1" applyFont="1" applyFill="1" applyBorder="1" applyAlignment="1" applyProtection="1">
      <alignment horizontal="center" vertical="center"/>
    </xf>
    <xf numFmtId="167" fontId="29" fillId="6" borderId="5" xfId="4" applyNumberFormat="1" applyFont="1" applyFill="1" applyBorder="1" applyAlignment="1" applyProtection="1">
      <alignment horizontal="center" vertical="center"/>
    </xf>
    <xf numFmtId="0" fontId="28" fillId="0" borderId="2" xfId="3" applyNumberFormat="1" applyFont="1" applyFill="1" applyBorder="1" applyAlignment="1" applyProtection="1">
      <alignment horizontal="center" vertical="center" wrapText="1"/>
    </xf>
    <xf numFmtId="49" fontId="29" fillId="0" borderId="2" xfId="4" applyNumberFormat="1" applyFont="1" applyFill="1" applyBorder="1" applyAlignment="1" applyProtection="1">
      <alignment horizontal="center" vertical="center" wrapText="1"/>
    </xf>
    <xf numFmtId="0" fontId="28" fillId="0" borderId="2" xfId="1" applyFont="1" applyFill="1" applyBorder="1" applyAlignment="1">
      <alignment horizontal="left" vertical="top" wrapText="1"/>
    </xf>
    <xf numFmtId="0" fontId="8" fillId="6" borderId="2" xfId="3" applyNumberFormat="1" applyFont="1" applyFill="1" applyBorder="1" applyAlignment="1" applyProtection="1">
      <alignment horizontal="center" vertical="center" wrapText="1"/>
    </xf>
    <xf numFmtId="49" fontId="28" fillId="0" borderId="2" xfId="7" applyNumberFormat="1" applyFont="1" applyFill="1" applyBorder="1" applyAlignment="1" applyProtection="1">
      <alignment horizontal="center" vertical="center" wrapText="1"/>
    </xf>
    <xf numFmtId="0" fontId="29" fillId="0" borderId="2" xfId="1" applyFont="1" applyFill="1" applyBorder="1" applyAlignment="1">
      <alignment horizontal="center" vertical="center" wrapText="1" shrinkToFit="1"/>
    </xf>
    <xf numFmtId="167" fontId="25" fillId="0" borderId="3" xfId="0" applyNumberFormat="1" applyFont="1" applyBorder="1" applyAlignment="1">
      <alignment horizontal="center"/>
    </xf>
    <xf numFmtId="167" fontId="25" fillId="0" borderId="4" xfId="0" applyNumberFormat="1" applyFont="1" applyBorder="1" applyAlignment="1">
      <alignment horizontal="center"/>
    </xf>
    <xf numFmtId="167" fontId="25" fillId="0" borderId="5" xfId="0" applyNumberFormat="1" applyFont="1" applyBorder="1" applyAlignment="1">
      <alignment horizontal="center"/>
    </xf>
    <xf numFmtId="167" fontId="24" fillId="0" borderId="3" xfId="0" applyNumberFormat="1" applyFont="1" applyBorder="1" applyAlignment="1">
      <alignment horizontal="center"/>
    </xf>
    <xf numFmtId="167" fontId="24" fillId="0" borderId="4" xfId="0" applyNumberFormat="1" applyFont="1" applyBorder="1" applyAlignment="1">
      <alignment horizontal="center"/>
    </xf>
    <xf numFmtId="167" fontId="24" fillId="0" borderId="5" xfId="0" applyNumberFormat="1" applyFont="1" applyBorder="1" applyAlignment="1">
      <alignment horizontal="center"/>
    </xf>
    <xf numFmtId="167" fontId="28" fillId="6" borderId="2" xfId="4" applyNumberFormat="1" applyFont="1" applyFill="1" applyBorder="1" applyAlignment="1">
      <alignment horizontal="center" vertical="center" wrapText="1"/>
    </xf>
    <xf numFmtId="167" fontId="28" fillId="0" borderId="2" xfId="1" applyNumberFormat="1" applyFont="1" applyFill="1" applyBorder="1" applyAlignment="1">
      <alignment horizontal="center" vertical="center"/>
    </xf>
    <xf numFmtId="0" fontId="8" fillId="6" borderId="2" xfId="4" applyNumberFormat="1" applyFont="1" applyFill="1" applyBorder="1" applyAlignment="1">
      <alignment horizontal="right" vertical="center" wrapText="1"/>
    </xf>
    <xf numFmtId="0" fontId="14" fillId="6" borderId="2" xfId="10" applyFont="1" applyFill="1" applyBorder="1" applyAlignment="1">
      <alignment horizontal="right" vertical="center" wrapText="1"/>
    </xf>
    <xf numFmtId="0" fontId="8" fillId="0" borderId="2" xfId="4" applyNumberFormat="1" applyFont="1" applyFill="1" applyBorder="1" applyAlignment="1" applyProtection="1">
      <alignment horizontal="right" vertical="center"/>
    </xf>
    <xf numFmtId="49" fontId="8" fillId="0" borderId="2" xfId="1" applyNumberFormat="1" applyFont="1" applyFill="1" applyBorder="1" applyAlignment="1" applyProtection="1">
      <alignment horizontal="center" vertical="top" wrapText="1"/>
    </xf>
    <xf numFmtId="0" fontId="35" fillId="0" borderId="2" xfId="1" applyNumberFormat="1" applyFont="1" applyFill="1" applyBorder="1" applyAlignment="1" applyProtection="1">
      <alignment horizontal="left" vertical="top" wrapText="1"/>
    </xf>
    <xf numFmtId="167" fontId="29" fillId="0" borderId="2" xfId="1" applyNumberFormat="1" applyFont="1" applyFill="1" applyBorder="1" applyAlignment="1">
      <alignment horizontal="center" vertical="center" wrapText="1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2" fontId="9" fillId="0" borderId="2" xfId="1" applyNumberFormat="1" applyFont="1" applyFill="1" applyBorder="1" applyAlignment="1" applyProtection="1">
      <alignment horizontal="center" vertical="center" wrapText="1"/>
    </xf>
    <xf numFmtId="49" fontId="28" fillId="6" borderId="2" xfId="7" applyNumberFormat="1" applyFont="1" applyFill="1" applyBorder="1" applyAlignment="1" applyProtection="1">
      <alignment horizontal="center" vertical="top"/>
    </xf>
    <xf numFmtId="0" fontId="28" fillId="6" borderId="2" xfId="7" applyNumberFormat="1" applyFont="1" applyFill="1" applyBorder="1" applyAlignment="1" applyProtection="1">
      <alignment horizontal="center" vertical="center" wrapText="1"/>
    </xf>
    <xf numFmtId="0" fontId="28" fillId="6" borderId="2" xfId="1" applyFont="1" applyFill="1" applyBorder="1" applyAlignment="1">
      <alignment horizontal="center" vertical="center" wrapText="1"/>
    </xf>
    <xf numFmtId="167" fontId="44" fillId="0" borderId="2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left" vertical="top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167" fontId="28" fillId="6" borderId="2" xfId="5" applyNumberFormat="1" applyFont="1" applyFill="1" applyBorder="1" applyAlignment="1" applyProtection="1">
      <alignment horizontal="center" vertical="center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0" fontId="18" fillId="3" borderId="0" xfId="7" applyNumberFormat="1" applyFont="1" applyFill="1" applyBorder="1" applyAlignment="1" applyProtection="1">
      <alignment horizontal="center" vertical="center"/>
    </xf>
    <xf numFmtId="164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11" applyNumberFormat="1" applyFont="1" applyFill="1" applyBorder="1" applyAlignment="1" applyProtection="1">
      <alignment horizontal="center" vertical="center" wrapText="1"/>
    </xf>
    <xf numFmtId="0" fontId="9" fillId="3" borderId="0" xfId="7" applyNumberFormat="1" applyFont="1" applyFill="1" applyBorder="1" applyAlignment="1" applyProtection="1">
      <alignment horizontal="center" vertical="top" wrapText="1"/>
    </xf>
    <xf numFmtId="0" fontId="20" fillId="3" borderId="0" xfId="7" applyNumberFormat="1" applyFont="1" applyFill="1" applyBorder="1" applyAlignment="1" applyProtection="1">
      <alignment horizontal="center" vertical="top" wrapText="1"/>
    </xf>
    <xf numFmtId="0" fontId="28" fillId="0" borderId="2" xfId="7" applyNumberFormat="1" applyFont="1" applyFill="1" applyBorder="1" applyAlignment="1" applyProtection="1">
      <alignment horizontal="center" vertical="center" wrapText="1"/>
    </xf>
    <xf numFmtId="49" fontId="28" fillId="0" borderId="2" xfId="4" applyNumberFormat="1" applyFont="1" applyFill="1" applyBorder="1" applyAlignment="1" applyProtection="1">
      <alignment horizontal="center" vertical="top"/>
    </xf>
    <xf numFmtId="49" fontId="8" fillId="0" borderId="2" xfId="4" applyNumberFormat="1" applyFont="1" applyFill="1" applyBorder="1" applyAlignment="1" applyProtection="1">
      <alignment horizontal="center" vertical="center"/>
    </xf>
    <xf numFmtId="0" fontId="8" fillId="5" borderId="2" xfId="11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top"/>
    </xf>
    <xf numFmtId="0" fontId="29" fillId="0" borderId="2" xfId="1" applyFont="1" applyFill="1" applyBorder="1" applyAlignment="1">
      <alignment horizontal="left" vertical="top" wrapText="1"/>
    </xf>
    <xf numFmtId="49" fontId="28" fillId="0" borderId="2" xfId="4" applyNumberFormat="1" applyFont="1" applyFill="1" applyBorder="1" applyAlignment="1" applyProtection="1">
      <alignment horizontal="center" vertical="center" wrapText="1"/>
    </xf>
    <xf numFmtId="0" fontId="39" fillId="0" borderId="2" xfId="1" applyNumberFormat="1" applyFont="1" applyFill="1" applyBorder="1" applyAlignment="1" applyProtection="1">
      <alignment horizontal="left" vertical="top" wrapText="1"/>
    </xf>
    <xf numFmtId="0" fontId="29" fillId="0" borderId="2" xfId="7" applyNumberFormat="1" applyFont="1" applyFill="1" applyBorder="1" applyAlignment="1" applyProtection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 shrinkToFit="1"/>
    </xf>
    <xf numFmtId="0" fontId="44" fillId="0" borderId="2" xfId="4" applyNumberFormat="1" applyFont="1" applyFill="1" applyBorder="1" applyAlignment="1" applyProtection="1">
      <alignment vertical="top" wrapText="1"/>
    </xf>
    <xf numFmtId="49" fontId="28" fillId="0" borderId="2" xfId="4" applyNumberFormat="1" applyFont="1" applyFill="1" applyBorder="1" applyAlignment="1" applyProtection="1">
      <alignment horizontal="left" vertical="top" wrapText="1"/>
    </xf>
    <xf numFmtId="0" fontId="28" fillId="0" borderId="2" xfId="4" applyNumberFormat="1" applyFont="1" applyFill="1" applyBorder="1" applyAlignment="1" applyProtection="1">
      <alignment horizontal="left" vertical="top" wrapText="1"/>
    </xf>
    <xf numFmtId="49" fontId="28" fillId="0" borderId="2" xfId="4" applyNumberFormat="1" applyFont="1" applyFill="1" applyBorder="1" applyAlignment="1" applyProtection="1">
      <alignment horizontal="center" vertical="top" wrapText="1"/>
    </xf>
    <xf numFmtId="49" fontId="28" fillId="0" borderId="2" xfId="7" applyNumberFormat="1" applyFont="1" applyFill="1" applyBorder="1" applyAlignment="1" applyProtection="1">
      <alignment horizontal="center" vertical="top" wrapText="1"/>
    </xf>
    <xf numFmtId="0" fontId="39" fillId="0" borderId="2" xfId="4" applyNumberFormat="1" applyFont="1" applyFill="1" applyBorder="1" applyAlignment="1" applyProtection="1">
      <alignment vertical="top" wrapText="1"/>
    </xf>
    <xf numFmtId="0" fontId="38" fillId="0" borderId="2" xfId="1" applyNumberFormat="1" applyFont="1" applyFill="1" applyBorder="1" applyAlignment="1" applyProtection="1">
      <alignment horizontal="left" vertical="top" wrapText="1"/>
    </xf>
    <xf numFmtId="0" fontId="28" fillId="0" borderId="2" xfId="1" applyFont="1" applyFill="1" applyBorder="1" applyAlignment="1">
      <alignment horizontal="center" vertical="center" wrapText="1"/>
    </xf>
    <xf numFmtId="0" fontId="8" fillId="7" borderId="2" xfId="3" applyNumberFormat="1" applyFont="1" applyFill="1" applyBorder="1" applyAlignment="1" applyProtection="1">
      <alignment horizontal="center" vertical="center" wrapText="1"/>
    </xf>
    <xf numFmtId="49" fontId="8" fillId="0" borderId="2" xfId="3" applyNumberFormat="1" applyFont="1" applyFill="1" applyBorder="1" applyAlignment="1" applyProtection="1">
      <alignment horizontal="center" vertical="top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0" fontId="9" fillId="0" borderId="2" xfId="1" applyNumberFormat="1" applyFont="1" applyFill="1" applyBorder="1" applyAlignment="1" applyProtection="1">
      <alignment horizontal="left" vertical="top" wrapText="1"/>
    </xf>
    <xf numFmtId="49" fontId="8" fillId="0" borderId="7" xfId="1" applyNumberFormat="1" applyFont="1" applyFill="1" applyBorder="1" applyAlignment="1" applyProtection="1">
      <alignment horizontal="center" vertical="top" wrapText="1"/>
    </xf>
    <xf numFmtId="49" fontId="8" fillId="0" borderId="8" xfId="1" applyNumberFormat="1" applyFont="1" applyFill="1" applyBorder="1" applyAlignment="1" applyProtection="1">
      <alignment horizontal="center" vertical="top" wrapText="1"/>
    </xf>
    <xf numFmtId="49" fontId="8" fillId="0" borderId="6" xfId="1" applyNumberFormat="1" applyFont="1" applyFill="1" applyBorder="1" applyAlignment="1" applyProtection="1">
      <alignment horizontal="center" vertical="top" wrapText="1"/>
    </xf>
    <xf numFmtId="49" fontId="8" fillId="7" borderId="2" xfId="5" applyNumberFormat="1" applyFont="1" applyFill="1" applyBorder="1" applyAlignment="1" applyProtection="1">
      <alignment horizontal="center" vertical="top"/>
    </xf>
    <xf numFmtId="49" fontId="8" fillId="6" borderId="2" xfId="5" applyNumberFormat="1" applyFont="1" applyFill="1" applyBorder="1" applyAlignment="1" applyProtection="1">
      <alignment horizontal="center" vertical="top"/>
    </xf>
    <xf numFmtId="0" fontId="28" fillId="0" borderId="2" xfId="3" applyNumberFormat="1" applyFont="1" applyFill="1" applyBorder="1" applyAlignment="1" applyProtection="1">
      <alignment horizontal="left" vertical="top" wrapText="1"/>
    </xf>
    <xf numFmtId="0" fontId="8" fillId="0" borderId="2" xfId="4" applyNumberFormat="1" applyFont="1" applyFill="1" applyBorder="1" applyAlignment="1" applyProtection="1">
      <alignment horizontal="left" vertical="top" wrapText="1"/>
    </xf>
    <xf numFmtId="0" fontId="36" fillId="0" borderId="2" xfId="1" applyNumberFormat="1" applyFont="1" applyFill="1" applyBorder="1" applyAlignment="1" applyProtection="1">
      <alignment horizontal="left" vertical="top" wrapText="1"/>
    </xf>
    <xf numFmtId="2" fontId="9" fillId="7" borderId="2" xfId="1" applyNumberFormat="1" applyFont="1" applyFill="1" applyBorder="1" applyAlignment="1" applyProtection="1">
      <alignment horizontal="center" vertical="center" wrapText="1"/>
    </xf>
    <xf numFmtId="49" fontId="28" fillId="0" borderId="7" xfId="7" applyNumberFormat="1" applyFont="1" applyFill="1" applyBorder="1" applyAlignment="1" applyProtection="1">
      <alignment horizontal="center" vertical="top" wrapText="1"/>
    </xf>
    <xf numFmtId="49" fontId="28" fillId="0" borderId="8" xfId="7" applyNumberFormat="1" applyFont="1" applyFill="1" applyBorder="1" applyAlignment="1" applyProtection="1">
      <alignment horizontal="center" vertical="top" wrapText="1"/>
    </xf>
    <xf numFmtId="49" fontId="28" fillId="0" borderId="6" xfId="7" applyNumberFormat="1" applyFont="1" applyFill="1" applyBorder="1" applyAlignment="1" applyProtection="1">
      <alignment horizontal="center" vertical="top" wrapText="1"/>
    </xf>
    <xf numFmtId="49" fontId="8" fillId="0" borderId="7" xfId="3" applyNumberFormat="1" applyFont="1" applyFill="1" applyBorder="1" applyAlignment="1" applyProtection="1">
      <alignment horizontal="center" vertical="top" wrapText="1"/>
    </xf>
    <xf numFmtId="49" fontId="8" fillId="0" borderId="8" xfId="3" applyNumberFormat="1" applyFont="1" applyFill="1" applyBorder="1" applyAlignment="1" applyProtection="1">
      <alignment horizontal="center" vertical="top" wrapText="1"/>
    </xf>
    <xf numFmtId="49" fontId="8" fillId="0" borderId="6" xfId="3" applyNumberFormat="1" applyFont="1" applyFill="1" applyBorder="1" applyAlignment="1" applyProtection="1">
      <alignment horizontal="center" vertical="top" wrapText="1"/>
    </xf>
    <xf numFmtId="0" fontId="8" fillId="7" borderId="2" xfId="3" applyNumberFormat="1" applyFont="1" applyFill="1" applyBorder="1" applyAlignment="1" applyProtection="1">
      <alignment horizontal="left" vertical="top" wrapText="1"/>
    </xf>
    <xf numFmtId="0" fontId="9" fillId="7" borderId="2" xfId="1" applyNumberFormat="1" applyFont="1" applyFill="1" applyBorder="1" applyAlignment="1" applyProtection="1">
      <alignment horizontal="left" vertical="top" wrapText="1"/>
    </xf>
    <xf numFmtId="49" fontId="8" fillId="7" borderId="2" xfId="3" applyNumberFormat="1" applyFont="1" applyFill="1" applyBorder="1" applyAlignment="1" applyProtection="1">
      <alignment horizontal="center" vertical="top" wrapText="1"/>
    </xf>
    <xf numFmtId="49" fontId="8" fillId="6" borderId="2" xfId="7" applyNumberFormat="1" applyFont="1" applyFill="1" applyBorder="1" applyAlignment="1" applyProtection="1">
      <alignment horizontal="center" vertical="top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49" fontId="8" fillId="0" borderId="7" xfId="4" applyNumberFormat="1" applyFont="1" applyFill="1" applyBorder="1" applyAlignment="1" applyProtection="1">
      <alignment horizontal="center" vertical="top"/>
    </xf>
    <xf numFmtId="49" fontId="8" fillId="0" borderId="8" xfId="4" applyNumberFormat="1" applyFont="1" applyFill="1" applyBorder="1" applyAlignment="1" applyProtection="1">
      <alignment horizontal="center" vertical="top"/>
    </xf>
    <xf numFmtId="49" fontId="8" fillId="0" borderId="6" xfId="4" applyNumberFormat="1" applyFont="1" applyFill="1" applyBorder="1" applyAlignment="1" applyProtection="1">
      <alignment horizontal="center" vertical="top"/>
    </xf>
    <xf numFmtId="49" fontId="8" fillId="0" borderId="2" xfId="4" applyNumberFormat="1" applyFont="1" applyFill="1" applyBorder="1" applyAlignment="1" applyProtection="1">
      <alignment horizontal="left" vertical="top" wrapText="1"/>
    </xf>
    <xf numFmtId="0" fontId="25" fillId="0" borderId="3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24" fillId="0" borderId="3" xfId="0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0" fontId="9" fillId="0" borderId="2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right" vertical="center"/>
    </xf>
    <xf numFmtId="0" fontId="24" fillId="0" borderId="5" xfId="0" applyFont="1" applyBorder="1" applyAlignment="1">
      <alignment horizontal="right"/>
    </xf>
    <xf numFmtId="2" fontId="36" fillId="7" borderId="2" xfId="1" applyNumberFormat="1" applyFont="1" applyFill="1" applyBorder="1" applyAlignment="1" applyProtection="1">
      <alignment horizontal="center" vertical="center" wrapText="1"/>
    </xf>
    <xf numFmtId="167" fontId="9" fillId="7" borderId="2" xfId="1" applyNumberFormat="1" applyFont="1" applyFill="1" applyBorder="1" applyAlignment="1">
      <alignment horizontal="center" vertical="center"/>
    </xf>
    <xf numFmtId="49" fontId="29" fillId="7" borderId="2" xfId="1" applyNumberFormat="1" applyFont="1" applyFill="1" applyBorder="1" applyAlignment="1" applyProtection="1">
      <alignment horizontal="center" vertical="center" wrapText="1"/>
    </xf>
    <xf numFmtId="167" fontId="29" fillId="7" borderId="2" xfId="1" applyNumberFormat="1" applyFont="1" applyFill="1" applyBorder="1" applyAlignment="1" applyProtection="1">
      <alignment horizontal="center" vertical="center" wrapText="1"/>
    </xf>
    <xf numFmtId="167" fontId="29" fillId="0" borderId="2" xfId="4" applyNumberFormat="1" applyFont="1" applyFill="1" applyBorder="1" applyAlignment="1" applyProtection="1">
      <alignment horizontal="center" vertical="center"/>
    </xf>
    <xf numFmtId="49" fontId="28" fillId="0" borderId="2" xfId="7" applyNumberFormat="1" applyFont="1" applyFill="1" applyBorder="1" applyAlignment="1" applyProtection="1">
      <alignment horizontal="center" vertical="top"/>
    </xf>
    <xf numFmtId="0" fontId="45" fillId="0" borderId="2" xfId="1" applyNumberFormat="1" applyFont="1" applyFill="1" applyBorder="1" applyAlignment="1" applyProtection="1">
      <alignment horizontal="left" vertical="top" wrapText="1"/>
    </xf>
    <xf numFmtId="49" fontId="28" fillId="0" borderId="7" xfId="4" applyNumberFormat="1" applyFont="1" applyFill="1" applyBorder="1" applyAlignment="1" applyProtection="1">
      <alignment horizontal="center" vertical="top"/>
    </xf>
    <xf numFmtId="49" fontId="28" fillId="0" borderId="8" xfId="4" applyNumberFormat="1" applyFont="1" applyFill="1" applyBorder="1" applyAlignment="1" applyProtection="1">
      <alignment horizontal="center" vertical="top"/>
    </xf>
    <xf numFmtId="49" fontId="28" fillId="0" borderId="6" xfId="4" applyNumberFormat="1" applyFont="1" applyFill="1" applyBorder="1" applyAlignment="1" applyProtection="1">
      <alignment horizontal="center" vertical="top"/>
    </xf>
    <xf numFmtId="167" fontId="28" fillId="7" borderId="2" xfId="3" applyNumberFormat="1" applyFont="1" applyFill="1" applyBorder="1" applyAlignment="1" applyProtection="1">
      <alignment horizontal="center" vertical="center" wrapText="1"/>
    </xf>
    <xf numFmtId="0" fontId="8" fillId="0" borderId="2" xfId="4" applyNumberFormat="1" applyFont="1" applyFill="1" applyBorder="1" applyAlignment="1" applyProtection="1">
      <alignment horizontal="center" vertical="center" wrapText="1"/>
    </xf>
    <xf numFmtId="0" fontId="28" fillId="0" borderId="2" xfId="4" applyNumberFormat="1" applyFont="1" applyFill="1" applyBorder="1" applyAlignment="1" applyProtection="1">
      <alignment vertical="top" wrapText="1"/>
    </xf>
    <xf numFmtId="0" fontId="28" fillId="0" borderId="2" xfId="7" applyNumberFormat="1" applyFont="1" applyFill="1" applyBorder="1" applyAlignment="1" applyProtection="1">
      <alignment horizontal="left" vertical="top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0" fontId="8" fillId="6" borderId="2" xfId="4" applyNumberFormat="1" applyFont="1" applyFill="1" applyBorder="1" applyAlignment="1" applyProtection="1">
      <alignment horizontal="right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11" fillId="0" borderId="3" xfId="0" applyNumberFormat="1" applyFont="1" applyBorder="1" applyAlignment="1">
      <alignment horizontal="center"/>
    </xf>
    <xf numFmtId="167" fontId="11" fillId="0" borderId="4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167" fontId="9" fillId="0" borderId="2" xfId="1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49" fontId="8" fillId="0" borderId="2" xfId="7" applyNumberFormat="1" applyFont="1" applyFill="1" applyBorder="1" applyAlignment="1" applyProtection="1">
      <alignment horizontal="center" vertical="top"/>
    </xf>
    <xf numFmtId="49" fontId="8" fillId="0" borderId="2" xfId="7" applyNumberFormat="1" applyFont="1" applyFill="1" applyBorder="1" applyAlignment="1" applyProtection="1">
      <alignment horizontal="center" vertical="top" wrapText="1"/>
    </xf>
    <xf numFmtId="0" fontId="42" fillId="0" borderId="2" xfId="1" applyNumberFormat="1" applyFont="1" applyFill="1" applyBorder="1" applyAlignment="1" applyProtection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49" fontId="8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/>
    </xf>
    <xf numFmtId="49" fontId="15" fillId="0" borderId="2" xfId="2" applyNumberFormat="1" applyFont="1" applyFill="1" applyBorder="1" applyAlignment="1" applyProtection="1">
      <alignment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8" fillId="5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8" fillId="6" borderId="2" xfId="1" applyNumberFormat="1" applyFont="1" applyFill="1" applyBorder="1" applyAlignment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0" fontId="9" fillId="6" borderId="2" xfId="1" applyFont="1" applyFill="1" applyBorder="1" applyAlignment="1">
      <alignment horizontal="center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 shrinkToFit="1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6" borderId="2" xfId="5" applyNumberFormat="1" applyFont="1" applyFill="1" applyBorder="1" applyAlignment="1" applyProtection="1">
      <alignment horizontal="right" vertical="center" wrapText="1"/>
    </xf>
    <xf numFmtId="0" fontId="8" fillId="0" borderId="2" xfId="5" applyNumberFormat="1" applyFont="1" applyFill="1" applyBorder="1" applyAlignment="1" applyProtection="1">
      <alignment horizontal="right" vertical="center" wrapText="1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13" fillId="6" borderId="2" xfId="5" applyNumberFormat="1" applyFont="1" applyFill="1" applyBorder="1" applyAlignment="1" applyProtection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0" fontId="8" fillId="5" borderId="2" xfId="1" applyNumberFormat="1" applyFont="1" applyFill="1" applyBorder="1" applyAlignment="1" applyProtection="1">
      <alignment horizontal="center" vertical="center" wrapText="1"/>
    </xf>
    <xf numFmtId="0" fontId="13" fillId="6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49" fontId="13" fillId="0" borderId="2" xfId="3" applyNumberFormat="1" applyFont="1" applyFill="1" applyBorder="1" applyAlignment="1" applyProtection="1">
      <alignment horizontal="center" vertical="top" wrapText="1"/>
    </xf>
    <xf numFmtId="0" fontId="8" fillId="0" borderId="2" xfId="3" applyNumberFormat="1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167" fontId="8" fillId="6" borderId="2" xfId="4" applyNumberFormat="1" applyFont="1" applyFill="1" applyBorder="1" applyAlignment="1">
      <alignment horizontal="center" vertical="center" wrapText="1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29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16" fillId="0" borderId="0" xfId="5" applyNumberFormat="1" applyFont="1" applyFill="1" applyBorder="1" applyAlignment="1" applyProtection="1">
      <alignment horizontal="center" vertical="top"/>
    </xf>
    <xf numFmtId="167" fontId="10" fillId="0" borderId="0" xfId="0" applyNumberFormat="1" applyFont="1" applyAlignment="1">
      <alignment horizontal="center"/>
    </xf>
    <xf numFmtId="167" fontId="12" fillId="5" borderId="3" xfId="0" applyNumberFormat="1" applyFont="1" applyFill="1" applyBorder="1" applyAlignment="1">
      <alignment horizontal="center"/>
    </xf>
    <xf numFmtId="167" fontId="12" fillId="5" borderId="4" xfId="0" applyNumberFormat="1" applyFont="1" applyFill="1" applyBorder="1" applyAlignment="1">
      <alignment horizontal="center"/>
    </xf>
    <xf numFmtId="167" fontId="12" fillId="5" borderId="5" xfId="0" applyNumberFormat="1" applyFont="1" applyFill="1" applyBorder="1" applyAlignment="1">
      <alignment horizontal="center"/>
    </xf>
  </cellXfs>
  <cellStyles count="12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9"/>
    <cellStyle name="Обычный_Лист1" xfId="1"/>
    <cellStyle name="Обычный_Лист1_1" xfId="7"/>
    <cellStyle name="Обычный_Лист1_Лист2" xfId="11"/>
    <cellStyle name="Обычный_Лист2" xfId="10"/>
    <cellStyle name="Процентный 2" xfId="8"/>
  </cellStyles>
  <dxfs count="0"/>
  <tableStyles count="0" defaultTableStyle="TableStyleMedium2" defaultPivotStyle="PivotStyleLight16"/>
  <colors>
    <mruColors>
      <color rgb="FFFFFFCC"/>
      <color rgb="FF00FF00"/>
      <color rgb="FFCCFFCC"/>
      <color rgb="FFCCFFFF"/>
      <color rgb="FFCCECFF"/>
      <color rgb="FF99CCFF"/>
      <color rgb="FF00FFFF"/>
      <color rgb="FF99FF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0.4/192.168.10.10/&#1086;&#1073;&#1097;&#1072;&#1103;/2018%20&#1075;&#1086;&#1076;/4%20&#1074;&#1072;&#1088;&#1080;&#1072;&#1085;&#1090;%20&#1086;&#1090;%2024.07.2018%20&#8470;3423/&#1082;&#1087;%20&#1048;&#1057;&#1055;&#1054;&#1051;&#1053;&#1045;&#1053;&#1048;&#1045;.%20tmp%20&#1085;&#1072;%2024.07.2018%20(&#1052;&#1086;&#1088;&#1086;&#1079;&#1086;&#1074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U427"/>
  <sheetViews>
    <sheetView tabSelected="1" view="pageBreakPreview" topLeftCell="A127" zoomScale="68" zoomScaleNormal="80" zoomScaleSheetLayoutView="68" workbookViewId="0">
      <selection activeCell="F297" sqref="F297"/>
    </sheetView>
  </sheetViews>
  <sheetFormatPr defaultColWidth="9.140625" defaultRowHeight="18" x14ac:dyDescent="0.3"/>
  <cols>
    <col min="1" max="1" width="9.140625" style="79"/>
    <col min="2" max="2" width="75.42578125" style="79" customWidth="1"/>
    <col min="3" max="3" width="16" style="79" customWidth="1"/>
    <col min="4" max="4" width="30.85546875" style="229" customWidth="1"/>
    <col min="5" max="5" width="20.42578125" style="79" hidden="1" customWidth="1"/>
    <col min="6" max="6" width="22.140625" style="163" customWidth="1"/>
    <col min="7" max="8" width="22.7109375" style="84" customWidth="1"/>
    <col min="9" max="13" width="8" style="79" customWidth="1"/>
    <col min="14" max="14" width="22.42578125" style="79" customWidth="1"/>
    <col min="15" max="15" width="23.28515625" style="79" customWidth="1"/>
    <col min="16" max="16" width="22.140625" style="79" customWidth="1"/>
    <col min="17" max="17" width="24.28515625" style="1" customWidth="1"/>
    <col min="18" max="18" width="17.7109375" style="1" customWidth="1"/>
    <col min="19" max="19" width="13" style="1" customWidth="1"/>
    <col min="20" max="20" width="14.7109375" style="1" customWidth="1"/>
    <col min="21" max="16384" width="9.140625" style="1"/>
  </cols>
  <sheetData>
    <row r="1" spans="1:21" ht="18.75" x14ac:dyDescent="0.25">
      <c r="A1" s="2"/>
      <c r="B1" s="62"/>
      <c r="C1" s="62"/>
      <c r="D1" s="215"/>
      <c r="E1" s="62"/>
      <c r="F1" s="62"/>
      <c r="G1" s="62"/>
      <c r="H1" s="62"/>
      <c r="I1" s="164"/>
      <c r="J1" s="164"/>
      <c r="K1" s="164"/>
      <c r="L1" s="164"/>
      <c r="M1" s="164"/>
      <c r="N1" s="62"/>
      <c r="O1" s="49"/>
      <c r="P1" s="69" t="s">
        <v>229</v>
      </c>
    </row>
    <row r="2" spans="1:21" ht="18.75" x14ac:dyDescent="0.25">
      <c r="A2" s="2"/>
      <c r="B2" s="62"/>
      <c r="C2" s="62"/>
      <c r="D2" s="215"/>
      <c r="E2" s="62"/>
      <c r="F2" s="62"/>
      <c r="G2" s="62"/>
      <c r="H2" s="62"/>
      <c r="I2" s="164"/>
      <c r="J2" s="164"/>
      <c r="K2" s="164"/>
      <c r="L2" s="164"/>
      <c r="M2" s="164"/>
      <c r="N2" s="62"/>
      <c r="O2" s="49"/>
      <c r="P2" s="69" t="s">
        <v>66</v>
      </c>
    </row>
    <row r="3" spans="1:21" ht="18.75" x14ac:dyDescent="0.25">
      <c r="A3" s="2"/>
      <c r="B3" s="40"/>
      <c r="C3" s="62"/>
      <c r="D3" s="215"/>
      <c r="E3" s="62"/>
      <c r="F3" s="62"/>
      <c r="G3" s="62"/>
      <c r="H3" s="62"/>
      <c r="I3" s="164"/>
      <c r="J3" s="164"/>
      <c r="K3" s="164"/>
      <c r="L3" s="164"/>
      <c r="M3" s="164"/>
      <c r="N3" s="62"/>
      <c r="O3" s="49"/>
      <c r="P3" s="69" t="s">
        <v>67</v>
      </c>
    </row>
    <row r="4" spans="1:21" ht="18.75" x14ac:dyDescent="0.25">
      <c r="A4" s="2"/>
      <c r="B4" s="62"/>
      <c r="C4" s="62"/>
      <c r="D4" s="215"/>
      <c r="E4" s="62"/>
      <c r="F4" s="62" t="s">
        <v>205</v>
      </c>
      <c r="G4" s="62"/>
      <c r="H4" s="62"/>
      <c r="I4" s="164"/>
      <c r="J4" s="164"/>
      <c r="K4" s="164"/>
      <c r="L4" s="164"/>
      <c r="M4" s="164"/>
      <c r="N4" s="62"/>
      <c r="O4" s="49"/>
      <c r="P4" s="69" t="s">
        <v>267</v>
      </c>
    </row>
    <row r="5" spans="1:21" ht="17.25" x14ac:dyDescent="0.25">
      <c r="A5" s="2"/>
      <c r="B5" s="62"/>
      <c r="C5" s="62"/>
      <c r="D5" s="215"/>
      <c r="E5" s="62"/>
      <c r="F5" s="62"/>
      <c r="G5" s="62"/>
      <c r="H5" s="62"/>
      <c r="I5" s="164"/>
      <c r="J5" s="164"/>
      <c r="K5" s="164"/>
      <c r="L5" s="164"/>
      <c r="M5" s="164"/>
      <c r="N5" s="62"/>
      <c r="O5" s="49"/>
      <c r="P5" s="49"/>
    </row>
    <row r="6" spans="1:21" ht="18" customHeight="1" x14ac:dyDescent="0.25">
      <c r="A6" s="36"/>
      <c r="B6" s="62"/>
      <c r="C6" s="63"/>
      <c r="D6" s="216"/>
      <c r="E6" s="397"/>
      <c r="F6" s="397"/>
      <c r="G6" s="397"/>
      <c r="H6" s="397"/>
      <c r="I6" s="397"/>
      <c r="J6" s="397"/>
      <c r="K6" s="397"/>
      <c r="L6" s="397"/>
      <c r="M6" s="397"/>
      <c r="N6" s="400" t="s">
        <v>187</v>
      </c>
      <c r="O6" s="400"/>
      <c r="P6" s="400"/>
    </row>
    <row r="7" spans="1:21" ht="18" customHeight="1" x14ac:dyDescent="0.25">
      <c r="A7" s="36"/>
      <c r="B7" s="62"/>
      <c r="C7" s="63"/>
      <c r="D7" s="216"/>
      <c r="E7" s="129"/>
      <c r="F7" s="129"/>
      <c r="G7" s="200"/>
      <c r="H7" s="129"/>
      <c r="I7" s="193"/>
      <c r="J7" s="193"/>
      <c r="K7" s="193"/>
      <c r="L7" s="193"/>
      <c r="M7" s="193"/>
      <c r="N7" s="38"/>
      <c r="O7" s="90"/>
      <c r="P7" s="90"/>
    </row>
    <row r="8" spans="1:21" ht="18" customHeight="1" x14ac:dyDescent="0.25">
      <c r="A8" s="64"/>
      <c r="B8" s="62"/>
      <c r="C8" s="63"/>
      <c r="D8" s="216"/>
      <c r="E8" s="129"/>
      <c r="F8" s="129"/>
      <c r="G8" s="200"/>
      <c r="H8" s="129"/>
      <c r="I8" s="193"/>
      <c r="J8" s="193"/>
      <c r="K8" s="193"/>
      <c r="L8" s="193"/>
      <c r="M8" s="193"/>
      <c r="N8" s="38"/>
      <c r="O8" s="90"/>
      <c r="P8" s="90"/>
    </row>
    <row r="9" spans="1:21" ht="40.5" customHeight="1" x14ac:dyDescent="0.25">
      <c r="A9" s="3"/>
      <c r="B9" s="401" t="s">
        <v>85</v>
      </c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112"/>
    </row>
    <row r="10" spans="1:21" ht="15.75" customHeight="1" x14ac:dyDescent="0.25">
      <c r="A10" s="72"/>
      <c r="B10" s="164"/>
      <c r="C10" s="165"/>
      <c r="D10" s="217"/>
      <c r="E10" s="166"/>
      <c r="F10" s="166"/>
      <c r="G10" s="73"/>
      <c r="H10" s="73"/>
      <c r="I10" s="73"/>
      <c r="J10" s="73"/>
      <c r="K10" s="73"/>
      <c r="L10" s="73"/>
      <c r="M10" s="73"/>
      <c r="N10" s="73"/>
      <c r="O10" s="73"/>
      <c r="P10" s="167"/>
    </row>
    <row r="11" spans="1:21" ht="15" customHeight="1" x14ac:dyDescent="0.25">
      <c r="A11" s="399" t="s">
        <v>4</v>
      </c>
      <c r="B11" s="399" t="s">
        <v>138</v>
      </c>
      <c r="C11" s="399" t="s">
        <v>50</v>
      </c>
      <c r="D11" s="399" t="s">
        <v>6</v>
      </c>
      <c r="E11" s="399" t="s">
        <v>44</v>
      </c>
      <c r="F11" s="405" t="s">
        <v>7</v>
      </c>
      <c r="G11" s="201"/>
      <c r="H11" s="466" t="s">
        <v>16</v>
      </c>
      <c r="I11" s="466"/>
      <c r="J11" s="466"/>
      <c r="K11" s="466"/>
      <c r="L11" s="466"/>
      <c r="M11" s="466"/>
      <c r="N11" s="466"/>
      <c r="O11" s="466"/>
      <c r="P11" s="398" t="s">
        <v>249</v>
      </c>
    </row>
    <row r="12" spans="1:21" ht="15" customHeight="1" x14ac:dyDescent="0.25">
      <c r="A12" s="399"/>
      <c r="B12" s="399"/>
      <c r="C12" s="399"/>
      <c r="D12" s="399"/>
      <c r="E12" s="399"/>
      <c r="F12" s="405"/>
      <c r="G12" s="201"/>
      <c r="H12" s="466"/>
      <c r="I12" s="466"/>
      <c r="J12" s="466"/>
      <c r="K12" s="466"/>
      <c r="L12" s="466"/>
      <c r="M12" s="466"/>
      <c r="N12" s="466"/>
      <c r="O12" s="466"/>
      <c r="P12" s="398"/>
    </row>
    <row r="13" spans="1:21" ht="45.75" customHeight="1" x14ac:dyDescent="0.25">
      <c r="A13" s="399"/>
      <c r="B13" s="399"/>
      <c r="C13" s="399"/>
      <c r="D13" s="399"/>
      <c r="E13" s="399"/>
      <c r="F13" s="405"/>
      <c r="G13" s="211" t="s">
        <v>45</v>
      </c>
      <c r="H13" s="126" t="s">
        <v>46</v>
      </c>
      <c r="I13" s="402" t="s">
        <v>82</v>
      </c>
      <c r="J13" s="402"/>
      <c r="K13" s="402"/>
      <c r="L13" s="402"/>
      <c r="M13" s="402"/>
      <c r="N13" s="126" t="s">
        <v>83</v>
      </c>
      <c r="O13" s="126" t="s">
        <v>84</v>
      </c>
      <c r="P13" s="398"/>
    </row>
    <row r="14" spans="1:21" ht="17.25" customHeight="1" x14ac:dyDescent="0.25">
      <c r="A14" s="123" t="s">
        <v>13</v>
      </c>
      <c r="B14" s="123">
        <v>2</v>
      </c>
      <c r="C14" s="123" t="s">
        <v>8</v>
      </c>
      <c r="D14" s="218" t="s">
        <v>37</v>
      </c>
      <c r="E14" s="123" t="s">
        <v>9</v>
      </c>
      <c r="F14" s="155" t="s">
        <v>9</v>
      </c>
      <c r="G14" s="202" t="s">
        <v>35</v>
      </c>
      <c r="H14" s="123" t="s">
        <v>35</v>
      </c>
      <c r="I14" s="403" t="s">
        <v>10</v>
      </c>
      <c r="J14" s="403"/>
      <c r="K14" s="403"/>
      <c r="L14" s="403"/>
      <c r="M14" s="403"/>
      <c r="N14" s="123" t="s">
        <v>11</v>
      </c>
      <c r="O14" s="123" t="s">
        <v>12</v>
      </c>
      <c r="P14" s="123" t="s">
        <v>14</v>
      </c>
    </row>
    <row r="15" spans="1:21" s="10" customFormat="1" ht="25.5" customHeight="1" x14ac:dyDescent="0.25">
      <c r="A15" s="404" t="s">
        <v>144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</row>
    <row r="16" spans="1:21" s="9" customFormat="1" ht="18.75" x14ac:dyDescent="0.25">
      <c r="A16" s="406" t="s">
        <v>13</v>
      </c>
      <c r="B16" s="360" t="s">
        <v>75</v>
      </c>
      <c r="C16" s="360" t="s">
        <v>86</v>
      </c>
      <c r="D16" s="219" t="s">
        <v>2</v>
      </c>
      <c r="E16" s="142" t="e">
        <f>SUM(E18:E23)</f>
        <v>#REF!</v>
      </c>
      <c r="F16" s="156">
        <f>F17+F18+F19+F21</f>
        <v>61856233.940789998</v>
      </c>
      <c r="G16" s="205">
        <f>G17+G18+G19+G21</f>
        <v>10467394.842740001</v>
      </c>
      <c r="H16" s="142">
        <f>H17+H18+H19+H21</f>
        <v>11716606.47274</v>
      </c>
      <c r="I16" s="334">
        <f>I17+I18+I19+I21</f>
        <v>13213543.382789999</v>
      </c>
      <c r="J16" s="334"/>
      <c r="K16" s="334"/>
      <c r="L16" s="334"/>
      <c r="M16" s="334"/>
      <c r="N16" s="142">
        <f t="shared" ref="N16:O16" si="0">N17+N18+N19+N21</f>
        <v>13233937.78568</v>
      </c>
      <c r="O16" s="142">
        <f t="shared" si="0"/>
        <v>13233937.78568</v>
      </c>
      <c r="P16" s="333"/>
      <c r="T16" s="45"/>
      <c r="U16" s="45"/>
    </row>
    <row r="17" spans="1:21" s="9" customFormat="1" ht="39" customHeight="1" x14ac:dyDescent="0.25">
      <c r="A17" s="406"/>
      <c r="B17" s="360"/>
      <c r="C17" s="360"/>
      <c r="D17" s="219" t="s">
        <v>40</v>
      </c>
      <c r="E17" s="143" t="e">
        <f>#REF!</f>
        <v>#REF!</v>
      </c>
      <c r="F17" s="156">
        <f>F24+F31+F45+F52+F59+F96+F106+F113+F80+F89+F66+F120+F127+F134+F141</f>
        <v>393751</v>
      </c>
      <c r="G17" s="236">
        <f>G24+G31+G45+G52+G59+G96+G106+G113+G80+G89+G66+G120+G127+G134+G141</f>
        <v>155511</v>
      </c>
      <c r="H17" s="298">
        <f>H24+H31+H45+H52+H59+H96+H106+H113+H80+H89+H66+H120+H127+H134+H141+H73</f>
        <v>239255.56</v>
      </c>
      <c r="I17" s="363">
        <f>I24+I31+I45+I52+I59+I96+I106+I113+I80+I89++I66+I120+I127+I134+I141</f>
        <v>0</v>
      </c>
      <c r="J17" s="364"/>
      <c r="K17" s="364"/>
      <c r="L17" s="364"/>
      <c r="M17" s="365"/>
      <c r="N17" s="191">
        <f t="shared" ref="N17:O17" si="1">N24+N31+N45+N52+N59+N96+N106+N113+N80+N89+N66+N120+N127+N134+N141</f>
        <v>0</v>
      </c>
      <c r="O17" s="191">
        <f t="shared" si="1"/>
        <v>0</v>
      </c>
      <c r="P17" s="333"/>
      <c r="T17" s="45"/>
      <c r="U17" s="45"/>
    </row>
    <row r="18" spans="1:21" s="9" customFormat="1" ht="39.75" customHeight="1" x14ac:dyDescent="0.25">
      <c r="A18" s="406"/>
      <c r="B18" s="360"/>
      <c r="C18" s="360"/>
      <c r="D18" s="219" t="s">
        <v>1</v>
      </c>
      <c r="E18" s="143" t="e">
        <f>E45+E53+#REF!+#REF!</f>
        <v>#REF!</v>
      </c>
      <c r="F18" s="156">
        <f t="shared" ref="F18" si="2">F25+F32+F46+F53+F60+F97+F107+F114+F81+F90+F67+F121+F128+F135+F142</f>
        <v>38769557.098870002</v>
      </c>
      <c r="G18" s="298">
        <f t="shared" ref="G18:H18" si="3">G25+G32+G46+G53+G60+G97+G107+G114+G81+G90+G67+G121+G128+G135+G142</f>
        <v>6836602.4489599997</v>
      </c>
      <c r="H18" s="298">
        <f t="shared" si="3"/>
        <v>7390098.6499100002</v>
      </c>
      <c r="I18" s="363">
        <f>I25+I32+I46+I53+I60+I97+I107+I114+I81+I90++I67+I121+I128+I135+I142</f>
        <v>8191046</v>
      </c>
      <c r="J18" s="364"/>
      <c r="K18" s="364"/>
      <c r="L18" s="364"/>
      <c r="M18" s="365"/>
      <c r="N18" s="191">
        <f t="shared" ref="N18:O18" si="4">N25+N32+N46+N53+N60+N97+N107+N114+N81+N90+N67+N121+N128+N135+N142</f>
        <v>8175905</v>
      </c>
      <c r="O18" s="191">
        <f t="shared" si="4"/>
        <v>8175905</v>
      </c>
      <c r="P18" s="333"/>
      <c r="T18" s="45"/>
      <c r="U18" s="45"/>
    </row>
    <row r="19" spans="1:21" s="9" customFormat="1" ht="58.5" customHeight="1" x14ac:dyDescent="0.25">
      <c r="A19" s="406"/>
      <c r="B19" s="360"/>
      <c r="C19" s="360"/>
      <c r="D19" s="219" t="s">
        <v>48</v>
      </c>
      <c r="E19" s="143" t="e">
        <f>E98+E108+E115+#REF!+#REF!+#REF!+#REF!+#REF!</f>
        <v>#REF!</v>
      </c>
      <c r="F19" s="156">
        <f t="shared" ref="F19" si="5">F26+F33+F47+F54+F61+F98+F108+F115+F82+F91+F68+F122+F129+F136+F143</f>
        <v>19668879.975299999</v>
      </c>
      <c r="G19" s="298">
        <f>G26+G33+G47+G54+G61+G98+G108+G115+G82+G91+G68+G122+G129+G136+G143+G40</f>
        <v>2982149.6351000001</v>
      </c>
      <c r="H19" s="298">
        <f t="shared" ref="H19:H20" si="6">H26+H33+H47+H54+H61+H98+H108+H115+H82+H91+H68+H122+H129+H136+H143</f>
        <v>3437604.9343299996</v>
      </c>
      <c r="I19" s="363">
        <f>I26+I33+I47+I54+I61+I98+I108+I115+I82+I91++I68+I122+I129+I136+I143</f>
        <v>4395408.4563100003</v>
      </c>
      <c r="J19" s="364"/>
      <c r="K19" s="364"/>
      <c r="L19" s="364"/>
      <c r="M19" s="365"/>
      <c r="N19" s="191">
        <f t="shared" ref="N19:O19" si="7">N26+N33+N47+N54+N61+N98+N108+N115+N82+N91+N68+N122+N129+N136+N143</f>
        <v>4430943.8592000008</v>
      </c>
      <c r="O19" s="191">
        <f t="shared" si="7"/>
        <v>4430943.8592000008</v>
      </c>
      <c r="P19" s="333"/>
      <c r="T19" s="45"/>
      <c r="U19" s="45"/>
    </row>
    <row r="20" spans="1:21" s="9" customFormat="1" ht="77.25" customHeight="1" x14ac:dyDescent="0.25">
      <c r="A20" s="406"/>
      <c r="B20" s="360"/>
      <c r="C20" s="360"/>
      <c r="D20" s="219" t="s">
        <v>59</v>
      </c>
      <c r="E20" s="143">
        <f>E99</f>
        <v>0</v>
      </c>
      <c r="F20" s="156">
        <f t="shared" ref="F20:F27" si="8">SUM(G20:O20)</f>
        <v>2798298</v>
      </c>
      <c r="G20" s="204">
        <f>G99+G83</f>
        <v>413035</v>
      </c>
      <c r="H20" s="298">
        <f t="shared" si="6"/>
        <v>493052</v>
      </c>
      <c r="I20" s="363">
        <f>I99+I83</f>
        <v>630737</v>
      </c>
      <c r="J20" s="364"/>
      <c r="K20" s="364"/>
      <c r="L20" s="364"/>
      <c r="M20" s="365"/>
      <c r="N20" s="143">
        <f t="shared" ref="N20:O20" si="9">N27+N34+N48+N55+N62+N99+N109+N116+N83+N92+N69+N123+N130+N137+N144</f>
        <v>630737</v>
      </c>
      <c r="O20" s="143">
        <f t="shared" si="9"/>
        <v>630737</v>
      </c>
      <c r="P20" s="333"/>
      <c r="T20" s="45"/>
      <c r="U20" s="45"/>
    </row>
    <row r="21" spans="1:21" s="9" customFormat="1" ht="30.95" customHeight="1" x14ac:dyDescent="0.25">
      <c r="A21" s="406"/>
      <c r="B21" s="360"/>
      <c r="C21" s="360"/>
      <c r="D21" s="219" t="s">
        <v>87</v>
      </c>
      <c r="E21" s="143"/>
      <c r="F21" s="156">
        <f>F27+F34+F48+F55+F62+F100+F109+F116+F84+F92</f>
        <v>3024045.86662</v>
      </c>
      <c r="G21" s="298">
        <f>G27+G34+G48+G55+G62+G100+G109+G116+G84+G92</f>
        <v>493131.75868000003</v>
      </c>
      <c r="H21" s="143">
        <f>H27+H34+H48+H55+H62+H100+H109+H116+H84+H92</f>
        <v>649647.32850000006</v>
      </c>
      <c r="I21" s="328">
        <f>I27+I34+I48+I55+I62+I100+I109+I116+I84+I92+I123+I130+I137+I144</f>
        <v>627088.92647999991</v>
      </c>
      <c r="J21" s="328"/>
      <c r="K21" s="328"/>
      <c r="L21" s="328"/>
      <c r="M21" s="328"/>
      <c r="N21" s="143">
        <f t="shared" ref="N21:O21" si="10">N27+N34+N48+N55+N62+N100+N109+N116+N84+N92</f>
        <v>627088.92647999991</v>
      </c>
      <c r="O21" s="143">
        <f t="shared" si="10"/>
        <v>627088.92647999991</v>
      </c>
      <c r="P21" s="333"/>
      <c r="T21" s="45"/>
      <c r="U21" s="45"/>
    </row>
    <row r="22" spans="1:21" s="9" customFormat="1" ht="93.75" customHeight="1" x14ac:dyDescent="0.25">
      <c r="A22" s="406"/>
      <c r="B22" s="360"/>
      <c r="C22" s="360"/>
      <c r="D22" s="220" t="s">
        <v>88</v>
      </c>
      <c r="E22" s="145">
        <f>E101</f>
        <v>262352.43170000002</v>
      </c>
      <c r="F22" s="156">
        <f t="shared" si="8"/>
        <v>2902166.7026199996</v>
      </c>
      <c r="G22" s="208">
        <f>G101</f>
        <v>469940.35668000003</v>
      </c>
      <c r="H22" s="145">
        <f>H101</f>
        <v>625121.01850000001</v>
      </c>
      <c r="I22" s="332">
        <f>I101</f>
        <v>602368.44247999997</v>
      </c>
      <c r="J22" s="332"/>
      <c r="K22" s="332"/>
      <c r="L22" s="332"/>
      <c r="M22" s="332"/>
      <c r="N22" s="145">
        <f>N101</f>
        <v>602368.44247999997</v>
      </c>
      <c r="O22" s="145">
        <f>O101</f>
        <v>602368.44247999997</v>
      </c>
      <c r="P22" s="333"/>
      <c r="T22" s="45"/>
      <c r="U22" s="45"/>
    </row>
    <row r="23" spans="1:21" s="9" customFormat="1" ht="69" x14ac:dyDescent="0.25">
      <c r="A23" s="406"/>
      <c r="B23" s="360"/>
      <c r="C23" s="360"/>
      <c r="D23" s="220" t="s">
        <v>89</v>
      </c>
      <c r="E23" s="145">
        <f>E102</f>
        <v>8751.5480000000007</v>
      </c>
      <c r="F23" s="156">
        <f t="shared" si="8"/>
        <v>121879.16399999999</v>
      </c>
      <c r="G23" s="208">
        <f>G102+G85</f>
        <v>23191.402000000002</v>
      </c>
      <c r="H23" s="145">
        <f>H102+H85</f>
        <v>24526.31</v>
      </c>
      <c r="I23" s="332">
        <f>I102+I85</f>
        <v>24720.484</v>
      </c>
      <c r="J23" s="332"/>
      <c r="K23" s="332"/>
      <c r="L23" s="332"/>
      <c r="M23" s="332"/>
      <c r="N23" s="145">
        <f>N102+N85</f>
        <v>24720.484</v>
      </c>
      <c r="O23" s="145">
        <f>O102+O85</f>
        <v>24720.484</v>
      </c>
      <c r="P23" s="333"/>
      <c r="T23" s="45"/>
      <c r="U23" s="45"/>
    </row>
    <row r="24" spans="1:21" s="302" customFormat="1" ht="36.75" customHeight="1" x14ac:dyDescent="0.25">
      <c r="A24" s="354" t="s">
        <v>26</v>
      </c>
      <c r="B24" s="355" t="s">
        <v>126</v>
      </c>
      <c r="C24" s="356" t="s">
        <v>45</v>
      </c>
      <c r="D24" s="301" t="s">
        <v>40</v>
      </c>
      <c r="E24" s="263">
        <v>0</v>
      </c>
      <c r="F24" s="261">
        <f t="shared" si="8"/>
        <v>0</v>
      </c>
      <c r="G24" s="263">
        <v>0</v>
      </c>
      <c r="H24" s="263">
        <v>0</v>
      </c>
      <c r="I24" s="324">
        <v>0</v>
      </c>
      <c r="J24" s="324"/>
      <c r="K24" s="324"/>
      <c r="L24" s="324"/>
      <c r="M24" s="324"/>
      <c r="N24" s="263">
        <v>0</v>
      </c>
      <c r="O24" s="263">
        <v>0</v>
      </c>
      <c r="P24" s="322" t="s">
        <v>206</v>
      </c>
    </row>
    <row r="25" spans="1:21" s="302" customFormat="1" ht="34.5" x14ac:dyDescent="0.25">
      <c r="A25" s="354"/>
      <c r="B25" s="355"/>
      <c r="C25" s="356"/>
      <c r="D25" s="301" t="s">
        <v>1</v>
      </c>
      <c r="E25" s="263"/>
      <c r="F25" s="261">
        <f t="shared" si="8"/>
        <v>0</v>
      </c>
      <c r="G25" s="263">
        <v>0</v>
      </c>
      <c r="H25" s="263">
        <v>0</v>
      </c>
      <c r="I25" s="324">
        <v>0</v>
      </c>
      <c r="J25" s="324"/>
      <c r="K25" s="324"/>
      <c r="L25" s="324"/>
      <c r="M25" s="324"/>
      <c r="N25" s="263">
        <v>0</v>
      </c>
      <c r="O25" s="263">
        <v>0</v>
      </c>
      <c r="P25" s="322"/>
    </row>
    <row r="26" spans="1:21" s="302" customFormat="1" ht="51.75" x14ac:dyDescent="0.25">
      <c r="A26" s="354"/>
      <c r="B26" s="355"/>
      <c r="C26" s="356"/>
      <c r="D26" s="301" t="s">
        <v>48</v>
      </c>
      <c r="E26" s="263">
        <v>0</v>
      </c>
      <c r="F26" s="261">
        <f t="shared" si="8"/>
        <v>201567.54709000001</v>
      </c>
      <c r="G26" s="263">
        <v>201567.54709000001</v>
      </c>
      <c r="H26" s="263">
        <v>0</v>
      </c>
      <c r="I26" s="324">
        <f>4921.09299-4921.09299</f>
        <v>0</v>
      </c>
      <c r="J26" s="324"/>
      <c r="K26" s="324"/>
      <c r="L26" s="324"/>
      <c r="M26" s="324"/>
      <c r="N26" s="263">
        <f>200000-200000</f>
        <v>0</v>
      </c>
      <c r="O26" s="263">
        <f>200000-200000</f>
        <v>0</v>
      </c>
      <c r="P26" s="322"/>
      <c r="Q26" s="303"/>
    </row>
    <row r="27" spans="1:21" s="302" customFormat="1" ht="42.75" customHeight="1" x14ac:dyDescent="0.25">
      <c r="A27" s="354"/>
      <c r="B27" s="355"/>
      <c r="C27" s="356"/>
      <c r="D27" s="301" t="s">
        <v>87</v>
      </c>
      <c r="E27" s="263"/>
      <c r="F27" s="261">
        <f t="shared" si="8"/>
        <v>0</v>
      </c>
      <c r="G27" s="263">
        <v>0</v>
      </c>
      <c r="H27" s="263">
        <v>0</v>
      </c>
      <c r="I27" s="324">
        <v>0</v>
      </c>
      <c r="J27" s="324"/>
      <c r="K27" s="324"/>
      <c r="L27" s="324"/>
      <c r="M27" s="324"/>
      <c r="N27" s="263">
        <v>0</v>
      </c>
      <c r="O27" s="263">
        <v>0</v>
      </c>
      <c r="P27" s="322"/>
      <c r="Q27" s="303"/>
    </row>
    <row r="28" spans="1:21" s="302" customFormat="1" ht="30" customHeight="1" x14ac:dyDescent="0.25">
      <c r="A28" s="354"/>
      <c r="B28" s="317" t="s">
        <v>188</v>
      </c>
      <c r="C28" s="318" t="s">
        <v>116</v>
      </c>
      <c r="D28" s="319" t="s">
        <v>116</v>
      </c>
      <c r="E28" s="264"/>
      <c r="F28" s="362" t="s">
        <v>117</v>
      </c>
      <c r="G28" s="262" t="s">
        <v>247</v>
      </c>
      <c r="H28" s="262" t="s">
        <v>248</v>
      </c>
      <c r="I28" s="321" t="s">
        <v>123</v>
      </c>
      <c r="J28" s="316" t="s">
        <v>118</v>
      </c>
      <c r="K28" s="316"/>
      <c r="L28" s="316"/>
      <c r="M28" s="316"/>
      <c r="N28" s="262" t="s">
        <v>124</v>
      </c>
      <c r="O28" s="262" t="s">
        <v>125</v>
      </c>
      <c r="P28" s="322" t="s">
        <v>116</v>
      </c>
      <c r="Q28" s="303"/>
    </row>
    <row r="29" spans="1:21" s="302" customFormat="1" ht="30" customHeight="1" x14ac:dyDescent="0.25">
      <c r="A29" s="354"/>
      <c r="B29" s="317"/>
      <c r="C29" s="318"/>
      <c r="D29" s="319"/>
      <c r="E29" s="264"/>
      <c r="F29" s="362"/>
      <c r="G29" s="264"/>
      <c r="H29" s="264"/>
      <c r="I29" s="321"/>
      <c r="J29" s="264" t="s">
        <v>119</v>
      </c>
      <c r="K29" s="264" t="s">
        <v>120</v>
      </c>
      <c r="L29" s="264" t="s">
        <v>121</v>
      </c>
      <c r="M29" s="264" t="s">
        <v>122</v>
      </c>
      <c r="N29" s="264"/>
      <c r="O29" s="264"/>
      <c r="P29" s="322"/>
      <c r="Q29" s="303"/>
    </row>
    <row r="30" spans="1:21" s="302" customFormat="1" ht="42.75" customHeight="1" x14ac:dyDescent="0.25">
      <c r="A30" s="354"/>
      <c r="B30" s="317"/>
      <c r="C30" s="318"/>
      <c r="D30" s="319"/>
      <c r="E30" s="264"/>
      <c r="F30" s="189">
        <f>I30+H30+N30+O30+G30</f>
        <v>1</v>
      </c>
      <c r="G30" s="187">
        <v>1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322"/>
      <c r="Q30" s="303"/>
    </row>
    <row r="31" spans="1:21" s="302" customFormat="1" ht="36.75" customHeight="1" x14ac:dyDescent="0.25">
      <c r="A31" s="403" t="s">
        <v>27</v>
      </c>
      <c r="B31" s="413" t="s">
        <v>127</v>
      </c>
      <c r="C31" s="408" t="s">
        <v>86</v>
      </c>
      <c r="D31" s="304" t="s">
        <v>40</v>
      </c>
      <c r="E31" s="261">
        <v>750</v>
      </c>
      <c r="F31" s="261">
        <f t="shared" ref="F31:F34" si="11">SUM(G31:O31)</f>
        <v>0</v>
      </c>
      <c r="G31" s="261">
        <v>0</v>
      </c>
      <c r="H31" s="261">
        <v>0</v>
      </c>
      <c r="I31" s="330">
        <v>0</v>
      </c>
      <c r="J31" s="330"/>
      <c r="K31" s="330"/>
      <c r="L31" s="330"/>
      <c r="M31" s="330"/>
      <c r="N31" s="261">
        <v>0</v>
      </c>
      <c r="O31" s="261">
        <v>0</v>
      </c>
      <c r="P31" s="367" t="s">
        <v>205</v>
      </c>
    </row>
    <row r="32" spans="1:21" s="302" customFormat="1" ht="32.25" customHeight="1" x14ac:dyDescent="0.25">
      <c r="A32" s="403"/>
      <c r="B32" s="413"/>
      <c r="C32" s="408"/>
      <c r="D32" s="304" t="s">
        <v>1</v>
      </c>
      <c r="E32" s="261"/>
      <c r="F32" s="261">
        <f t="shared" si="11"/>
        <v>0</v>
      </c>
      <c r="G32" s="261">
        <v>0</v>
      </c>
      <c r="H32" s="261">
        <v>0</v>
      </c>
      <c r="I32" s="330">
        <v>0</v>
      </c>
      <c r="J32" s="330"/>
      <c r="K32" s="330"/>
      <c r="L32" s="330"/>
      <c r="M32" s="330"/>
      <c r="N32" s="261">
        <v>0</v>
      </c>
      <c r="O32" s="261">
        <v>0</v>
      </c>
      <c r="P32" s="367"/>
    </row>
    <row r="33" spans="1:17" s="302" customFormat="1" ht="51.75" x14ac:dyDescent="0.25">
      <c r="A33" s="403"/>
      <c r="B33" s="413"/>
      <c r="C33" s="408"/>
      <c r="D33" s="304" t="s">
        <v>48</v>
      </c>
      <c r="E33" s="261">
        <v>7541.03</v>
      </c>
      <c r="F33" s="261">
        <f t="shared" si="11"/>
        <v>1541595.23804</v>
      </c>
      <c r="G33" s="261">
        <v>286365.54175999999</v>
      </c>
      <c r="H33" s="261">
        <v>288191.69627999997</v>
      </c>
      <c r="I33" s="330">
        <v>322346</v>
      </c>
      <c r="J33" s="330"/>
      <c r="K33" s="330"/>
      <c r="L33" s="330"/>
      <c r="M33" s="330"/>
      <c r="N33" s="261">
        <v>322346</v>
      </c>
      <c r="O33" s="261">
        <v>322346</v>
      </c>
      <c r="P33" s="367"/>
    </row>
    <row r="34" spans="1:17" s="302" customFormat="1" ht="42" customHeight="1" x14ac:dyDescent="0.25">
      <c r="A34" s="403"/>
      <c r="B34" s="413"/>
      <c r="C34" s="408"/>
      <c r="D34" s="304" t="s">
        <v>87</v>
      </c>
      <c r="E34" s="261"/>
      <c r="F34" s="261">
        <f t="shared" si="11"/>
        <v>0</v>
      </c>
      <c r="G34" s="261">
        <v>0</v>
      </c>
      <c r="H34" s="261">
        <v>0</v>
      </c>
      <c r="I34" s="330">
        <v>0</v>
      </c>
      <c r="J34" s="330"/>
      <c r="K34" s="330"/>
      <c r="L34" s="330"/>
      <c r="M34" s="330"/>
      <c r="N34" s="261">
        <v>0</v>
      </c>
      <c r="O34" s="261">
        <v>0</v>
      </c>
      <c r="P34" s="367"/>
    </row>
    <row r="35" spans="1:17" s="302" customFormat="1" ht="26.25" customHeight="1" x14ac:dyDescent="0.25">
      <c r="A35" s="403"/>
      <c r="B35" s="317" t="s">
        <v>180</v>
      </c>
      <c r="C35" s="318" t="s">
        <v>116</v>
      </c>
      <c r="D35" s="319" t="s">
        <v>116</v>
      </c>
      <c r="E35" s="264"/>
      <c r="F35" s="362" t="s">
        <v>117</v>
      </c>
      <c r="G35" s="262" t="s">
        <v>247</v>
      </c>
      <c r="H35" s="262" t="s">
        <v>248</v>
      </c>
      <c r="I35" s="321" t="s">
        <v>123</v>
      </c>
      <c r="J35" s="316" t="s">
        <v>118</v>
      </c>
      <c r="K35" s="316"/>
      <c r="L35" s="316"/>
      <c r="M35" s="316"/>
      <c r="N35" s="262" t="s">
        <v>124</v>
      </c>
      <c r="O35" s="262" t="s">
        <v>125</v>
      </c>
      <c r="P35" s="322" t="s">
        <v>116</v>
      </c>
      <c r="Q35" s="303"/>
    </row>
    <row r="36" spans="1:17" s="302" customFormat="1" ht="21" customHeight="1" x14ac:dyDescent="0.25">
      <c r="A36" s="403"/>
      <c r="B36" s="317"/>
      <c r="C36" s="318"/>
      <c r="D36" s="319"/>
      <c r="E36" s="264"/>
      <c r="F36" s="362"/>
      <c r="G36" s="264"/>
      <c r="H36" s="264"/>
      <c r="I36" s="321"/>
      <c r="J36" s="264" t="s">
        <v>119</v>
      </c>
      <c r="K36" s="264" t="s">
        <v>120</v>
      </c>
      <c r="L36" s="264" t="s">
        <v>121</v>
      </c>
      <c r="M36" s="264" t="s">
        <v>122</v>
      </c>
      <c r="N36" s="264"/>
      <c r="O36" s="264"/>
      <c r="P36" s="322"/>
      <c r="Q36" s="303"/>
    </row>
    <row r="37" spans="1:17" s="302" customFormat="1" ht="30" customHeight="1" x14ac:dyDescent="0.25">
      <c r="A37" s="403"/>
      <c r="B37" s="317"/>
      <c r="C37" s="318"/>
      <c r="D37" s="319"/>
      <c r="E37" s="264"/>
      <c r="F37" s="189">
        <v>100</v>
      </c>
      <c r="G37" s="187">
        <v>100</v>
      </c>
      <c r="H37" s="187">
        <v>100</v>
      </c>
      <c r="I37" s="187">
        <v>100</v>
      </c>
      <c r="J37" s="187">
        <v>100</v>
      </c>
      <c r="K37" s="187">
        <v>100</v>
      </c>
      <c r="L37" s="187">
        <v>100</v>
      </c>
      <c r="M37" s="187">
        <v>100</v>
      </c>
      <c r="N37" s="187">
        <v>100</v>
      </c>
      <c r="O37" s="187">
        <v>100</v>
      </c>
      <c r="P37" s="322"/>
      <c r="Q37" s="303"/>
    </row>
    <row r="38" spans="1:17" s="302" customFormat="1" ht="36.75" customHeight="1" x14ac:dyDescent="0.25">
      <c r="A38" s="403" t="s">
        <v>28</v>
      </c>
      <c r="B38" s="413" t="s">
        <v>197</v>
      </c>
      <c r="C38" s="408" t="s">
        <v>45</v>
      </c>
      <c r="D38" s="304" t="s">
        <v>40</v>
      </c>
      <c r="E38" s="261">
        <v>750</v>
      </c>
      <c r="F38" s="261">
        <f>SUM(G38:O38)</f>
        <v>0</v>
      </c>
      <c r="G38" s="261">
        <v>0</v>
      </c>
      <c r="H38" s="261">
        <v>0</v>
      </c>
      <c r="I38" s="330">
        <v>0</v>
      </c>
      <c r="J38" s="330"/>
      <c r="K38" s="330"/>
      <c r="L38" s="330"/>
      <c r="M38" s="330"/>
      <c r="N38" s="261">
        <v>0</v>
      </c>
      <c r="O38" s="261">
        <v>0</v>
      </c>
      <c r="P38" s="367" t="s">
        <v>3</v>
      </c>
    </row>
    <row r="39" spans="1:17" s="302" customFormat="1" ht="34.5" x14ac:dyDescent="0.25">
      <c r="A39" s="403"/>
      <c r="B39" s="413"/>
      <c r="C39" s="408"/>
      <c r="D39" s="304" t="s">
        <v>1</v>
      </c>
      <c r="E39" s="261"/>
      <c r="F39" s="261">
        <f>SUM(G39:O39)</f>
        <v>0</v>
      </c>
      <c r="G39" s="261">
        <v>0</v>
      </c>
      <c r="H39" s="261">
        <v>0</v>
      </c>
      <c r="I39" s="330">
        <v>0</v>
      </c>
      <c r="J39" s="330"/>
      <c r="K39" s="330"/>
      <c r="L39" s="330"/>
      <c r="M39" s="330"/>
      <c r="N39" s="261">
        <v>0</v>
      </c>
      <c r="O39" s="261">
        <v>0</v>
      </c>
      <c r="P39" s="367"/>
    </row>
    <row r="40" spans="1:17" s="302" customFormat="1" ht="51.75" x14ac:dyDescent="0.25">
      <c r="A40" s="403"/>
      <c r="B40" s="413"/>
      <c r="C40" s="408"/>
      <c r="D40" s="304" t="s">
        <v>48</v>
      </c>
      <c r="E40" s="261">
        <v>7541.03</v>
      </c>
      <c r="F40" s="261">
        <f>SUM(G40:O40)</f>
        <v>8170.7688399999997</v>
      </c>
      <c r="G40" s="261">
        <v>8170.7688399999997</v>
      </c>
      <c r="H40" s="261">
        <v>0</v>
      </c>
      <c r="I40" s="330">
        <v>0</v>
      </c>
      <c r="J40" s="330"/>
      <c r="K40" s="330"/>
      <c r="L40" s="330"/>
      <c r="M40" s="330"/>
      <c r="N40" s="261">
        <v>0</v>
      </c>
      <c r="O40" s="261">
        <v>0</v>
      </c>
      <c r="P40" s="367"/>
    </row>
    <row r="41" spans="1:17" s="302" customFormat="1" ht="34.5" x14ac:dyDescent="0.25">
      <c r="A41" s="403"/>
      <c r="B41" s="413"/>
      <c r="C41" s="408"/>
      <c r="D41" s="304" t="s">
        <v>87</v>
      </c>
      <c r="E41" s="261"/>
      <c r="F41" s="261">
        <f>SUM(G41:O41)</f>
        <v>0</v>
      </c>
      <c r="G41" s="261">
        <v>0</v>
      </c>
      <c r="H41" s="261">
        <v>0</v>
      </c>
      <c r="I41" s="330">
        <v>0</v>
      </c>
      <c r="J41" s="330"/>
      <c r="K41" s="330"/>
      <c r="L41" s="330"/>
      <c r="M41" s="330"/>
      <c r="N41" s="261">
        <v>0</v>
      </c>
      <c r="O41" s="261">
        <v>0</v>
      </c>
      <c r="P41" s="367"/>
    </row>
    <row r="42" spans="1:17" s="302" customFormat="1" ht="26.25" customHeight="1" x14ac:dyDescent="0.25">
      <c r="A42" s="403"/>
      <c r="B42" s="317" t="s">
        <v>199</v>
      </c>
      <c r="C42" s="318" t="s">
        <v>116</v>
      </c>
      <c r="D42" s="319" t="s">
        <v>116</v>
      </c>
      <c r="E42" s="264"/>
      <c r="F42" s="362" t="s">
        <v>117</v>
      </c>
      <c r="G42" s="262" t="s">
        <v>247</v>
      </c>
      <c r="H42" s="262" t="s">
        <v>248</v>
      </c>
      <c r="I42" s="321" t="s">
        <v>123</v>
      </c>
      <c r="J42" s="316" t="s">
        <v>118</v>
      </c>
      <c r="K42" s="316"/>
      <c r="L42" s="316"/>
      <c r="M42" s="316"/>
      <c r="N42" s="262" t="s">
        <v>124</v>
      </c>
      <c r="O42" s="262" t="s">
        <v>125</v>
      </c>
      <c r="P42" s="322" t="s">
        <v>116</v>
      </c>
      <c r="Q42" s="303"/>
    </row>
    <row r="43" spans="1:17" s="302" customFormat="1" ht="21" customHeight="1" x14ac:dyDescent="0.25">
      <c r="A43" s="403"/>
      <c r="B43" s="317"/>
      <c r="C43" s="318"/>
      <c r="D43" s="319"/>
      <c r="E43" s="264"/>
      <c r="F43" s="362"/>
      <c r="G43" s="264"/>
      <c r="H43" s="264"/>
      <c r="I43" s="321"/>
      <c r="J43" s="264" t="s">
        <v>119</v>
      </c>
      <c r="K43" s="264" t="s">
        <v>120</v>
      </c>
      <c r="L43" s="264" t="s">
        <v>121</v>
      </c>
      <c r="M43" s="264" t="s">
        <v>122</v>
      </c>
      <c r="N43" s="264"/>
      <c r="O43" s="264"/>
      <c r="P43" s="322"/>
      <c r="Q43" s="303"/>
    </row>
    <row r="44" spans="1:17" s="302" customFormat="1" ht="51" customHeight="1" x14ac:dyDescent="0.25">
      <c r="A44" s="403"/>
      <c r="B44" s="317"/>
      <c r="C44" s="318"/>
      <c r="D44" s="319"/>
      <c r="E44" s="264"/>
      <c r="F44" s="189">
        <f>I44+H44+G44+N44+O44</f>
        <v>5</v>
      </c>
      <c r="G44" s="187">
        <v>5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0</v>
      </c>
      <c r="N44" s="187">
        <v>0</v>
      </c>
      <c r="O44" s="187">
        <v>0</v>
      </c>
      <c r="P44" s="322"/>
      <c r="Q44" s="303"/>
    </row>
    <row r="45" spans="1:17" s="302" customFormat="1" ht="78" customHeight="1" x14ac:dyDescent="0.25">
      <c r="A45" s="415" t="s">
        <v>29</v>
      </c>
      <c r="B45" s="414" t="s">
        <v>128</v>
      </c>
      <c r="C45" s="408" t="s">
        <v>86</v>
      </c>
      <c r="D45" s="304" t="s">
        <v>40</v>
      </c>
      <c r="E45" s="261">
        <v>2978099</v>
      </c>
      <c r="F45" s="261">
        <f t="shared" ref="F45:F48" si="12">SUM(G45:O45)</f>
        <v>393751</v>
      </c>
      <c r="G45" s="261">
        <v>155511</v>
      </c>
      <c r="H45" s="261">
        <v>238240</v>
      </c>
      <c r="I45" s="330">
        <v>0</v>
      </c>
      <c r="J45" s="330"/>
      <c r="K45" s="330"/>
      <c r="L45" s="330"/>
      <c r="M45" s="330"/>
      <c r="N45" s="261">
        <v>0</v>
      </c>
      <c r="O45" s="261">
        <v>0</v>
      </c>
      <c r="P45" s="367" t="s">
        <v>3</v>
      </c>
    </row>
    <row r="46" spans="1:17" s="302" customFormat="1" ht="75" customHeight="1" x14ac:dyDescent="0.25">
      <c r="A46" s="415"/>
      <c r="B46" s="414"/>
      <c r="C46" s="408"/>
      <c r="D46" s="304" t="s">
        <v>1</v>
      </c>
      <c r="E46" s="261"/>
      <c r="F46" s="261">
        <f t="shared" si="12"/>
        <v>34190454.098870002</v>
      </c>
      <c r="G46" s="261">
        <v>6267494.4489599997</v>
      </c>
      <c r="H46" s="261">
        <v>6748050.6499100002</v>
      </c>
      <c r="I46" s="330">
        <v>7058303</v>
      </c>
      <c r="J46" s="330"/>
      <c r="K46" s="330"/>
      <c r="L46" s="330"/>
      <c r="M46" s="330"/>
      <c r="N46" s="261">
        <v>7058303</v>
      </c>
      <c r="O46" s="261">
        <v>7058303</v>
      </c>
      <c r="P46" s="367"/>
    </row>
    <row r="47" spans="1:17" s="302" customFormat="1" ht="71.25" customHeight="1" x14ac:dyDescent="0.25">
      <c r="A47" s="415"/>
      <c r="B47" s="414"/>
      <c r="C47" s="408"/>
      <c r="D47" s="304" t="s">
        <v>48</v>
      </c>
      <c r="E47" s="261"/>
      <c r="F47" s="261">
        <f t="shared" si="12"/>
        <v>0</v>
      </c>
      <c r="G47" s="261">
        <v>0</v>
      </c>
      <c r="H47" s="261">
        <v>0</v>
      </c>
      <c r="I47" s="330">
        <v>0</v>
      </c>
      <c r="J47" s="330"/>
      <c r="K47" s="330"/>
      <c r="L47" s="330"/>
      <c r="M47" s="330"/>
      <c r="N47" s="261">
        <v>0</v>
      </c>
      <c r="O47" s="261">
        <v>0</v>
      </c>
      <c r="P47" s="367"/>
    </row>
    <row r="48" spans="1:17" s="302" customFormat="1" ht="69" customHeight="1" x14ac:dyDescent="0.25">
      <c r="A48" s="415"/>
      <c r="B48" s="414"/>
      <c r="C48" s="408"/>
      <c r="D48" s="304" t="s">
        <v>87</v>
      </c>
      <c r="E48" s="261"/>
      <c r="F48" s="261">
        <f t="shared" si="12"/>
        <v>0</v>
      </c>
      <c r="G48" s="261">
        <v>0</v>
      </c>
      <c r="H48" s="261">
        <v>0</v>
      </c>
      <c r="I48" s="330">
        <v>0</v>
      </c>
      <c r="J48" s="330"/>
      <c r="K48" s="330"/>
      <c r="L48" s="330"/>
      <c r="M48" s="330"/>
      <c r="N48" s="261">
        <v>0</v>
      </c>
      <c r="O48" s="261">
        <v>0</v>
      </c>
      <c r="P48" s="367"/>
    </row>
    <row r="49" spans="1:17" s="302" customFormat="1" ht="28.5" customHeight="1" x14ac:dyDescent="0.25">
      <c r="A49" s="415"/>
      <c r="B49" s="317" t="s">
        <v>150</v>
      </c>
      <c r="C49" s="318" t="s">
        <v>116</v>
      </c>
      <c r="D49" s="319" t="s">
        <v>116</v>
      </c>
      <c r="E49" s="264"/>
      <c r="F49" s="362" t="s">
        <v>117</v>
      </c>
      <c r="G49" s="262" t="s">
        <v>247</v>
      </c>
      <c r="H49" s="262" t="s">
        <v>248</v>
      </c>
      <c r="I49" s="321" t="s">
        <v>123</v>
      </c>
      <c r="J49" s="316" t="s">
        <v>118</v>
      </c>
      <c r="K49" s="316"/>
      <c r="L49" s="316"/>
      <c r="M49" s="316"/>
      <c r="N49" s="262" t="s">
        <v>124</v>
      </c>
      <c r="O49" s="262" t="s">
        <v>125</v>
      </c>
      <c r="P49" s="322" t="s">
        <v>116</v>
      </c>
      <c r="Q49" s="303"/>
    </row>
    <row r="50" spans="1:17" s="302" customFormat="1" ht="28.5" customHeight="1" x14ac:dyDescent="0.25">
      <c r="A50" s="415"/>
      <c r="B50" s="317"/>
      <c r="C50" s="318"/>
      <c r="D50" s="319"/>
      <c r="E50" s="264"/>
      <c r="F50" s="362"/>
      <c r="G50" s="264"/>
      <c r="H50" s="264"/>
      <c r="I50" s="321"/>
      <c r="J50" s="264" t="s">
        <v>119</v>
      </c>
      <c r="K50" s="264" t="s">
        <v>120</v>
      </c>
      <c r="L50" s="264" t="s">
        <v>121</v>
      </c>
      <c r="M50" s="264" t="s">
        <v>122</v>
      </c>
      <c r="N50" s="264"/>
      <c r="O50" s="264"/>
      <c r="P50" s="322"/>
      <c r="Q50" s="303"/>
    </row>
    <row r="51" spans="1:17" s="302" customFormat="1" ht="86.25" customHeight="1" x14ac:dyDescent="0.25">
      <c r="A51" s="415"/>
      <c r="B51" s="317"/>
      <c r="C51" s="318"/>
      <c r="D51" s="319"/>
      <c r="E51" s="264"/>
      <c r="F51" s="189">
        <v>100</v>
      </c>
      <c r="G51" s="187">
        <v>100</v>
      </c>
      <c r="H51" s="187">
        <v>100</v>
      </c>
      <c r="I51" s="187">
        <v>100</v>
      </c>
      <c r="J51" s="187">
        <v>100</v>
      </c>
      <c r="K51" s="187">
        <v>100</v>
      </c>
      <c r="L51" s="187">
        <v>100</v>
      </c>
      <c r="M51" s="187">
        <v>100</v>
      </c>
      <c r="N51" s="187">
        <v>100</v>
      </c>
      <c r="O51" s="187">
        <v>100</v>
      </c>
      <c r="P51" s="322"/>
      <c r="Q51" s="303"/>
    </row>
    <row r="52" spans="1:17" s="302" customFormat="1" ht="44.25" customHeight="1" x14ac:dyDescent="0.25">
      <c r="A52" s="403" t="s">
        <v>56</v>
      </c>
      <c r="B52" s="417" t="s">
        <v>242</v>
      </c>
      <c r="C52" s="408" t="s">
        <v>86</v>
      </c>
      <c r="D52" s="304" t="s">
        <v>40</v>
      </c>
      <c r="E52" s="261"/>
      <c r="F52" s="261">
        <f t="shared" ref="F52:F55" si="13">SUM(G52:O52)</f>
        <v>0</v>
      </c>
      <c r="G52" s="261">
        <v>0</v>
      </c>
      <c r="H52" s="261">
        <v>0</v>
      </c>
      <c r="I52" s="330">
        <v>0</v>
      </c>
      <c r="J52" s="330"/>
      <c r="K52" s="330"/>
      <c r="L52" s="330"/>
      <c r="M52" s="330"/>
      <c r="N52" s="261">
        <v>0</v>
      </c>
      <c r="O52" s="261">
        <v>0</v>
      </c>
      <c r="P52" s="367" t="s">
        <v>3</v>
      </c>
    </row>
    <row r="53" spans="1:17" s="302" customFormat="1" ht="54.75" customHeight="1" x14ac:dyDescent="0.25">
      <c r="A53" s="403"/>
      <c r="B53" s="417"/>
      <c r="C53" s="408"/>
      <c r="D53" s="304" t="s">
        <v>1</v>
      </c>
      <c r="E53" s="261">
        <v>264347</v>
      </c>
      <c r="F53" s="261">
        <f t="shared" si="13"/>
        <v>2540338</v>
      </c>
      <c r="G53" s="261">
        <v>456194</v>
      </c>
      <c r="H53" s="261">
        <v>485312</v>
      </c>
      <c r="I53" s="330">
        <v>532944</v>
      </c>
      <c r="J53" s="330"/>
      <c r="K53" s="330"/>
      <c r="L53" s="330"/>
      <c r="M53" s="330"/>
      <c r="N53" s="261">
        <v>532944</v>
      </c>
      <c r="O53" s="261">
        <v>532944</v>
      </c>
      <c r="P53" s="367"/>
    </row>
    <row r="54" spans="1:17" s="302" customFormat="1" ht="63" customHeight="1" x14ac:dyDescent="0.25">
      <c r="A54" s="403"/>
      <c r="B54" s="417"/>
      <c r="C54" s="408"/>
      <c r="D54" s="304" t="s">
        <v>48</v>
      </c>
      <c r="E54" s="261"/>
      <c r="F54" s="261">
        <f t="shared" si="13"/>
        <v>0</v>
      </c>
      <c r="G54" s="261">
        <v>0</v>
      </c>
      <c r="H54" s="261">
        <v>0</v>
      </c>
      <c r="I54" s="330">
        <v>0</v>
      </c>
      <c r="J54" s="330"/>
      <c r="K54" s="330"/>
      <c r="L54" s="330"/>
      <c r="M54" s="330"/>
      <c r="N54" s="261">
        <v>0</v>
      </c>
      <c r="O54" s="261">
        <v>0</v>
      </c>
      <c r="P54" s="367"/>
    </row>
    <row r="55" spans="1:17" s="302" customFormat="1" ht="63.75" customHeight="1" x14ac:dyDescent="0.25">
      <c r="A55" s="403"/>
      <c r="B55" s="417"/>
      <c r="C55" s="408"/>
      <c r="D55" s="304" t="s">
        <v>87</v>
      </c>
      <c r="E55" s="261"/>
      <c r="F55" s="261">
        <f t="shared" si="13"/>
        <v>0</v>
      </c>
      <c r="G55" s="261">
        <v>0</v>
      </c>
      <c r="H55" s="261">
        <v>0</v>
      </c>
      <c r="I55" s="330">
        <v>0</v>
      </c>
      <c r="J55" s="330"/>
      <c r="K55" s="330"/>
      <c r="L55" s="330"/>
      <c r="M55" s="330"/>
      <c r="N55" s="261">
        <v>0</v>
      </c>
      <c r="O55" s="261">
        <v>0</v>
      </c>
      <c r="P55" s="367"/>
    </row>
    <row r="56" spans="1:17" s="302" customFormat="1" ht="30.75" customHeight="1" x14ac:dyDescent="0.25">
      <c r="A56" s="403"/>
      <c r="B56" s="418" t="s">
        <v>151</v>
      </c>
      <c r="C56" s="318" t="s">
        <v>116</v>
      </c>
      <c r="D56" s="319" t="s">
        <v>116</v>
      </c>
      <c r="E56" s="264"/>
      <c r="F56" s="362" t="s">
        <v>117</v>
      </c>
      <c r="G56" s="262" t="s">
        <v>247</v>
      </c>
      <c r="H56" s="262" t="s">
        <v>248</v>
      </c>
      <c r="I56" s="321" t="s">
        <v>123</v>
      </c>
      <c r="J56" s="316" t="s">
        <v>118</v>
      </c>
      <c r="K56" s="316"/>
      <c r="L56" s="316"/>
      <c r="M56" s="316"/>
      <c r="N56" s="262" t="s">
        <v>124</v>
      </c>
      <c r="O56" s="262" t="s">
        <v>125</v>
      </c>
      <c r="P56" s="322" t="s">
        <v>116</v>
      </c>
      <c r="Q56" s="303"/>
    </row>
    <row r="57" spans="1:17" s="302" customFormat="1" ht="30.75" customHeight="1" x14ac:dyDescent="0.25">
      <c r="A57" s="403"/>
      <c r="B57" s="418"/>
      <c r="C57" s="318"/>
      <c r="D57" s="319"/>
      <c r="E57" s="264"/>
      <c r="F57" s="362"/>
      <c r="G57" s="264"/>
      <c r="H57" s="264"/>
      <c r="I57" s="321"/>
      <c r="J57" s="264" t="s">
        <v>119</v>
      </c>
      <c r="K57" s="264" t="s">
        <v>120</v>
      </c>
      <c r="L57" s="264" t="s">
        <v>121</v>
      </c>
      <c r="M57" s="264" t="s">
        <v>122</v>
      </c>
      <c r="N57" s="264"/>
      <c r="O57" s="264"/>
      <c r="P57" s="322"/>
      <c r="Q57" s="303"/>
    </row>
    <row r="58" spans="1:17" s="302" customFormat="1" ht="45.75" customHeight="1" x14ac:dyDescent="0.25">
      <c r="A58" s="403"/>
      <c r="B58" s="418"/>
      <c r="C58" s="318"/>
      <c r="D58" s="319"/>
      <c r="E58" s="264"/>
      <c r="F58" s="189">
        <v>100</v>
      </c>
      <c r="G58" s="189">
        <v>100</v>
      </c>
      <c r="H58" s="189">
        <v>100</v>
      </c>
      <c r="I58" s="189">
        <v>100</v>
      </c>
      <c r="J58" s="189">
        <v>100</v>
      </c>
      <c r="K58" s="189">
        <v>100</v>
      </c>
      <c r="L58" s="189">
        <v>100</v>
      </c>
      <c r="M58" s="189">
        <v>100</v>
      </c>
      <c r="N58" s="189">
        <v>100</v>
      </c>
      <c r="O58" s="189">
        <v>100</v>
      </c>
      <c r="P58" s="322"/>
      <c r="Q58" s="303"/>
    </row>
    <row r="59" spans="1:17" s="302" customFormat="1" ht="37.5" customHeight="1" x14ac:dyDescent="0.25">
      <c r="A59" s="416" t="s">
        <v>69</v>
      </c>
      <c r="B59" s="368" t="s">
        <v>129</v>
      </c>
      <c r="C59" s="370" t="s">
        <v>86</v>
      </c>
      <c r="D59" s="304" t="s">
        <v>40</v>
      </c>
      <c r="E59" s="261"/>
      <c r="F59" s="261">
        <f t="shared" ref="F59:F62" si="14">SUM(G59:O59)</f>
        <v>0</v>
      </c>
      <c r="G59" s="261">
        <v>0</v>
      </c>
      <c r="H59" s="261">
        <v>0</v>
      </c>
      <c r="I59" s="330">
        <v>0</v>
      </c>
      <c r="J59" s="330"/>
      <c r="K59" s="330"/>
      <c r="L59" s="330"/>
      <c r="M59" s="330"/>
      <c r="N59" s="261">
        <v>0</v>
      </c>
      <c r="O59" s="261">
        <v>0</v>
      </c>
      <c r="P59" s="411" t="s">
        <v>114</v>
      </c>
    </row>
    <row r="60" spans="1:17" s="302" customFormat="1" ht="39" customHeight="1" x14ac:dyDescent="0.25">
      <c r="A60" s="416"/>
      <c r="B60" s="368"/>
      <c r="C60" s="370"/>
      <c r="D60" s="305" t="s">
        <v>1</v>
      </c>
      <c r="E60" s="265">
        <v>125047</v>
      </c>
      <c r="F60" s="261">
        <f t="shared" si="14"/>
        <v>458892</v>
      </c>
      <c r="G60" s="265">
        <v>112914</v>
      </c>
      <c r="H60" s="265">
        <v>92586</v>
      </c>
      <c r="I60" s="361">
        <v>84464</v>
      </c>
      <c r="J60" s="361"/>
      <c r="K60" s="361"/>
      <c r="L60" s="361"/>
      <c r="M60" s="361"/>
      <c r="N60" s="265">
        <v>84464</v>
      </c>
      <c r="O60" s="265">
        <v>84464</v>
      </c>
      <c r="P60" s="411"/>
    </row>
    <row r="61" spans="1:17" s="302" customFormat="1" ht="42.75" customHeight="1" x14ac:dyDescent="0.25">
      <c r="A61" s="416"/>
      <c r="B61" s="368"/>
      <c r="C61" s="370"/>
      <c r="D61" s="305" t="s">
        <v>48</v>
      </c>
      <c r="E61" s="265"/>
      <c r="F61" s="261">
        <f t="shared" si="14"/>
        <v>0</v>
      </c>
      <c r="G61" s="265">
        <v>0</v>
      </c>
      <c r="H61" s="265">
        <v>0</v>
      </c>
      <c r="I61" s="361">
        <v>0</v>
      </c>
      <c r="J61" s="361"/>
      <c r="K61" s="361"/>
      <c r="L61" s="361"/>
      <c r="M61" s="361"/>
      <c r="N61" s="265">
        <v>0</v>
      </c>
      <c r="O61" s="265">
        <v>0</v>
      </c>
      <c r="P61" s="411"/>
    </row>
    <row r="62" spans="1:17" s="302" customFormat="1" ht="39" customHeight="1" x14ac:dyDescent="0.25">
      <c r="A62" s="416"/>
      <c r="B62" s="368"/>
      <c r="C62" s="370"/>
      <c r="D62" s="305" t="s">
        <v>87</v>
      </c>
      <c r="E62" s="265"/>
      <c r="F62" s="261">
        <f t="shared" si="14"/>
        <v>0</v>
      </c>
      <c r="G62" s="265">
        <v>0</v>
      </c>
      <c r="H62" s="265">
        <v>0</v>
      </c>
      <c r="I62" s="361">
        <v>0</v>
      </c>
      <c r="J62" s="361"/>
      <c r="K62" s="361"/>
      <c r="L62" s="361"/>
      <c r="M62" s="361"/>
      <c r="N62" s="265">
        <v>0</v>
      </c>
      <c r="O62" s="265">
        <v>0</v>
      </c>
      <c r="P62" s="411"/>
    </row>
    <row r="63" spans="1:17" s="302" customFormat="1" ht="27" customHeight="1" x14ac:dyDescent="0.25">
      <c r="A63" s="416"/>
      <c r="B63" s="317" t="s">
        <v>152</v>
      </c>
      <c r="C63" s="318" t="s">
        <v>116</v>
      </c>
      <c r="D63" s="319" t="s">
        <v>116</v>
      </c>
      <c r="E63" s="264"/>
      <c r="F63" s="362" t="s">
        <v>117</v>
      </c>
      <c r="G63" s="262" t="s">
        <v>247</v>
      </c>
      <c r="H63" s="262" t="s">
        <v>248</v>
      </c>
      <c r="I63" s="321" t="s">
        <v>123</v>
      </c>
      <c r="J63" s="316" t="s">
        <v>118</v>
      </c>
      <c r="K63" s="316"/>
      <c r="L63" s="316"/>
      <c r="M63" s="316"/>
      <c r="N63" s="262" t="s">
        <v>124</v>
      </c>
      <c r="O63" s="262" t="s">
        <v>125</v>
      </c>
      <c r="P63" s="322" t="s">
        <v>116</v>
      </c>
      <c r="Q63" s="303"/>
    </row>
    <row r="64" spans="1:17" s="302" customFormat="1" ht="21" customHeight="1" x14ac:dyDescent="0.25">
      <c r="A64" s="416"/>
      <c r="B64" s="317"/>
      <c r="C64" s="318"/>
      <c r="D64" s="319"/>
      <c r="E64" s="264"/>
      <c r="F64" s="362"/>
      <c r="G64" s="264"/>
      <c r="H64" s="264"/>
      <c r="I64" s="321"/>
      <c r="J64" s="264" t="s">
        <v>119</v>
      </c>
      <c r="K64" s="264" t="s">
        <v>120</v>
      </c>
      <c r="L64" s="264" t="s">
        <v>121</v>
      </c>
      <c r="M64" s="264" t="s">
        <v>122</v>
      </c>
      <c r="N64" s="264"/>
      <c r="O64" s="264"/>
      <c r="P64" s="322"/>
      <c r="Q64" s="303"/>
    </row>
    <row r="65" spans="1:17" s="302" customFormat="1" ht="25.5" customHeight="1" x14ac:dyDescent="0.25">
      <c r="A65" s="416"/>
      <c r="B65" s="317"/>
      <c r="C65" s="318"/>
      <c r="D65" s="319"/>
      <c r="E65" s="264"/>
      <c r="F65" s="189">
        <v>100</v>
      </c>
      <c r="G65" s="189">
        <v>100</v>
      </c>
      <c r="H65" s="189">
        <v>100</v>
      </c>
      <c r="I65" s="189">
        <v>100</v>
      </c>
      <c r="J65" s="189">
        <v>100</v>
      </c>
      <c r="K65" s="189">
        <v>100</v>
      </c>
      <c r="L65" s="189">
        <v>100</v>
      </c>
      <c r="M65" s="189">
        <v>100</v>
      </c>
      <c r="N65" s="189">
        <v>100</v>
      </c>
      <c r="O65" s="189">
        <v>100</v>
      </c>
      <c r="P65" s="322"/>
      <c r="Q65" s="303"/>
    </row>
    <row r="66" spans="1:17" s="302" customFormat="1" ht="39" customHeight="1" x14ac:dyDescent="0.25">
      <c r="A66" s="403" t="s">
        <v>70</v>
      </c>
      <c r="B66" s="412" t="s">
        <v>275</v>
      </c>
      <c r="C66" s="408" t="s">
        <v>207</v>
      </c>
      <c r="D66" s="304" t="s">
        <v>40</v>
      </c>
      <c r="E66" s="261"/>
      <c r="F66" s="261">
        <f t="shared" ref="F66:F69" si="15">SUM(G66:O66)</f>
        <v>0</v>
      </c>
      <c r="G66" s="261">
        <v>0</v>
      </c>
      <c r="H66" s="261">
        <v>0</v>
      </c>
      <c r="I66" s="330">
        <v>0</v>
      </c>
      <c r="J66" s="330"/>
      <c r="K66" s="330"/>
      <c r="L66" s="330"/>
      <c r="M66" s="330"/>
      <c r="N66" s="261">
        <v>0</v>
      </c>
      <c r="O66" s="261">
        <v>0</v>
      </c>
      <c r="P66" s="367" t="s">
        <v>3</v>
      </c>
    </row>
    <row r="67" spans="1:17" s="302" customFormat="1" ht="34.5" x14ac:dyDescent="0.25">
      <c r="A67" s="403"/>
      <c r="B67" s="412"/>
      <c r="C67" s="408"/>
      <c r="D67" s="304" t="s">
        <v>1</v>
      </c>
      <c r="E67" s="261">
        <v>264347</v>
      </c>
      <c r="F67" s="261">
        <f t="shared" si="15"/>
        <v>80912</v>
      </c>
      <c r="G67" s="261">
        <v>0</v>
      </c>
      <c r="H67" s="261">
        <v>8150</v>
      </c>
      <c r="I67" s="330">
        <v>24254</v>
      </c>
      <c r="J67" s="330"/>
      <c r="K67" s="330"/>
      <c r="L67" s="330"/>
      <c r="M67" s="330"/>
      <c r="N67" s="261">
        <v>24254</v>
      </c>
      <c r="O67" s="261">
        <v>24254</v>
      </c>
      <c r="P67" s="367"/>
    </row>
    <row r="68" spans="1:17" s="302" customFormat="1" ht="51.75" x14ac:dyDescent="0.25">
      <c r="A68" s="403"/>
      <c r="B68" s="412"/>
      <c r="C68" s="408"/>
      <c r="D68" s="304" t="s">
        <v>48</v>
      </c>
      <c r="E68" s="261"/>
      <c r="F68" s="261">
        <f t="shared" si="15"/>
        <v>0</v>
      </c>
      <c r="G68" s="261">
        <v>0</v>
      </c>
      <c r="H68" s="261">
        <v>0</v>
      </c>
      <c r="I68" s="330">
        <v>0</v>
      </c>
      <c r="J68" s="330"/>
      <c r="K68" s="330"/>
      <c r="L68" s="330"/>
      <c r="M68" s="330"/>
      <c r="N68" s="261">
        <v>0</v>
      </c>
      <c r="O68" s="261">
        <v>0</v>
      </c>
      <c r="P68" s="367"/>
    </row>
    <row r="69" spans="1:17" s="302" customFormat="1" ht="40.5" customHeight="1" x14ac:dyDescent="0.25">
      <c r="A69" s="403"/>
      <c r="B69" s="412"/>
      <c r="C69" s="408"/>
      <c r="D69" s="304" t="s">
        <v>87</v>
      </c>
      <c r="E69" s="261"/>
      <c r="F69" s="261">
        <f t="shared" si="15"/>
        <v>0</v>
      </c>
      <c r="G69" s="261">
        <v>0</v>
      </c>
      <c r="H69" s="261">
        <v>0</v>
      </c>
      <c r="I69" s="330">
        <v>0</v>
      </c>
      <c r="J69" s="330"/>
      <c r="K69" s="330"/>
      <c r="L69" s="330"/>
      <c r="M69" s="330"/>
      <c r="N69" s="261">
        <v>0</v>
      </c>
      <c r="O69" s="261">
        <v>0</v>
      </c>
      <c r="P69" s="367"/>
    </row>
    <row r="70" spans="1:17" s="302" customFormat="1" ht="30" customHeight="1" x14ac:dyDescent="0.25">
      <c r="A70" s="403"/>
      <c r="B70" s="461" t="s">
        <v>250</v>
      </c>
      <c r="C70" s="318" t="s">
        <v>116</v>
      </c>
      <c r="D70" s="319" t="s">
        <v>116</v>
      </c>
      <c r="E70" s="264"/>
      <c r="F70" s="362" t="s">
        <v>117</v>
      </c>
      <c r="G70" s="262" t="s">
        <v>247</v>
      </c>
      <c r="H70" s="262" t="s">
        <v>248</v>
      </c>
      <c r="I70" s="321" t="s">
        <v>123</v>
      </c>
      <c r="J70" s="316" t="s">
        <v>118</v>
      </c>
      <c r="K70" s="316"/>
      <c r="L70" s="316"/>
      <c r="M70" s="316"/>
      <c r="N70" s="262" t="s">
        <v>124</v>
      </c>
      <c r="O70" s="262" t="s">
        <v>125</v>
      </c>
      <c r="P70" s="322" t="s">
        <v>116</v>
      </c>
      <c r="Q70" s="303"/>
    </row>
    <row r="71" spans="1:17" s="302" customFormat="1" ht="23.25" customHeight="1" x14ac:dyDescent="0.25">
      <c r="A71" s="403"/>
      <c r="B71" s="461"/>
      <c r="C71" s="318"/>
      <c r="D71" s="319"/>
      <c r="E71" s="264"/>
      <c r="F71" s="362"/>
      <c r="G71" s="264"/>
      <c r="H71" s="264"/>
      <c r="I71" s="321"/>
      <c r="J71" s="264" t="s">
        <v>119</v>
      </c>
      <c r="K71" s="264" t="s">
        <v>120</v>
      </c>
      <c r="L71" s="264" t="s">
        <v>121</v>
      </c>
      <c r="M71" s="264" t="s">
        <v>122</v>
      </c>
      <c r="N71" s="264"/>
      <c r="O71" s="264"/>
      <c r="P71" s="322"/>
      <c r="Q71" s="303"/>
    </row>
    <row r="72" spans="1:17" s="302" customFormat="1" ht="24" customHeight="1" x14ac:dyDescent="0.25">
      <c r="A72" s="403"/>
      <c r="B72" s="461"/>
      <c r="C72" s="318"/>
      <c r="D72" s="319"/>
      <c r="E72" s="264"/>
      <c r="F72" s="189">
        <v>100</v>
      </c>
      <c r="G72" s="189">
        <v>0</v>
      </c>
      <c r="H72" s="189">
        <v>0</v>
      </c>
      <c r="I72" s="189">
        <v>100</v>
      </c>
      <c r="J72" s="189">
        <v>100</v>
      </c>
      <c r="K72" s="189">
        <v>100</v>
      </c>
      <c r="L72" s="189">
        <v>100</v>
      </c>
      <c r="M72" s="189">
        <v>100</v>
      </c>
      <c r="N72" s="189">
        <v>100</v>
      </c>
      <c r="O72" s="189">
        <v>100</v>
      </c>
      <c r="P72" s="322"/>
      <c r="Q72" s="303"/>
    </row>
    <row r="73" spans="1:17" s="302" customFormat="1" ht="39" customHeight="1" x14ac:dyDescent="0.25">
      <c r="A73" s="403" t="s">
        <v>71</v>
      </c>
      <c r="B73" s="467" t="s">
        <v>263</v>
      </c>
      <c r="C73" s="408" t="s">
        <v>46</v>
      </c>
      <c r="D73" s="304" t="s">
        <v>40</v>
      </c>
      <c r="E73" s="261"/>
      <c r="F73" s="261">
        <f t="shared" ref="F73:F76" si="16">SUM(G73:O73)</f>
        <v>1015.56</v>
      </c>
      <c r="G73" s="261">
        <v>0</v>
      </c>
      <c r="H73" s="261">
        <v>1015.56</v>
      </c>
      <c r="I73" s="330">
        <v>0</v>
      </c>
      <c r="J73" s="330"/>
      <c r="K73" s="330"/>
      <c r="L73" s="330"/>
      <c r="M73" s="330"/>
      <c r="N73" s="261">
        <v>0</v>
      </c>
      <c r="O73" s="261">
        <v>0</v>
      </c>
      <c r="P73" s="367" t="s">
        <v>3</v>
      </c>
    </row>
    <row r="74" spans="1:17" s="302" customFormat="1" ht="34.5" x14ac:dyDescent="0.25">
      <c r="A74" s="403"/>
      <c r="B74" s="467"/>
      <c r="C74" s="408"/>
      <c r="D74" s="304" t="s">
        <v>1</v>
      </c>
      <c r="E74" s="261">
        <v>264347</v>
      </c>
      <c r="F74" s="261">
        <f t="shared" si="16"/>
        <v>0</v>
      </c>
      <c r="G74" s="261">
        <v>0</v>
      </c>
      <c r="H74" s="261">
        <v>0</v>
      </c>
      <c r="I74" s="330">
        <v>0</v>
      </c>
      <c r="J74" s="330"/>
      <c r="K74" s="330"/>
      <c r="L74" s="330"/>
      <c r="M74" s="330"/>
      <c r="N74" s="261">
        <v>0</v>
      </c>
      <c r="O74" s="261">
        <v>0</v>
      </c>
      <c r="P74" s="367"/>
    </row>
    <row r="75" spans="1:17" s="302" customFormat="1" ht="51.75" x14ac:dyDescent="0.25">
      <c r="A75" s="403"/>
      <c r="B75" s="467"/>
      <c r="C75" s="408"/>
      <c r="D75" s="304" t="s">
        <v>48</v>
      </c>
      <c r="E75" s="261"/>
      <c r="F75" s="261">
        <f t="shared" si="16"/>
        <v>0</v>
      </c>
      <c r="G75" s="261">
        <v>0</v>
      </c>
      <c r="H75" s="261">
        <v>0</v>
      </c>
      <c r="I75" s="330">
        <v>0</v>
      </c>
      <c r="J75" s="330"/>
      <c r="K75" s="330"/>
      <c r="L75" s="330"/>
      <c r="M75" s="330"/>
      <c r="N75" s="261">
        <v>0</v>
      </c>
      <c r="O75" s="261">
        <v>0</v>
      </c>
      <c r="P75" s="367"/>
    </row>
    <row r="76" spans="1:17" s="302" customFormat="1" ht="40.5" customHeight="1" x14ac:dyDescent="0.25">
      <c r="A76" s="403"/>
      <c r="B76" s="467"/>
      <c r="C76" s="408"/>
      <c r="D76" s="304" t="s">
        <v>87</v>
      </c>
      <c r="E76" s="261"/>
      <c r="F76" s="261">
        <f t="shared" si="16"/>
        <v>0</v>
      </c>
      <c r="G76" s="261">
        <v>0</v>
      </c>
      <c r="H76" s="261">
        <v>0</v>
      </c>
      <c r="I76" s="330">
        <v>0</v>
      </c>
      <c r="J76" s="330"/>
      <c r="K76" s="330"/>
      <c r="L76" s="330"/>
      <c r="M76" s="330"/>
      <c r="N76" s="261">
        <v>0</v>
      </c>
      <c r="O76" s="261">
        <v>0</v>
      </c>
      <c r="P76" s="367"/>
    </row>
    <row r="77" spans="1:17" s="302" customFormat="1" ht="30" customHeight="1" x14ac:dyDescent="0.25">
      <c r="A77" s="403"/>
      <c r="B77" s="407" t="s">
        <v>246</v>
      </c>
      <c r="C77" s="318" t="s">
        <v>116</v>
      </c>
      <c r="D77" s="319" t="s">
        <v>116</v>
      </c>
      <c r="E77" s="264"/>
      <c r="F77" s="362" t="s">
        <v>117</v>
      </c>
      <c r="G77" s="262" t="s">
        <v>247</v>
      </c>
      <c r="H77" s="262" t="s">
        <v>248</v>
      </c>
      <c r="I77" s="321" t="s">
        <v>123</v>
      </c>
      <c r="J77" s="316" t="s">
        <v>118</v>
      </c>
      <c r="K77" s="316"/>
      <c r="L77" s="316"/>
      <c r="M77" s="316"/>
      <c r="N77" s="262" t="s">
        <v>124</v>
      </c>
      <c r="O77" s="262" t="s">
        <v>125</v>
      </c>
      <c r="P77" s="322" t="s">
        <v>116</v>
      </c>
      <c r="Q77" s="303"/>
    </row>
    <row r="78" spans="1:17" s="302" customFormat="1" ht="23.25" customHeight="1" x14ac:dyDescent="0.25">
      <c r="A78" s="403"/>
      <c r="B78" s="407"/>
      <c r="C78" s="318"/>
      <c r="D78" s="319"/>
      <c r="E78" s="264"/>
      <c r="F78" s="362"/>
      <c r="G78" s="264"/>
      <c r="H78" s="264"/>
      <c r="I78" s="321"/>
      <c r="J78" s="264" t="s">
        <v>119</v>
      </c>
      <c r="K78" s="264" t="s">
        <v>120</v>
      </c>
      <c r="L78" s="264" t="s">
        <v>121</v>
      </c>
      <c r="M78" s="264" t="s">
        <v>122</v>
      </c>
      <c r="N78" s="264"/>
      <c r="O78" s="264"/>
      <c r="P78" s="322"/>
      <c r="Q78" s="303"/>
    </row>
    <row r="79" spans="1:17" s="302" customFormat="1" ht="24" customHeight="1" x14ac:dyDescent="0.25">
      <c r="A79" s="403"/>
      <c r="B79" s="407"/>
      <c r="C79" s="318"/>
      <c r="D79" s="319"/>
      <c r="E79" s="264"/>
      <c r="F79" s="189">
        <v>37</v>
      </c>
      <c r="G79" s="189">
        <v>0</v>
      </c>
      <c r="H79" s="189">
        <v>37</v>
      </c>
      <c r="I79" s="189">
        <v>0</v>
      </c>
      <c r="J79" s="189">
        <v>0</v>
      </c>
      <c r="K79" s="189">
        <v>0</v>
      </c>
      <c r="L79" s="189">
        <v>0</v>
      </c>
      <c r="M79" s="189">
        <v>0</v>
      </c>
      <c r="N79" s="189">
        <v>0</v>
      </c>
      <c r="O79" s="189">
        <v>0</v>
      </c>
      <c r="P79" s="322"/>
      <c r="Q79" s="303"/>
    </row>
    <row r="80" spans="1:17" s="302" customFormat="1" ht="38.25" customHeight="1" x14ac:dyDescent="0.25">
      <c r="A80" s="460" t="s">
        <v>72</v>
      </c>
      <c r="B80" s="468" t="s">
        <v>133</v>
      </c>
      <c r="C80" s="419" t="s">
        <v>86</v>
      </c>
      <c r="D80" s="305" t="s">
        <v>40</v>
      </c>
      <c r="E80" s="265"/>
      <c r="F80" s="266">
        <f t="shared" ref="F80:F85" si="17">SUM(G80:O80)</f>
        <v>0</v>
      </c>
      <c r="G80" s="265">
        <v>0</v>
      </c>
      <c r="H80" s="265">
        <v>0</v>
      </c>
      <c r="I80" s="361">
        <v>0</v>
      </c>
      <c r="J80" s="361"/>
      <c r="K80" s="361"/>
      <c r="L80" s="361"/>
      <c r="M80" s="361"/>
      <c r="N80" s="265">
        <v>0</v>
      </c>
      <c r="O80" s="265">
        <v>0</v>
      </c>
      <c r="P80" s="410" t="s">
        <v>60</v>
      </c>
    </row>
    <row r="81" spans="1:17" s="302" customFormat="1" ht="37.5" customHeight="1" x14ac:dyDescent="0.25">
      <c r="A81" s="460"/>
      <c r="B81" s="468"/>
      <c r="C81" s="419"/>
      <c r="D81" s="305" t="s">
        <v>1</v>
      </c>
      <c r="E81" s="265">
        <f>943864.80836+E82</f>
        <v>1128859.5313599999</v>
      </c>
      <c r="F81" s="266">
        <f t="shared" si="17"/>
        <v>0</v>
      </c>
      <c r="G81" s="265">
        <v>0</v>
      </c>
      <c r="H81" s="265">
        <v>0</v>
      </c>
      <c r="I81" s="361">
        <v>0</v>
      </c>
      <c r="J81" s="361"/>
      <c r="K81" s="361"/>
      <c r="L81" s="361"/>
      <c r="M81" s="361"/>
      <c r="N81" s="265">
        <v>0</v>
      </c>
      <c r="O81" s="265">
        <v>0</v>
      </c>
      <c r="P81" s="410"/>
    </row>
    <row r="82" spans="1:17" s="302" customFormat="1" ht="58.5" customHeight="1" x14ac:dyDescent="0.25">
      <c r="A82" s="460"/>
      <c r="B82" s="468"/>
      <c r="C82" s="419"/>
      <c r="D82" s="306" t="s">
        <v>47</v>
      </c>
      <c r="E82" s="265">
        <v>184994.723</v>
      </c>
      <c r="F82" s="266">
        <f t="shared" si="17"/>
        <v>137853.36843</v>
      </c>
      <c r="G82" s="265">
        <v>25761.32876</v>
      </c>
      <c r="H82" s="265">
        <v>26670.039669999998</v>
      </c>
      <c r="I82" s="361">
        <v>28474</v>
      </c>
      <c r="J82" s="361"/>
      <c r="K82" s="361"/>
      <c r="L82" s="361"/>
      <c r="M82" s="361"/>
      <c r="N82" s="265">
        <f t="shared" ref="N82:O82" si="18">28329+145</f>
        <v>28474</v>
      </c>
      <c r="O82" s="265">
        <f t="shared" si="18"/>
        <v>28474</v>
      </c>
      <c r="P82" s="410"/>
    </row>
    <row r="83" spans="1:17" s="302" customFormat="1" ht="69" x14ac:dyDescent="0.25">
      <c r="A83" s="460"/>
      <c r="B83" s="468"/>
      <c r="C83" s="419"/>
      <c r="D83" s="306" t="s">
        <v>59</v>
      </c>
      <c r="E83" s="265">
        <v>56075.205379999999</v>
      </c>
      <c r="F83" s="266">
        <f t="shared" si="17"/>
        <v>3564.0839999999998</v>
      </c>
      <c r="G83" s="268">
        <v>526.08399999999995</v>
      </c>
      <c r="H83" s="268">
        <v>608</v>
      </c>
      <c r="I83" s="396">
        <v>810</v>
      </c>
      <c r="J83" s="396"/>
      <c r="K83" s="396"/>
      <c r="L83" s="396"/>
      <c r="M83" s="396"/>
      <c r="N83" s="268">
        <v>810</v>
      </c>
      <c r="O83" s="268">
        <v>810</v>
      </c>
      <c r="P83" s="410"/>
    </row>
    <row r="84" spans="1:17" s="302" customFormat="1" ht="34.5" x14ac:dyDescent="0.25">
      <c r="A84" s="460"/>
      <c r="B84" s="468"/>
      <c r="C84" s="419"/>
      <c r="D84" s="306" t="s">
        <v>87</v>
      </c>
      <c r="E84" s="265"/>
      <c r="F84" s="266">
        <f t="shared" si="17"/>
        <v>151.36000000000001</v>
      </c>
      <c r="G84" s="265">
        <f t="shared" ref="G84" si="19">G85</f>
        <v>35.840000000000003</v>
      </c>
      <c r="H84" s="265">
        <f>H85</f>
        <v>31.616</v>
      </c>
      <c r="I84" s="361">
        <f>I85</f>
        <v>27.968</v>
      </c>
      <c r="J84" s="361"/>
      <c r="K84" s="361"/>
      <c r="L84" s="361"/>
      <c r="M84" s="361"/>
      <c r="N84" s="265">
        <f t="shared" ref="N84:O84" si="20">N85</f>
        <v>27.968</v>
      </c>
      <c r="O84" s="265">
        <f t="shared" si="20"/>
        <v>27.968</v>
      </c>
      <c r="P84" s="410"/>
    </row>
    <row r="85" spans="1:17" s="302" customFormat="1" ht="69" x14ac:dyDescent="0.25">
      <c r="A85" s="460"/>
      <c r="B85" s="468"/>
      <c r="C85" s="419"/>
      <c r="D85" s="306" t="s">
        <v>89</v>
      </c>
      <c r="E85" s="265">
        <v>219815.44200000001</v>
      </c>
      <c r="F85" s="266">
        <f t="shared" si="17"/>
        <v>151.36000000000001</v>
      </c>
      <c r="G85" s="268">
        <v>35.840000000000003</v>
      </c>
      <c r="H85" s="268">
        <v>31.616</v>
      </c>
      <c r="I85" s="396">
        <v>27.968</v>
      </c>
      <c r="J85" s="396"/>
      <c r="K85" s="396"/>
      <c r="L85" s="396"/>
      <c r="M85" s="396"/>
      <c r="N85" s="268">
        <v>27.968</v>
      </c>
      <c r="O85" s="268">
        <v>27.968</v>
      </c>
      <c r="P85" s="410"/>
    </row>
    <row r="86" spans="1:17" s="302" customFormat="1" ht="27" customHeight="1" x14ac:dyDescent="0.25">
      <c r="A86" s="460"/>
      <c r="B86" s="317" t="s">
        <v>155</v>
      </c>
      <c r="C86" s="318" t="s">
        <v>116</v>
      </c>
      <c r="D86" s="319" t="s">
        <v>116</v>
      </c>
      <c r="E86" s="264"/>
      <c r="F86" s="362" t="s">
        <v>117</v>
      </c>
      <c r="G86" s="262" t="s">
        <v>247</v>
      </c>
      <c r="H86" s="262" t="s">
        <v>248</v>
      </c>
      <c r="I86" s="321" t="s">
        <v>123</v>
      </c>
      <c r="J86" s="316" t="s">
        <v>118</v>
      </c>
      <c r="K86" s="316"/>
      <c r="L86" s="316"/>
      <c r="M86" s="316"/>
      <c r="N86" s="262" t="s">
        <v>124</v>
      </c>
      <c r="O86" s="262" t="s">
        <v>125</v>
      </c>
      <c r="P86" s="322" t="s">
        <v>116</v>
      </c>
      <c r="Q86" s="303"/>
    </row>
    <row r="87" spans="1:17" s="302" customFormat="1" ht="22.5" customHeight="1" x14ac:dyDescent="0.25">
      <c r="A87" s="460"/>
      <c r="B87" s="317"/>
      <c r="C87" s="318"/>
      <c r="D87" s="319"/>
      <c r="E87" s="264"/>
      <c r="F87" s="362"/>
      <c r="G87" s="264"/>
      <c r="H87" s="264"/>
      <c r="I87" s="321"/>
      <c r="J87" s="264" t="s">
        <v>119</v>
      </c>
      <c r="K87" s="264" t="s">
        <v>120</v>
      </c>
      <c r="L87" s="264" t="s">
        <v>121</v>
      </c>
      <c r="M87" s="264" t="s">
        <v>122</v>
      </c>
      <c r="N87" s="264"/>
      <c r="O87" s="264"/>
      <c r="P87" s="322"/>
      <c r="Q87" s="303"/>
    </row>
    <row r="88" spans="1:17" s="302" customFormat="1" ht="27" customHeight="1" x14ac:dyDescent="0.25">
      <c r="A88" s="460"/>
      <c r="B88" s="317"/>
      <c r="C88" s="318"/>
      <c r="D88" s="319"/>
      <c r="E88" s="264"/>
      <c r="F88" s="189">
        <v>1</v>
      </c>
      <c r="G88" s="189">
        <v>1</v>
      </c>
      <c r="H88" s="189">
        <v>1</v>
      </c>
      <c r="I88" s="189">
        <v>1</v>
      </c>
      <c r="J88" s="189">
        <v>1</v>
      </c>
      <c r="K88" s="189">
        <v>1</v>
      </c>
      <c r="L88" s="189">
        <v>1</v>
      </c>
      <c r="M88" s="189">
        <v>1</v>
      </c>
      <c r="N88" s="189">
        <v>1</v>
      </c>
      <c r="O88" s="189">
        <v>1</v>
      </c>
      <c r="P88" s="322"/>
      <c r="Q88" s="303"/>
    </row>
    <row r="89" spans="1:17" s="302" customFormat="1" ht="33.75" customHeight="1" x14ac:dyDescent="0.25">
      <c r="A89" s="416" t="s">
        <v>73</v>
      </c>
      <c r="B89" s="368" t="s">
        <v>134</v>
      </c>
      <c r="C89" s="370" t="s">
        <v>86</v>
      </c>
      <c r="D89" s="304" t="s">
        <v>40</v>
      </c>
      <c r="E89" s="265"/>
      <c r="F89" s="266">
        <f t="shared" ref="F89:F92" si="21">SUM(G89:O89)</f>
        <v>0</v>
      </c>
      <c r="G89" s="265">
        <v>0</v>
      </c>
      <c r="H89" s="265">
        <v>0</v>
      </c>
      <c r="I89" s="361">
        <v>0</v>
      </c>
      <c r="J89" s="361"/>
      <c r="K89" s="361"/>
      <c r="L89" s="361"/>
      <c r="M89" s="361"/>
      <c r="N89" s="265">
        <v>0</v>
      </c>
      <c r="O89" s="265">
        <v>0</v>
      </c>
      <c r="P89" s="371" t="s">
        <v>3</v>
      </c>
    </row>
    <row r="90" spans="1:17" s="302" customFormat="1" ht="34.5" x14ac:dyDescent="0.25">
      <c r="A90" s="416"/>
      <c r="B90" s="368"/>
      <c r="C90" s="370"/>
      <c r="D90" s="304" t="s">
        <v>1</v>
      </c>
      <c r="E90" s="265"/>
      <c r="F90" s="266">
        <f t="shared" si="21"/>
        <v>0</v>
      </c>
      <c r="G90" s="265">
        <v>0</v>
      </c>
      <c r="H90" s="265">
        <v>0</v>
      </c>
      <c r="I90" s="361">
        <v>0</v>
      </c>
      <c r="J90" s="361"/>
      <c r="K90" s="361"/>
      <c r="L90" s="361"/>
      <c r="M90" s="361"/>
      <c r="N90" s="265">
        <v>0</v>
      </c>
      <c r="O90" s="265">
        <v>0</v>
      </c>
      <c r="P90" s="371"/>
    </row>
    <row r="91" spans="1:17" s="302" customFormat="1" ht="51.75" x14ac:dyDescent="0.25">
      <c r="A91" s="416"/>
      <c r="B91" s="368"/>
      <c r="C91" s="370"/>
      <c r="D91" s="305" t="s">
        <v>47</v>
      </c>
      <c r="E91" s="265">
        <v>0</v>
      </c>
      <c r="F91" s="266">
        <f t="shared" si="21"/>
        <v>17218.855199999998</v>
      </c>
      <c r="G91" s="265">
        <v>2802.8159999999998</v>
      </c>
      <c r="H91" s="265">
        <v>3311.1624000000002</v>
      </c>
      <c r="I91" s="361">
        <v>3701.6255999999998</v>
      </c>
      <c r="J91" s="361"/>
      <c r="K91" s="361"/>
      <c r="L91" s="361"/>
      <c r="M91" s="361"/>
      <c r="N91" s="265">
        <f t="shared" ref="N91:O91" si="22">3325+376.6256</f>
        <v>3701.6255999999998</v>
      </c>
      <c r="O91" s="265">
        <f t="shared" si="22"/>
        <v>3701.6255999999998</v>
      </c>
      <c r="P91" s="371"/>
    </row>
    <row r="92" spans="1:17" s="302" customFormat="1" ht="42" customHeight="1" x14ac:dyDescent="0.25">
      <c r="A92" s="416"/>
      <c r="B92" s="368"/>
      <c r="C92" s="370"/>
      <c r="D92" s="305" t="s">
        <v>87</v>
      </c>
      <c r="E92" s="265"/>
      <c r="F92" s="266">
        <f t="shared" si="21"/>
        <v>0</v>
      </c>
      <c r="G92" s="265">
        <v>0</v>
      </c>
      <c r="H92" s="265">
        <v>0</v>
      </c>
      <c r="I92" s="361">
        <v>0</v>
      </c>
      <c r="J92" s="361"/>
      <c r="K92" s="361"/>
      <c r="L92" s="361"/>
      <c r="M92" s="361"/>
      <c r="N92" s="265">
        <v>0</v>
      </c>
      <c r="O92" s="265">
        <v>0</v>
      </c>
      <c r="P92" s="371"/>
    </row>
    <row r="93" spans="1:17" s="302" customFormat="1" ht="27" customHeight="1" x14ac:dyDescent="0.25">
      <c r="A93" s="416"/>
      <c r="B93" s="317" t="s">
        <v>156</v>
      </c>
      <c r="C93" s="318" t="s">
        <v>116</v>
      </c>
      <c r="D93" s="319" t="s">
        <v>116</v>
      </c>
      <c r="E93" s="264"/>
      <c r="F93" s="362" t="s">
        <v>117</v>
      </c>
      <c r="G93" s="262" t="s">
        <v>247</v>
      </c>
      <c r="H93" s="262" t="s">
        <v>248</v>
      </c>
      <c r="I93" s="321" t="s">
        <v>123</v>
      </c>
      <c r="J93" s="316" t="s">
        <v>118</v>
      </c>
      <c r="K93" s="316"/>
      <c r="L93" s="316"/>
      <c r="M93" s="316"/>
      <c r="N93" s="262" t="s">
        <v>124</v>
      </c>
      <c r="O93" s="262" t="s">
        <v>125</v>
      </c>
      <c r="P93" s="322" t="s">
        <v>116</v>
      </c>
      <c r="Q93" s="303"/>
    </row>
    <row r="94" spans="1:17" s="302" customFormat="1" ht="22.5" customHeight="1" x14ac:dyDescent="0.25">
      <c r="A94" s="416"/>
      <c r="B94" s="317"/>
      <c r="C94" s="318"/>
      <c r="D94" s="319"/>
      <c r="E94" s="264"/>
      <c r="F94" s="362"/>
      <c r="G94" s="264"/>
      <c r="H94" s="264"/>
      <c r="I94" s="321"/>
      <c r="J94" s="264" t="s">
        <v>119</v>
      </c>
      <c r="K94" s="264" t="s">
        <v>120</v>
      </c>
      <c r="L94" s="264" t="s">
        <v>121</v>
      </c>
      <c r="M94" s="264" t="s">
        <v>122</v>
      </c>
      <c r="N94" s="264"/>
      <c r="O94" s="264"/>
      <c r="P94" s="322"/>
      <c r="Q94" s="303"/>
    </row>
    <row r="95" spans="1:17" s="302" customFormat="1" ht="26.25" customHeight="1" x14ac:dyDescent="0.25">
      <c r="A95" s="416"/>
      <c r="B95" s="317"/>
      <c r="C95" s="318"/>
      <c r="D95" s="319"/>
      <c r="E95" s="264"/>
      <c r="F95" s="189">
        <v>100</v>
      </c>
      <c r="G95" s="189">
        <v>100</v>
      </c>
      <c r="H95" s="189">
        <v>100</v>
      </c>
      <c r="I95" s="189">
        <v>100</v>
      </c>
      <c r="J95" s="189">
        <v>100</v>
      </c>
      <c r="K95" s="189">
        <v>100</v>
      </c>
      <c r="L95" s="189">
        <v>100</v>
      </c>
      <c r="M95" s="189">
        <v>100</v>
      </c>
      <c r="N95" s="189">
        <v>100</v>
      </c>
      <c r="O95" s="189">
        <v>100</v>
      </c>
      <c r="P95" s="322"/>
      <c r="Q95" s="303"/>
    </row>
    <row r="96" spans="1:17" s="302" customFormat="1" ht="36.75" customHeight="1" x14ac:dyDescent="0.25">
      <c r="A96" s="415" t="s">
        <v>77</v>
      </c>
      <c r="B96" s="413" t="s">
        <v>218</v>
      </c>
      <c r="C96" s="408" t="s">
        <v>86</v>
      </c>
      <c r="D96" s="304" t="s">
        <v>40</v>
      </c>
      <c r="E96" s="265"/>
      <c r="F96" s="261">
        <f t="shared" ref="F96:F102" si="23">SUM(G96:O96)</f>
        <v>0</v>
      </c>
      <c r="G96" s="265">
        <v>0</v>
      </c>
      <c r="H96" s="265">
        <v>0</v>
      </c>
      <c r="I96" s="361">
        <v>0</v>
      </c>
      <c r="J96" s="361"/>
      <c r="K96" s="361"/>
      <c r="L96" s="361"/>
      <c r="M96" s="361"/>
      <c r="N96" s="265">
        <v>0</v>
      </c>
      <c r="O96" s="265">
        <v>0</v>
      </c>
      <c r="P96" s="367" t="s">
        <v>60</v>
      </c>
    </row>
    <row r="97" spans="1:17" s="302" customFormat="1" ht="37.5" customHeight="1" x14ac:dyDescent="0.25">
      <c r="A97" s="415"/>
      <c r="B97" s="413"/>
      <c r="C97" s="408"/>
      <c r="D97" s="304" t="s">
        <v>1</v>
      </c>
      <c r="E97" s="261"/>
      <c r="F97" s="261">
        <f t="shared" si="23"/>
        <v>0</v>
      </c>
      <c r="G97" s="261">
        <v>0</v>
      </c>
      <c r="H97" s="261">
        <v>0</v>
      </c>
      <c r="I97" s="330">
        <f>2449-2449</f>
        <v>0</v>
      </c>
      <c r="J97" s="330"/>
      <c r="K97" s="330"/>
      <c r="L97" s="330"/>
      <c r="M97" s="330"/>
      <c r="N97" s="261">
        <v>0</v>
      </c>
      <c r="O97" s="261">
        <v>0</v>
      </c>
      <c r="P97" s="367"/>
    </row>
    <row r="98" spans="1:17" s="302" customFormat="1" ht="51.75" x14ac:dyDescent="0.25">
      <c r="A98" s="415"/>
      <c r="B98" s="413"/>
      <c r="C98" s="408"/>
      <c r="D98" s="304" t="s">
        <v>48</v>
      </c>
      <c r="E98" s="261">
        <f>711549.13716</f>
        <v>711549.13716000004</v>
      </c>
      <c r="F98" s="261">
        <f t="shared" si="23"/>
        <v>13327757.28083</v>
      </c>
      <c r="G98" s="261">
        <v>2050637.3603300001</v>
      </c>
      <c r="H98" s="261">
        <v>2431241.8484999998</v>
      </c>
      <c r="I98" s="330">
        <v>2946620.0240000002</v>
      </c>
      <c r="J98" s="330"/>
      <c r="K98" s="330"/>
      <c r="L98" s="330"/>
      <c r="M98" s="330"/>
      <c r="N98" s="261">
        <v>2949629.0240000002</v>
      </c>
      <c r="O98" s="261">
        <v>2949629.0240000002</v>
      </c>
      <c r="P98" s="367"/>
    </row>
    <row r="99" spans="1:17" s="302" customFormat="1" ht="78" customHeight="1" x14ac:dyDescent="0.25">
      <c r="A99" s="415"/>
      <c r="B99" s="413"/>
      <c r="C99" s="408"/>
      <c r="D99" s="304" t="s">
        <v>59</v>
      </c>
      <c r="E99" s="261">
        <v>0</v>
      </c>
      <c r="F99" s="261">
        <f t="shared" si="23"/>
        <v>2794733.9160000002</v>
      </c>
      <c r="G99" s="269">
        <v>412508.91600000003</v>
      </c>
      <c r="H99" s="269">
        <v>492444</v>
      </c>
      <c r="I99" s="459">
        <v>629927</v>
      </c>
      <c r="J99" s="459"/>
      <c r="K99" s="459"/>
      <c r="L99" s="459"/>
      <c r="M99" s="459"/>
      <c r="N99" s="269">
        <v>629927</v>
      </c>
      <c r="O99" s="269">
        <v>629927</v>
      </c>
      <c r="P99" s="367"/>
    </row>
    <row r="100" spans="1:17" s="302" customFormat="1" ht="39.75" customHeight="1" x14ac:dyDescent="0.25">
      <c r="A100" s="415"/>
      <c r="B100" s="413"/>
      <c r="C100" s="408"/>
      <c r="D100" s="304" t="s">
        <v>87</v>
      </c>
      <c r="E100" s="261"/>
      <c r="F100" s="261">
        <f t="shared" si="23"/>
        <v>3023894.5066200001</v>
      </c>
      <c r="G100" s="261">
        <f t="shared" ref="G100" si="24">G101+G102</f>
        <v>493095.91868</v>
      </c>
      <c r="H100" s="261">
        <v>649615.71250000002</v>
      </c>
      <c r="I100" s="330">
        <f>I101+I102</f>
        <v>627060.95847999991</v>
      </c>
      <c r="J100" s="330"/>
      <c r="K100" s="330"/>
      <c r="L100" s="330"/>
      <c r="M100" s="330"/>
      <c r="N100" s="261">
        <f>N101+N102</f>
        <v>627060.95847999991</v>
      </c>
      <c r="O100" s="261">
        <f>O101+O102</f>
        <v>627060.95847999991</v>
      </c>
      <c r="P100" s="367"/>
    </row>
    <row r="101" spans="1:17" s="302" customFormat="1" ht="96" customHeight="1" x14ac:dyDescent="0.25">
      <c r="A101" s="415"/>
      <c r="B101" s="413"/>
      <c r="C101" s="408"/>
      <c r="D101" s="306" t="s">
        <v>88</v>
      </c>
      <c r="E101" s="265">
        <v>262352.43170000002</v>
      </c>
      <c r="F101" s="261">
        <f t="shared" si="23"/>
        <v>2902166.7026199996</v>
      </c>
      <c r="G101" s="268">
        <v>469940.35668000003</v>
      </c>
      <c r="H101" s="268">
        <v>625121.01850000001</v>
      </c>
      <c r="I101" s="396">
        <v>602368.44247999997</v>
      </c>
      <c r="J101" s="396"/>
      <c r="K101" s="396"/>
      <c r="L101" s="396"/>
      <c r="M101" s="396"/>
      <c r="N101" s="268">
        <v>602368.44247999997</v>
      </c>
      <c r="O101" s="309">
        <v>602368.44247999997</v>
      </c>
      <c r="P101" s="367"/>
    </row>
    <row r="102" spans="1:17" s="302" customFormat="1" ht="77.25" customHeight="1" x14ac:dyDescent="0.25">
      <c r="A102" s="415"/>
      <c r="B102" s="413"/>
      <c r="C102" s="408"/>
      <c r="D102" s="306" t="s">
        <v>89</v>
      </c>
      <c r="E102" s="265">
        <v>8751.5480000000007</v>
      </c>
      <c r="F102" s="261">
        <f t="shared" si="23"/>
        <v>121727.804</v>
      </c>
      <c r="G102" s="268">
        <v>23155.562000000002</v>
      </c>
      <c r="H102" s="268">
        <v>24494.694</v>
      </c>
      <c r="I102" s="396">
        <v>24692.516</v>
      </c>
      <c r="J102" s="396"/>
      <c r="K102" s="396"/>
      <c r="L102" s="396"/>
      <c r="M102" s="396"/>
      <c r="N102" s="268">
        <v>24692.516</v>
      </c>
      <c r="O102" s="268">
        <v>24692.516</v>
      </c>
      <c r="P102" s="367"/>
      <c r="Q102" s="307"/>
    </row>
    <row r="103" spans="1:17" s="302" customFormat="1" ht="27.75" customHeight="1" x14ac:dyDescent="0.25">
      <c r="A103" s="415"/>
      <c r="B103" s="317" t="s">
        <v>234</v>
      </c>
      <c r="C103" s="318" t="s">
        <v>116</v>
      </c>
      <c r="D103" s="319" t="s">
        <v>116</v>
      </c>
      <c r="E103" s="264"/>
      <c r="F103" s="362" t="s">
        <v>117</v>
      </c>
      <c r="G103" s="262" t="s">
        <v>247</v>
      </c>
      <c r="H103" s="262" t="s">
        <v>248</v>
      </c>
      <c r="I103" s="321" t="s">
        <v>123</v>
      </c>
      <c r="J103" s="316" t="s">
        <v>118</v>
      </c>
      <c r="K103" s="316"/>
      <c r="L103" s="316"/>
      <c r="M103" s="316"/>
      <c r="N103" s="262" t="s">
        <v>124</v>
      </c>
      <c r="O103" s="262" t="s">
        <v>125</v>
      </c>
      <c r="P103" s="322" t="s">
        <v>116</v>
      </c>
      <c r="Q103" s="303"/>
    </row>
    <row r="104" spans="1:17" s="302" customFormat="1" ht="24" customHeight="1" x14ac:dyDescent="0.25">
      <c r="A104" s="415"/>
      <c r="B104" s="317"/>
      <c r="C104" s="318"/>
      <c r="D104" s="319"/>
      <c r="E104" s="264"/>
      <c r="F104" s="362"/>
      <c r="G104" s="264"/>
      <c r="H104" s="264"/>
      <c r="I104" s="321"/>
      <c r="J104" s="264" t="s">
        <v>119</v>
      </c>
      <c r="K104" s="264" t="s">
        <v>120</v>
      </c>
      <c r="L104" s="264" t="s">
        <v>121</v>
      </c>
      <c r="M104" s="264" t="s">
        <v>122</v>
      </c>
      <c r="N104" s="264"/>
      <c r="O104" s="264"/>
      <c r="P104" s="322"/>
      <c r="Q104" s="303"/>
    </row>
    <row r="105" spans="1:17" s="302" customFormat="1" ht="29.25" customHeight="1" x14ac:dyDescent="0.25">
      <c r="A105" s="415"/>
      <c r="B105" s="317"/>
      <c r="C105" s="318"/>
      <c r="D105" s="319"/>
      <c r="E105" s="264"/>
      <c r="F105" s="189">
        <v>39</v>
      </c>
      <c r="G105" s="189">
        <v>39</v>
      </c>
      <c r="H105" s="189">
        <v>39</v>
      </c>
      <c r="I105" s="189">
        <v>39</v>
      </c>
      <c r="J105" s="189">
        <v>39</v>
      </c>
      <c r="K105" s="189">
        <v>39</v>
      </c>
      <c r="L105" s="189">
        <v>39</v>
      </c>
      <c r="M105" s="189">
        <v>39</v>
      </c>
      <c r="N105" s="189">
        <v>39</v>
      </c>
      <c r="O105" s="189">
        <v>39</v>
      </c>
      <c r="P105" s="322"/>
      <c r="Q105" s="303"/>
    </row>
    <row r="106" spans="1:17" s="302" customFormat="1" ht="36" customHeight="1" x14ac:dyDescent="0.25">
      <c r="A106" s="416" t="s">
        <v>78</v>
      </c>
      <c r="B106" s="368" t="s">
        <v>219</v>
      </c>
      <c r="C106" s="370" t="s">
        <v>86</v>
      </c>
      <c r="D106" s="306" t="s">
        <v>40</v>
      </c>
      <c r="E106" s="265"/>
      <c r="F106" s="266">
        <f t="shared" ref="F106:F109" si="25">SUM(G106:O106)</f>
        <v>0</v>
      </c>
      <c r="G106" s="265">
        <v>0</v>
      </c>
      <c r="H106" s="265">
        <v>0</v>
      </c>
      <c r="I106" s="361">
        <v>0</v>
      </c>
      <c r="J106" s="361"/>
      <c r="K106" s="361"/>
      <c r="L106" s="361"/>
      <c r="M106" s="361"/>
      <c r="N106" s="265">
        <v>0</v>
      </c>
      <c r="O106" s="265">
        <v>0</v>
      </c>
      <c r="P106" s="371" t="s">
        <v>90</v>
      </c>
      <c r="Q106" s="307"/>
    </row>
    <row r="107" spans="1:17" s="302" customFormat="1" ht="32.25" customHeight="1" x14ac:dyDescent="0.25">
      <c r="A107" s="416"/>
      <c r="B107" s="368"/>
      <c r="C107" s="370"/>
      <c r="D107" s="306" t="s">
        <v>1</v>
      </c>
      <c r="E107" s="265"/>
      <c r="F107" s="266">
        <f t="shared" si="25"/>
        <v>56000</v>
      </c>
      <c r="G107" s="265">
        <v>0</v>
      </c>
      <c r="H107" s="265">
        <v>56000</v>
      </c>
      <c r="I107" s="361">
        <v>0</v>
      </c>
      <c r="J107" s="361"/>
      <c r="K107" s="361"/>
      <c r="L107" s="361"/>
      <c r="M107" s="361"/>
      <c r="N107" s="265">
        <v>0</v>
      </c>
      <c r="O107" s="265">
        <v>0</v>
      </c>
      <c r="P107" s="371"/>
      <c r="Q107" s="307"/>
    </row>
    <row r="108" spans="1:17" s="302" customFormat="1" ht="51.75" x14ac:dyDescent="0.25">
      <c r="A108" s="416"/>
      <c r="B108" s="368"/>
      <c r="C108" s="370"/>
      <c r="D108" s="305" t="s">
        <v>47</v>
      </c>
      <c r="E108" s="265">
        <v>0</v>
      </c>
      <c r="F108" s="266">
        <f t="shared" si="25"/>
        <v>1036604.2535400001</v>
      </c>
      <c r="G108" s="265">
        <v>46658.988669999999</v>
      </c>
      <c r="H108" s="265">
        <v>242111.66776000001</v>
      </c>
      <c r="I108" s="361">
        <v>227593.59711</v>
      </c>
      <c r="J108" s="361"/>
      <c r="K108" s="361"/>
      <c r="L108" s="361"/>
      <c r="M108" s="361"/>
      <c r="N108" s="265">
        <v>260120</v>
      </c>
      <c r="O108" s="265">
        <v>260120</v>
      </c>
      <c r="P108" s="371"/>
    </row>
    <row r="109" spans="1:17" s="302" customFormat="1" ht="33.75" customHeight="1" x14ac:dyDescent="0.25">
      <c r="A109" s="416"/>
      <c r="B109" s="368"/>
      <c r="C109" s="370"/>
      <c r="D109" s="304" t="s">
        <v>87</v>
      </c>
      <c r="E109" s="265"/>
      <c r="F109" s="266">
        <f t="shared" si="25"/>
        <v>0</v>
      </c>
      <c r="G109" s="265">
        <v>0</v>
      </c>
      <c r="H109" s="265">
        <v>0</v>
      </c>
      <c r="I109" s="361">
        <v>0</v>
      </c>
      <c r="J109" s="361"/>
      <c r="K109" s="361"/>
      <c r="L109" s="361"/>
      <c r="M109" s="361"/>
      <c r="N109" s="265">
        <v>0</v>
      </c>
      <c r="O109" s="265">
        <v>0</v>
      </c>
      <c r="P109" s="371"/>
    </row>
    <row r="110" spans="1:17" s="302" customFormat="1" ht="27" customHeight="1" x14ac:dyDescent="0.25">
      <c r="A110" s="416"/>
      <c r="B110" s="317" t="s">
        <v>153</v>
      </c>
      <c r="C110" s="318" t="s">
        <v>116</v>
      </c>
      <c r="D110" s="319" t="s">
        <v>116</v>
      </c>
      <c r="E110" s="264"/>
      <c r="F110" s="362" t="s">
        <v>117</v>
      </c>
      <c r="G110" s="262" t="s">
        <v>247</v>
      </c>
      <c r="H110" s="262" t="s">
        <v>248</v>
      </c>
      <c r="I110" s="321" t="s">
        <v>123</v>
      </c>
      <c r="J110" s="316" t="s">
        <v>118</v>
      </c>
      <c r="K110" s="316"/>
      <c r="L110" s="316"/>
      <c r="M110" s="316"/>
      <c r="N110" s="262" t="s">
        <v>124</v>
      </c>
      <c r="O110" s="262" t="s">
        <v>125</v>
      </c>
      <c r="P110" s="322" t="s">
        <v>116</v>
      </c>
      <c r="Q110" s="303"/>
    </row>
    <row r="111" spans="1:17" s="302" customFormat="1" ht="21.75" customHeight="1" x14ac:dyDescent="0.25">
      <c r="A111" s="416"/>
      <c r="B111" s="317"/>
      <c r="C111" s="318"/>
      <c r="D111" s="319"/>
      <c r="E111" s="264"/>
      <c r="F111" s="362"/>
      <c r="G111" s="264"/>
      <c r="H111" s="264"/>
      <c r="I111" s="321"/>
      <c r="J111" s="264" t="s">
        <v>119</v>
      </c>
      <c r="K111" s="264" t="s">
        <v>120</v>
      </c>
      <c r="L111" s="264" t="s">
        <v>121</v>
      </c>
      <c r="M111" s="264" t="s">
        <v>122</v>
      </c>
      <c r="N111" s="264"/>
      <c r="O111" s="264"/>
      <c r="P111" s="322"/>
      <c r="Q111" s="303"/>
    </row>
    <row r="112" spans="1:17" s="302" customFormat="1" ht="27" customHeight="1" x14ac:dyDescent="0.25">
      <c r="A112" s="416"/>
      <c r="B112" s="317"/>
      <c r="C112" s="318"/>
      <c r="D112" s="319"/>
      <c r="E112" s="264"/>
      <c r="F112" s="189">
        <f>I112+H112+G112+N112+O112</f>
        <v>132</v>
      </c>
      <c r="G112" s="189">
        <v>16</v>
      </c>
      <c r="H112" s="189">
        <v>29</v>
      </c>
      <c r="I112" s="189">
        <v>29</v>
      </c>
      <c r="J112" s="189">
        <v>0</v>
      </c>
      <c r="K112" s="189">
        <v>0</v>
      </c>
      <c r="L112" s="189">
        <v>0</v>
      </c>
      <c r="M112" s="189">
        <v>29</v>
      </c>
      <c r="N112" s="189">
        <v>29</v>
      </c>
      <c r="O112" s="189">
        <v>29</v>
      </c>
      <c r="P112" s="322"/>
      <c r="Q112" s="303"/>
    </row>
    <row r="113" spans="1:17" s="302" customFormat="1" ht="40.5" customHeight="1" x14ac:dyDescent="0.25">
      <c r="A113" s="416" t="s">
        <v>79</v>
      </c>
      <c r="B113" s="368" t="s">
        <v>232</v>
      </c>
      <c r="C113" s="370" t="s">
        <v>86</v>
      </c>
      <c r="D113" s="304" t="s">
        <v>40</v>
      </c>
      <c r="E113" s="265"/>
      <c r="F113" s="266">
        <f t="shared" ref="F113:F116" si="26">SUM(G113:O113)</f>
        <v>0</v>
      </c>
      <c r="G113" s="265">
        <v>0</v>
      </c>
      <c r="H113" s="265">
        <v>0</v>
      </c>
      <c r="I113" s="361">
        <v>0</v>
      </c>
      <c r="J113" s="361"/>
      <c r="K113" s="361"/>
      <c r="L113" s="361"/>
      <c r="M113" s="361"/>
      <c r="N113" s="265">
        <v>0</v>
      </c>
      <c r="O113" s="265">
        <v>0</v>
      </c>
      <c r="P113" s="371" t="s">
        <v>3</v>
      </c>
      <c r="Q113" s="308"/>
    </row>
    <row r="114" spans="1:17" s="302" customFormat="1" ht="34.5" x14ac:dyDescent="0.25">
      <c r="A114" s="416"/>
      <c r="B114" s="368"/>
      <c r="C114" s="370"/>
      <c r="D114" s="304" t="s">
        <v>1</v>
      </c>
      <c r="E114" s="265"/>
      <c r="F114" s="266">
        <f t="shared" si="26"/>
        <v>0</v>
      </c>
      <c r="G114" s="265">
        <v>0</v>
      </c>
      <c r="H114" s="265">
        <v>0</v>
      </c>
      <c r="I114" s="361">
        <v>0</v>
      </c>
      <c r="J114" s="361"/>
      <c r="K114" s="361"/>
      <c r="L114" s="361"/>
      <c r="M114" s="361"/>
      <c r="N114" s="265">
        <v>0</v>
      </c>
      <c r="O114" s="265">
        <v>0</v>
      </c>
      <c r="P114" s="371"/>
    </row>
    <row r="115" spans="1:17" s="302" customFormat="1" ht="51.75" x14ac:dyDescent="0.25">
      <c r="A115" s="416"/>
      <c r="B115" s="368"/>
      <c r="C115" s="370"/>
      <c r="D115" s="305" t="s">
        <v>47</v>
      </c>
      <c r="E115" s="265">
        <v>0</v>
      </c>
      <c r="F115" s="266">
        <f t="shared" si="26"/>
        <v>2372051.4321699999</v>
      </c>
      <c r="G115" s="265">
        <v>360185.28365</v>
      </c>
      <c r="H115" s="265">
        <v>446078.51971999998</v>
      </c>
      <c r="I115" s="361">
        <v>521929.2096</v>
      </c>
      <c r="J115" s="361"/>
      <c r="K115" s="361"/>
      <c r="L115" s="361"/>
      <c r="M115" s="361"/>
      <c r="N115" s="265">
        <f t="shared" ref="N115:O115" si="27">470554+51375.2096</f>
        <v>521929.2096</v>
      </c>
      <c r="O115" s="265">
        <f t="shared" si="27"/>
        <v>521929.2096</v>
      </c>
      <c r="P115" s="371"/>
    </row>
    <row r="116" spans="1:17" s="302" customFormat="1" ht="34.5" x14ac:dyDescent="0.25">
      <c r="A116" s="416"/>
      <c r="B116" s="368"/>
      <c r="C116" s="370"/>
      <c r="D116" s="305" t="s">
        <v>87</v>
      </c>
      <c r="E116" s="265"/>
      <c r="F116" s="266">
        <f t="shared" si="26"/>
        <v>0</v>
      </c>
      <c r="G116" s="265">
        <v>0</v>
      </c>
      <c r="H116" s="265">
        <v>0</v>
      </c>
      <c r="I116" s="361">
        <v>0</v>
      </c>
      <c r="J116" s="361"/>
      <c r="K116" s="361"/>
      <c r="L116" s="361"/>
      <c r="M116" s="361"/>
      <c r="N116" s="265">
        <v>0</v>
      </c>
      <c r="O116" s="265">
        <v>0</v>
      </c>
      <c r="P116" s="371"/>
    </row>
    <row r="117" spans="1:17" s="302" customFormat="1" ht="27" customHeight="1" x14ac:dyDescent="0.25">
      <c r="A117" s="416"/>
      <c r="B117" s="317" t="s">
        <v>154</v>
      </c>
      <c r="C117" s="318" t="s">
        <v>116</v>
      </c>
      <c r="D117" s="319" t="s">
        <v>116</v>
      </c>
      <c r="E117" s="264"/>
      <c r="F117" s="362" t="s">
        <v>117</v>
      </c>
      <c r="G117" s="262" t="s">
        <v>247</v>
      </c>
      <c r="H117" s="262" t="s">
        <v>248</v>
      </c>
      <c r="I117" s="321" t="s">
        <v>123</v>
      </c>
      <c r="J117" s="316" t="s">
        <v>118</v>
      </c>
      <c r="K117" s="316"/>
      <c r="L117" s="316"/>
      <c r="M117" s="316"/>
      <c r="N117" s="262" t="s">
        <v>124</v>
      </c>
      <c r="O117" s="262" t="s">
        <v>125</v>
      </c>
      <c r="P117" s="322" t="s">
        <v>116</v>
      </c>
      <c r="Q117" s="303"/>
    </row>
    <row r="118" spans="1:17" s="302" customFormat="1" ht="22.5" customHeight="1" x14ac:dyDescent="0.25">
      <c r="A118" s="416"/>
      <c r="B118" s="317"/>
      <c r="C118" s="318"/>
      <c r="D118" s="319"/>
      <c r="E118" s="264"/>
      <c r="F118" s="362"/>
      <c r="G118" s="264"/>
      <c r="H118" s="264"/>
      <c r="I118" s="321"/>
      <c r="J118" s="264" t="s">
        <v>119</v>
      </c>
      <c r="K118" s="264" t="s">
        <v>120</v>
      </c>
      <c r="L118" s="264" t="s">
        <v>121</v>
      </c>
      <c r="M118" s="264" t="s">
        <v>122</v>
      </c>
      <c r="N118" s="264"/>
      <c r="O118" s="264"/>
      <c r="P118" s="322"/>
      <c r="Q118" s="303"/>
    </row>
    <row r="119" spans="1:17" s="302" customFormat="1" ht="26.25" customHeight="1" x14ac:dyDescent="0.25">
      <c r="A119" s="416"/>
      <c r="B119" s="317"/>
      <c r="C119" s="318"/>
      <c r="D119" s="319"/>
      <c r="E119" s="264"/>
      <c r="F119" s="189">
        <v>100</v>
      </c>
      <c r="G119" s="189">
        <v>100</v>
      </c>
      <c r="H119" s="189">
        <v>100</v>
      </c>
      <c r="I119" s="189">
        <v>100</v>
      </c>
      <c r="J119" s="189">
        <v>100</v>
      </c>
      <c r="K119" s="189">
        <v>100</v>
      </c>
      <c r="L119" s="189">
        <v>100</v>
      </c>
      <c r="M119" s="189">
        <v>100</v>
      </c>
      <c r="N119" s="189">
        <v>100</v>
      </c>
      <c r="O119" s="189">
        <v>100</v>
      </c>
      <c r="P119" s="322"/>
      <c r="Q119" s="303"/>
    </row>
    <row r="120" spans="1:17" s="302" customFormat="1" ht="33.75" customHeight="1" x14ac:dyDescent="0.25">
      <c r="A120" s="416" t="s">
        <v>91</v>
      </c>
      <c r="B120" s="368" t="s">
        <v>233</v>
      </c>
      <c r="C120" s="370" t="s">
        <v>82</v>
      </c>
      <c r="D120" s="305" t="s">
        <v>40</v>
      </c>
      <c r="E120" s="265"/>
      <c r="F120" s="266">
        <f t="shared" ref="F120:F123" si="28">SUM(G120:O120)</f>
        <v>0</v>
      </c>
      <c r="G120" s="265">
        <v>0</v>
      </c>
      <c r="H120" s="265">
        <v>0</v>
      </c>
      <c r="I120" s="361">
        <v>0</v>
      </c>
      <c r="J120" s="361"/>
      <c r="K120" s="361"/>
      <c r="L120" s="361"/>
      <c r="M120" s="361"/>
      <c r="N120" s="265">
        <v>0</v>
      </c>
      <c r="O120" s="265">
        <v>0</v>
      </c>
      <c r="P120" s="323" t="s">
        <v>266</v>
      </c>
    </row>
    <row r="121" spans="1:17" s="302" customFormat="1" ht="34.5" x14ac:dyDescent="0.25">
      <c r="A121" s="416"/>
      <c r="B121" s="368"/>
      <c r="C121" s="370"/>
      <c r="D121" s="305" t="s">
        <v>1</v>
      </c>
      <c r="E121" s="265"/>
      <c r="F121" s="266">
        <f t="shared" si="28"/>
        <v>15141</v>
      </c>
      <c r="G121" s="265">
        <v>0</v>
      </c>
      <c r="H121" s="265">
        <v>0</v>
      </c>
      <c r="I121" s="361">
        <v>15141</v>
      </c>
      <c r="J121" s="361"/>
      <c r="K121" s="361"/>
      <c r="L121" s="361"/>
      <c r="M121" s="361"/>
      <c r="N121" s="265">
        <v>0</v>
      </c>
      <c r="O121" s="265">
        <v>0</v>
      </c>
      <c r="P121" s="323"/>
    </row>
    <row r="122" spans="1:17" s="302" customFormat="1" ht="51.75" x14ac:dyDescent="0.25">
      <c r="A122" s="416"/>
      <c r="B122" s="368"/>
      <c r="C122" s="370"/>
      <c r="D122" s="305" t="s">
        <v>47</v>
      </c>
      <c r="E122" s="265">
        <v>0</v>
      </c>
      <c r="F122" s="266">
        <f t="shared" si="28"/>
        <v>0</v>
      </c>
      <c r="G122" s="265">
        <v>0</v>
      </c>
      <c r="H122" s="265">
        <v>0</v>
      </c>
      <c r="I122" s="361">
        <v>0</v>
      </c>
      <c r="J122" s="361"/>
      <c r="K122" s="361"/>
      <c r="L122" s="361"/>
      <c r="M122" s="361"/>
      <c r="N122" s="265">
        <v>0</v>
      </c>
      <c r="O122" s="265">
        <v>0</v>
      </c>
      <c r="P122" s="323"/>
    </row>
    <row r="123" spans="1:17" s="302" customFormat="1" ht="34.5" x14ac:dyDescent="0.25">
      <c r="A123" s="416"/>
      <c r="B123" s="368"/>
      <c r="C123" s="370"/>
      <c r="D123" s="305" t="s">
        <v>87</v>
      </c>
      <c r="E123" s="265"/>
      <c r="F123" s="266">
        <f t="shared" si="28"/>
        <v>0</v>
      </c>
      <c r="G123" s="265">
        <v>0</v>
      </c>
      <c r="H123" s="265">
        <v>0</v>
      </c>
      <c r="I123" s="361">
        <v>0</v>
      </c>
      <c r="J123" s="361"/>
      <c r="K123" s="361"/>
      <c r="L123" s="361"/>
      <c r="M123" s="361"/>
      <c r="N123" s="265">
        <v>0</v>
      </c>
      <c r="O123" s="265">
        <v>0</v>
      </c>
      <c r="P123" s="323"/>
    </row>
    <row r="124" spans="1:17" s="302" customFormat="1" ht="48" customHeight="1" x14ac:dyDescent="0.25">
      <c r="A124" s="416"/>
      <c r="B124" s="317" t="s">
        <v>273</v>
      </c>
      <c r="C124" s="318" t="s">
        <v>116</v>
      </c>
      <c r="D124" s="319" t="s">
        <v>116</v>
      </c>
      <c r="E124" s="264"/>
      <c r="F124" s="362" t="s">
        <v>117</v>
      </c>
      <c r="G124" s="262" t="s">
        <v>247</v>
      </c>
      <c r="H124" s="262" t="s">
        <v>248</v>
      </c>
      <c r="I124" s="321" t="s">
        <v>123</v>
      </c>
      <c r="J124" s="316" t="s">
        <v>118</v>
      </c>
      <c r="K124" s="316"/>
      <c r="L124" s="316"/>
      <c r="M124" s="316"/>
      <c r="N124" s="262" t="s">
        <v>124</v>
      </c>
      <c r="O124" s="262" t="s">
        <v>125</v>
      </c>
      <c r="P124" s="322" t="s">
        <v>116</v>
      </c>
      <c r="Q124" s="303"/>
    </row>
    <row r="125" spans="1:17" s="302" customFormat="1" ht="52.5" customHeight="1" x14ac:dyDescent="0.25">
      <c r="A125" s="416"/>
      <c r="B125" s="317"/>
      <c r="C125" s="318"/>
      <c r="D125" s="319"/>
      <c r="E125" s="264"/>
      <c r="F125" s="362"/>
      <c r="G125" s="264"/>
      <c r="H125" s="264"/>
      <c r="I125" s="321"/>
      <c r="J125" s="264" t="s">
        <v>119</v>
      </c>
      <c r="K125" s="264" t="s">
        <v>120</v>
      </c>
      <c r="L125" s="264" t="s">
        <v>121</v>
      </c>
      <c r="M125" s="264" t="s">
        <v>122</v>
      </c>
      <c r="N125" s="264"/>
      <c r="O125" s="264"/>
      <c r="P125" s="322"/>
      <c r="Q125" s="303"/>
    </row>
    <row r="126" spans="1:17" s="302" customFormat="1" ht="52.5" customHeight="1" x14ac:dyDescent="0.25">
      <c r="A126" s="416"/>
      <c r="B126" s="317"/>
      <c r="C126" s="318"/>
      <c r="D126" s="319"/>
      <c r="E126" s="264"/>
      <c r="F126" s="189">
        <v>100</v>
      </c>
      <c r="G126" s="189">
        <v>0</v>
      </c>
      <c r="H126" s="189">
        <v>0</v>
      </c>
      <c r="I126" s="189">
        <v>100</v>
      </c>
      <c r="J126" s="189">
        <v>100</v>
      </c>
      <c r="K126" s="189">
        <v>100</v>
      </c>
      <c r="L126" s="189">
        <v>100</v>
      </c>
      <c r="M126" s="189">
        <v>100</v>
      </c>
      <c r="N126" s="189">
        <v>100</v>
      </c>
      <c r="O126" s="189">
        <v>100</v>
      </c>
      <c r="P126" s="322"/>
      <c r="Q126" s="303"/>
    </row>
    <row r="127" spans="1:17" s="302" customFormat="1" ht="33.75" customHeight="1" x14ac:dyDescent="0.25">
      <c r="A127" s="416" t="s">
        <v>92</v>
      </c>
      <c r="B127" s="368" t="s">
        <v>235</v>
      </c>
      <c r="C127" s="370" t="s">
        <v>268</v>
      </c>
      <c r="D127" s="305" t="s">
        <v>40</v>
      </c>
      <c r="E127" s="265"/>
      <c r="F127" s="266">
        <f t="shared" ref="F127:F130" si="29">SUM(G127:O127)</f>
        <v>0</v>
      </c>
      <c r="G127" s="265">
        <v>0</v>
      </c>
      <c r="H127" s="265">
        <v>0</v>
      </c>
      <c r="I127" s="361">
        <v>0</v>
      </c>
      <c r="J127" s="361"/>
      <c r="K127" s="361"/>
      <c r="L127" s="361"/>
      <c r="M127" s="361"/>
      <c r="N127" s="265">
        <v>0</v>
      </c>
      <c r="O127" s="265">
        <v>0</v>
      </c>
      <c r="P127" s="323" t="s">
        <v>266</v>
      </c>
    </row>
    <row r="128" spans="1:17" s="302" customFormat="1" ht="34.5" x14ac:dyDescent="0.25">
      <c r="A128" s="416"/>
      <c r="B128" s="368"/>
      <c r="C128" s="370"/>
      <c r="D128" s="305" t="s">
        <v>1</v>
      </c>
      <c r="E128" s="265"/>
      <c r="F128" s="266">
        <f t="shared" si="29"/>
        <v>1305972</v>
      </c>
      <c r="G128" s="265">
        <v>0</v>
      </c>
      <c r="H128" s="265">
        <v>0</v>
      </c>
      <c r="I128" s="361">
        <v>435324</v>
      </c>
      <c r="J128" s="361"/>
      <c r="K128" s="361"/>
      <c r="L128" s="361"/>
      <c r="M128" s="361"/>
      <c r="N128" s="265">
        <v>435324</v>
      </c>
      <c r="O128" s="265">
        <v>435324</v>
      </c>
      <c r="P128" s="323"/>
    </row>
    <row r="129" spans="1:20" s="302" customFormat="1" ht="51.75" x14ac:dyDescent="0.25">
      <c r="A129" s="416"/>
      <c r="B129" s="368"/>
      <c r="C129" s="370"/>
      <c r="D129" s="305" t="s">
        <v>47</v>
      </c>
      <c r="E129" s="265">
        <v>0</v>
      </c>
      <c r="F129" s="266">
        <f t="shared" si="29"/>
        <v>0</v>
      </c>
      <c r="G129" s="265">
        <v>0</v>
      </c>
      <c r="H129" s="265">
        <v>0</v>
      </c>
      <c r="I129" s="361">
        <v>0</v>
      </c>
      <c r="J129" s="361"/>
      <c r="K129" s="361"/>
      <c r="L129" s="361"/>
      <c r="M129" s="361"/>
      <c r="N129" s="265">
        <v>0</v>
      </c>
      <c r="O129" s="265">
        <v>0</v>
      </c>
      <c r="P129" s="323"/>
    </row>
    <row r="130" spans="1:20" s="302" customFormat="1" ht="42" customHeight="1" x14ac:dyDescent="0.25">
      <c r="A130" s="416"/>
      <c r="B130" s="368"/>
      <c r="C130" s="370"/>
      <c r="D130" s="305" t="s">
        <v>87</v>
      </c>
      <c r="E130" s="265"/>
      <c r="F130" s="266">
        <f t="shared" si="29"/>
        <v>0</v>
      </c>
      <c r="G130" s="265">
        <v>0</v>
      </c>
      <c r="H130" s="265">
        <v>0</v>
      </c>
      <c r="I130" s="361">
        <v>0</v>
      </c>
      <c r="J130" s="361"/>
      <c r="K130" s="361"/>
      <c r="L130" s="361"/>
      <c r="M130" s="361"/>
      <c r="N130" s="265">
        <v>0</v>
      </c>
      <c r="O130" s="265">
        <v>0</v>
      </c>
      <c r="P130" s="323"/>
    </row>
    <row r="131" spans="1:20" s="302" customFormat="1" ht="53.25" customHeight="1" x14ac:dyDescent="0.25">
      <c r="A131" s="416"/>
      <c r="B131" s="317" t="s">
        <v>274</v>
      </c>
      <c r="C131" s="318" t="s">
        <v>116</v>
      </c>
      <c r="D131" s="319" t="s">
        <v>116</v>
      </c>
      <c r="E131" s="264"/>
      <c r="F131" s="362" t="s">
        <v>117</v>
      </c>
      <c r="G131" s="262" t="s">
        <v>247</v>
      </c>
      <c r="H131" s="262" t="s">
        <v>248</v>
      </c>
      <c r="I131" s="321" t="s">
        <v>123</v>
      </c>
      <c r="J131" s="316" t="s">
        <v>118</v>
      </c>
      <c r="K131" s="316"/>
      <c r="L131" s="316"/>
      <c r="M131" s="316"/>
      <c r="N131" s="262" t="s">
        <v>124</v>
      </c>
      <c r="O131" s="262" t="s">
        <v>125</v>
      </c>
      <c r="P131" s="322" t="s">
        <v>116</v>
      </c>
      <c r="Q131" s="303"/>
    </row>
    <row r="132" spans="1:20" s="302" customFormat="1" ht="51" customHeight="1" x14ac:dyDescent="0.25">
      <c r="A132" s="416"/>
      <c r="B132" s="317"/>
      <c r="C132" s="318"/>
      <c r="D132" s="319"/>
      <c r="E132" s="264"/>
      <c r="F132" s="362"/>
      <c r="G132" s="264"/>
      <c r="H132" s="264"/>
      <c r="I132" s="321"/>
      <c r="J132" s="264" t="s">
        <v>119</v>
      </c>
      <c r="K132" s="264" t="s">
        <v>120</v>
      </c>
      <c r="L132" s="264" t="s">
        <v>121</v>
      </c>
      <c r="M132" s="264" t="s">
        <v>122</v>
      </c>
      <c r="N132" s="264"/>
      <c r="O132" s="264"/>
      <c r="P132" s="322"/>
      <c r="Q132" s="303"/>
    </row>
    <row r="133" spans="1:20" s="302" customFormat="1" ht="58.5" customHeight="1" x14ac:dyDescent="0.25">
      <c r="A133" s="416"/>
      <c r="B133" s="317"/>
      <c r="C133" s="318"/>
      <c r="D133" s="319"/>
      <c r="E133" s="264"/>
      <c r="F133" s="189">
        <v>100</v>
      </c>
      <c r="G133" s="189">
        <v>0</v>
      </c>
      <c r="H133" s="189">
        <v>0</v>
      </c>
      <c r="I133" s="189">
        <v>100</v>
      </c>
      <c r="J133" s="189">
        <v>100</v>
      </c>
      <c r="K133" s="189">
        <v>100</v>
      </c>
      <c r="L133" s="189">
        <v>100</v>
      </c>
      <c r="M133" s="189">
        <v>100</v>
      </c>
      <c r="N133" s="189">
        <v>100</v>
      </c>
      <c r="O133" s="189">
        <v>100</v>
      </c>
      <c r="P133" s="322"/>
      <c r="Q133" s="303"/>
    </row>
    <row r="134" spans="1:20" s="302" customFormat="1" ht="33.75" customHeight="1" x14ac:dyDescent="0.25">
      <c r="A134" s="416" t="s">
        <v>198</v>
      </c>
      <c r="B134" s="368" t="s">
        <v>236</v>
      </c>
      <c r="C134" s="370" t="s">
        <v>268</v>
      </c>
      <c r="D134" s="305" t="s">
        <v>40</v>
      </c>
      <c r="E134" s="265"/>
      <c r="F134" s="266">
        <f t="shared" ref="F134:F137" si="30">SUM(G134:O134)</f>
        <v>0</v>
      </c>
      <c r="G134" s="265">
        <v>0</v>
      </c>
      <c r="H134" s="265">
        <v>0</v>
      </c>
      <c r="I134" s="361">
        <v>0</v>
      </c>
      <c r="J134" s="361"/>
      <c r="K134" s="361"/>
      <c r="L134" s="361"/>
      <c r="M134" s="361"/>
      <c r="N134" s="265">
        <v>0</v>
      </c>
      <c r="O134" s="265">
        <v>0</v>
      </c>
      <c r="P134" s="367" t="s">
        <v>95</v>
      </c>
    </row>
    <row r="135" spans="1:20" s="302" customFormat="1" ht="39.75" customHeight="1" x14ac:dyDescent="0.25">
      <c r="A135" s="416"/>
      <c r="B135" s="368"/>
      <c r="C135" s="370"/>
      <c r="D135" s="305" t="s">
        <v>1</v>
      </c>
      <c r="E135" s="265"/>
      <c r="F135" s="266">
        <f t="shared" si="30"/>
        <v>0</v>
      </c>
      <c r="G135" s="265">
        <v>0</v>
      </c>
      <c r="H135" s="265">
        <v>0</v>
      </c>
      <c r="I135" s="361">
        <v>0</v>
      </c>
      <c r="J135" s="361"/>
      <c r="K135" s="361"/>
      <c r="L135" s="361"/>
      <c r="M135" s="361"/>
      <c r="N135" s="265">
        <v>0</v>
      </c>
      <c r="O135" s="265">
        <v>0</v>
      </c>
      <c r="P135" s="367"/>
    </row>
    <row r="136" spans="1:20" s="302" customFormat="1" ht="56.25" customHeight="1" x14ac:dyDescent="0.25">
      <c r="A136" s="416"/>
      <c r="B136" s="368"/>
      <c r="C136" s="370"/>
      <c r="D136" s="305" t="s">
        <v>47</v>
      </c>
      <c r="E136" s="265">
        <v>0</v>
      </c>
      <c r="F136" s="266">
        <f t="shared" si="30"/>
        <v>959232</v>
      </c>
      <c r="G136" s="265">
        <v>0</v>
      </c>
      <c r="H136" s="265">
        <v>0</v>
      </c>
      <c r="I136" s="361">
        <v>319744</v>
      </c>
      <c r="J136" s="361"/>
      <c r="K136" s="361"/>
      <c r="L136" s="361"/>
      <c r="M136" s="361"/>
      <c r="N136" s="265">
        <v>319744</v>
      </c>
      <c r="O136" s="265">
        <v>319744</v>
      </c>
      <c r="P136" s="367"/>
    </row>
    <row r="137" spans="1:20" s="302" customFormat="1" ht="48.75" customHeight="1" x14ac:dyDescent="0.25">
      <c r="A137" s="416"/>
      <c r="B137" s="368"/>
      <c r="C137" s="370"/>
      <c r="D137" s="305" t="s">
        <v>87</v>
      </c>
      <c r="E137" s="265"/>
      <c r="F137" s="266">
        <f t="shared" si="30"/>
        <v>0</v>
      </c>
      <c r="G137" s="265">
        <v>0</v>
      </c>
      <c r="H137" s="265">
        <v>0</v>
      </c>
      <c r="I137" s="361">
        <v>0</v>
      </c>
      <c r="J137" s="361"/>
      <c r="K137" s="361"/>
      <c r="L137" s="361"/>
      <c r="M137" s="361"/>
      <c r="N137" s="265">
        <v>0</v>
      </c>
      <c r="O137" s="265">
        <v>0</v>
      </c>
      <c r="P137" s="367"/>
    </row>
    <row r="138" spans="1:20" s="302" customFormat="1" ht="52.5" customHeight="1" x14ac:dyDescent="0.25">
      <c r="A138" s="416"/>
      <c r="B138" s="317" t="s">
        <v>160</v>
      </c>
      <c r="C138" s="318" t="s">
        <v>116</v>
      </c>
      <c r="D138" s="319" t="s">
        <v>116</v>
      </c>
      <c r="E138" s="264"/>
      <c r="F138" s="362" t="s">
        <v>117</v>
      </c>
      <c r="G138" s="262" t="s">
        <v>247</v>
      </c>
      <c r="H138" s="262" t="s">
        <v>248</v>
      </c>
      <c r="I138" s="321" t="s">
        <v>123</v>
      </c>
      <c r="J138" s="316" t="s">
        <v>118</v>
      </c>
      <c r="K138" s="316"/>
      <c r="L138" s="316"/>
      <c r="M138" s="316"/>
      <c r="N138" s="262" t="s">
        <v>124</v>
      </c>
      <c r="O138" s="262" t="s">
        <v>125</v>
      </c>
      <c r="P138" s="322" t="s">
        <v>116</v>
      </c>
      <c r="Q138" s="303"/>
    </row>
    <row r="139" spans="1:20" s="302" customFormat="1" ht="47.25" customHeight="1" x14ac:dyDescent="0.25">
      <c r="A139" s="416"/>
      <c r="B139" s="317"/>
      <c r="C139" s="318"/>
      <c r="D139" s="319"/>
      <c r="E139" s="264"/>
      <c r="F139" s="362"/>
      <c r="G139" s="264"/>
      <c r="H139" s="264"/>
      <c r="I139" s="321"/>
      <c r="J139" s="264" t="s">
        <v>119</v>
      </c>
      <c r="K139" s="264" t="s">
        <v>120</v>
      </c>
      <c r="L139" s="264" t="s">
        <v>121</v>
      </c>
      <c r="M139" s="264" t="s">
        <v>122</v>
      </c>
      <c r="N139" s="264"/>
      <c r="O139" s="264"/>
      <c r="P139" s="322"/>
      <c r="Q139" s="303"/>
    </row>
    <row r="140" spans="1:20" s="302" customFormat="1" ht="56.25" customHeight="1" x14ac:dyDescent="0.25">
      <c r="A140" s="416"/>
      <c r="B140" s="317"/>
      <c r="C140" s="318"/>
      <c r="D140" s="319"/>
      <c r="E140" s="264"/>
      <c r="F140" s="189">
        <v>100</v>
      </c>
      <c r="G140" s="189">
        <v>0</v>
      </c>
      <c r="H140" s="189">
        <v>0</v>
      </c>
      <c r="I140" s="189">
        <v>100</v>
      </c>
      <c r="J140" s="189">
        <v>100</v>
      </c>
      <c r="K140" s="189">
        <v>100</v>
      </c>
      <c r="L140" s="189">
        <v>100</v>
      </c>
      <c r="M140" s="189">
        <v>100</v>
      </c>
      <c r="N140" s="189">
        <v>100</v>
      </c>
      <c r="O140" s="189">
        <v>100</v>
      </c>
      <c r="P140" s="322"/>
      <c r="Q140" s="303"/>
    </row>
    <row r="141" spans="1:20" s="302" customFormat="1" ht="36" customHeight="1" x14ac:dyDescent="0.25">
      <c r="A141" s="416" t="s">
        <v>209</v>
      </c>
      <c r="B141" s="409" t="s">
        <v>237</v>
      </c>
      <c r="C141" s="356" t="s">
        <v>268</v>
      </c>
      <c r="D141" s="305" t="s">
        <v>40</v>
      </c>
      <c r="E141" s="267"/>
      <c r="F141" s="261">
        <f t="shared" ref="F141:F144" si="31">SUM(G141:O141)</f>
        <v>0</v>
      </c>
      <c r="G141" s="267">
        <v>0</v>
      </c>
      <c r="H141" s="267">
        <v>0</v>
      </c>
      <c r="I141" s="385">
        <v>0</v>
      </c>
      <c r="J141" s="385"/>
      <c r="K141" s="385"/>
      <c r="L141" s="385"/>
      <c r="M141" s="385"/>
      <c r="N141" s="267">
        <v>0</v>
      </c>
      <c r="O141" s="267">
        <v>0</v>
      </c>
      <c r="P141" s="323" t="s">
        <v>3</v>
      </c>
      <c r="T141" s="307"/>
    </row>
    <row r="142" spans="1:20" s="302" customFormat="1" ht="34.5" x14ac:dyDescent="0.25">
      <c r="A142" s="416"/>
      <c r="B142" s="409"/>
      <c r="C142" s="356"/>
      <c r="D142" s="301" t="s">
        <v>1</v>
      </c>
      <c r="E142" s="263">
        <v>34122</v>
      </c>
      <c r="F142" s="261">
        <f t="shared" si="31"/>
        <v>121848</v>
      </c>
      <c r="G142" s="263">
        <v>0</v>
      </c>
      <c r="H142" s="263">
        <v>0</v>
      </c>
      <c r="I142" s="324">
        <v>40616</v>
      </c>
      <c r="J142" s="324"/>
      <c r="K142" s="324"/>
      <c r="L142" s="324"/>
      <c r="M142" s="324"/>
      <c r="N142" s="263">
        <v>40616</v>
      </c>
      <c r="O142" s="263">
        <v>40616</v>
      </c>
      <c r="P142" s="323"/>
    </row>
    <row r="143" spans="1:20" s="302" customFormat="1" ht="51.75" x14ac:dyDescent="0.25">
      <c r="A143" s="416"/>
      <c r="B143" s="409"/>
      <c r="C143" s="356"/>
      <c r="D143" s="301" t="s">
        <v>47</v>
      </c>
      <c r="E143" s="263">
        <v>20473</v>
      </c>
      <c r="F143" s="261">
        <f t="shared" si="31"/>
        <v>75000</v>
      </c>
      <c r="G143" s="263">
        <v>0</v>
      </c>
      <c r="H143" s="263">
        <v>0</v>
      </c>
      <c r="I143" s="324">
        <v>25000</v>
      </c>
      <c r="J143" s="324"/>
      <c r="K143" s="324"/>
      <c r="L143" s="324"/>
      <c r="M143" s="324"/>
      <c r="N143" s="263">
        <v>25000</v>
      </c>
      <c r="O143" s="263">
        <v>25000</v>
      </c>
      <c r="P143" s="323"/>
    </row>
    <row r="144" spans="1:20" s="302" customFormat="1" ht="46.5" customHeight="1" x14ac:dyDescent="0.25">
      <c r="A144" s="416"/>
      <c r="B144" s="409"/>
      <c r="C144" s="356"/>
      <c r="D144" s="301" t="s">
        <v>87</v>
      </c>
      <c r="E144" s="263"/>
      <c r="F144" s="261">
        <f t="shared" si="31"/>
        <v>0</v>
      </c>
      <c r="G144" s="263">
        <v>0</v>
      </c>
      <c r="H144" s="263">
        <v>0</v>
      </c>
      <c r="I144" s="324">
        <v>0</v>
      </c>
      <c r="J144" s="324"/>
      <c r="K144" s="324"/>
      <c r="L144" s="324"/>
      <c r="M144" s="324"/>
      <c r="N144" s="263">
        <v>0</v>
      </c>
      <c r="O144" s="263">
        <v>0</v>
      </c>
      <c r="P144" s="323"/>
    </row>
    <row r="145" spans="1:21" s="302" customFormat="1" ht="92.25" customHeight="1" x14ac:dyDescent="0.25">
      <c r="A145" s="416"/>
      <c r="B145" s="317" t="s">
        <v>172</v>
      </c>
      <c r="C145" s="318" t="s">
        <v>116</v>
      </c>
      <c r="D145" s="319" t="s">
        <v>116</v>
      </c>
      <c r="E145" s="264"/>
      <c r="F145" s="362" t="s">
        <v>117</v>
      </c>
      <c r="G145" s="262" t="s">
        <v>247</v>
      </c>
      <c r="H145" s="262" t="s">
        <v>248</v>
      </c>
      <c r="I145" s="321" t="s">
        <v>123</v>
      </c>
      <c r="J145" s="316" t="s">
        <v>118</v>
      </c>
      <c r="K145" s="316"/>
      <c r="L145" s="316"/>
      <c r="M145" s="316"/>
      <c r="N145" s="262" t="s">
        <v>124</v>
      </c>
      <c r="O145" s="262" t="s">
        <v>125</v>
      </c>
      <c r="P145" s="322" t="s">
        <v>116</v>
      </c>
      <c r="Q145" s="303"/>
    </row>
    <row r="146" spans="1:21" s="302" customFormat="1" ht="33.950000000000003" customHeight="1" x14ac:dyDescent="0.25">
      <c r="A146" s="416"/>
      <c r="B146" s="317"/>
      <c r="C146" s="318"/>
      <c r="D146" s="319"/>
      <c r="E146" s="264"/>
      <c r="F146" s="362"/>
      <c r="G146" s="264"/>
      <c r="H146" s="264"/>
      <c r="I146" s="321"/>
      <c r="J146" s="264" t="s">
        <v>119</v>
      </c>
      <c r="K146" s="264" t="s">
        <v>120</v>
      </c>
      <c r="L146" s="264" t="s">
        <v>121</v>
      </c>
      <c r="M146" s="264" t="s">
        <v>122</v>
      </c>
      <c r="N146" s="264"/>
      <c r="O146" s="264"/>
      <c r="P146" s="322"/>
      <c r="Q146" s="303"/>
    </row>
    <row r="147" spans="1:21" s="302" customFormat="1" ht="151.5" customHeight="1" x14ac:dyDescent="0.25">
      <c r="A147" s="416"/>
      <c r="B147" s="317"/>
      <c r="C147" s="318"/>
      <c r="D147" s="319"/>
      <c r="E147" s="264"/>
      <c r="F147" s="189">
        <f>I147</f>
        <v>31</v>
      </c>
      <c r="G147" s="189">
        <v>0</v>
      </c>
      <c r="H147" s="189">
        <v>0</v>
      </c>
      <c r="I147" s="189">
        <v>31</v>
      </c>
      <c r="J147" s="189">
        <v>31</v>
      </c>
      <c r="K147" s="189">
        <v>31</v>
      </c>
      <c r="L147" s="189">
        <v>31</v>
      </c>
      <c r="M147" s="189">
        <v>31</v>
      </c>
      <c r="N147" s="189">
        <v>31</v>
      </c>
      <c r="O147" s="189">
        <v>31</v>
      </c>
      <c r="P147" s="322"/>
      <c r="Q147" s="303"/>
      <c r="S147" s="302">
        <f>770.61/2448.6*100</f>
        <v>31.471453075226663</v>
      </c>
    </row>
    <row r="148" spans="1:21" s="9" customFormat="1" ht="30" customHeight="1" x14ac:dyDescent="0.25">
      <c r="A148" s="406" t="s">
        <v>74</v>
      </c>
      <c r="B148" s="360" t="s">
        <v>93</v>
      </c>
      <c r="C148" s="360" t="s">
        <v>86</v>
      </c>
      <c r="D148" s="219" t="s">
        <v>2</v>
      </c>
      <c r="E148" s="142" t="e">
        <f>E150+E151+E149</f>
        <v>#REF!</v>
      </c>
      <c r="F148" s="156">
        <f>SUM(G148:O148)</f>
        <v>2856292.6616400005</v>
      </c>
      <c r="G148" s="205">
        <f t="shared" ref="G148:H148" si="32">G150+G151+G149+G152</f>
        <v>724828.87861999997</v>
      </c>
      <c r="H148" s="142">
        <f t="shared" si="32"/>
        <v>785105.55301999999</v>
      </c>
      <c r="I148" s="334">
        <f>I150+I151+I149+I152</f>
        <v>452639.34</v>
      </c>
      <c r="J148" s="334"/>
      <c r="K148" s="334"/>
      <c r="L148" s="334"/>
      <c r="M148" s="334"/>
      <c r="N148" s="142">
        <f t="shared" ref="N148:O148" si="33">N150+N151+N149+N152</f>
        <v>450380.11</v>
      </c>
      <c r="O148" s="142">
        <f t="shared" si="33"/>
        <v>443338.78</v>
      </c>
      <c r="P148" s="333"/>
      <c r="S148" s="113">
        <f>770.61/999.3*100</f>
        <v>77.114980486340443</v>
      </c>
      <c r="T148" s="45"/>
      <c r="U148" s="45"/>
    </row>
    <row r="149" spans="1:21" s="9" customFormat="1" ht="39.75" customHeight="1" x14ac:dyDescent="0.25">
      <c r="A149" s="406"/>
      <c r="B149" s="360"/>
      <c r="C149" s="360"/>
      <c r="D149" s="219" t="s">
        <v>40</v>
      </c>
      <c r="E149" s="143">
        <f>E167</f>
        <v>0</v>
      </c>
      <c r="F149" s="156">
        <f t="shared" ref="F149:F156" si="34">SUM(G149:O149)</f>
        <v>925902.21350000007</v>
      </c>
      <c r="G149" s="204">
        <f t="shared" ref="G149:H149" si="35">G153+G160+G167+G174+G181</f>
        <v>168810.5778</v>
      </c>
      <c r="H149" s="143">
        <f t="shared" si="35"/>
        <v>194255.56570000001</v>
      </c>
      <c r="I149" s="363">
        <f>I153+I160+I167+I174+I181</f>
        <v>199531.92</v>
      </c>
      <c r="J149" s="364"/>
      <c r="K149" s="364"/>
      <c r="L149" s="364"/>
      <c r="M149" s="365"/>
      <c r="N149" s="143">
        <f t="shared" ref="N149:O149" si="36">N153+N160+N167+N174+N181</f>
        <v>187166.76</v>
      </c>
      <c r="O149" s="143">
        <f t="shared" si="36"/>
        <v>176137.39</v>
      </c>
      <c r="P149" s="333"/>
      <c r="T149" s="45"/>
      <c r="U149" s="45"/>
    </row>
    <row r="150" spans="1:21" s="9" customFormat="1" ht="39.75" customHeight="1" x14ac:dyDescent="0.25">
      <c r="A150" s="406"/>
      <c r="B150" s="360"/>
      <c r="C150" s="360"/>
      <c r="D150" s="219" t="s">
        <v>1</v>
      </c>
      <c r="E150" s="143" t="e">
        <f>#REF!+E153+E154+E161+#REF!+#REF!+E168+E175</f>
        <v>#REF!</v>
      </c>
      <c r="F150" s="156">
        <f t="shared" si="34"/>
        <v>1187754.54617</v>
      </c>
      <c r="G150" s="204">
        <f>G154+G161+G168+G175+G182+G196+G189</f>
        <v>266250.13696999999</v>
      </c>
      <c r="H150" s="143">
        <f>H154+H161+H168+H175+H182+H196+H189</f>
        <v>326694.87919999997</v>
      </c>
      <c r="I150" s="363">
        <f>I154+I161+I168+I175+I182+I189+I196</f>
        <v>189877.88</v>
      </c>
      <c r="J150" s="364"/>
      <c r="K150" s="364"/>
      <c r="L150" s="364"/>
      <c r="M150" s="365"/>
      <c r="N150" s="143">
        <f t="shared" ref="N150:O150" si="37">N154+N161+N168+N175+N182+N196</f>
        <v>200150.74</v>
      </c>
      <c r="O150" s="143">
        <f t="shared" si="37"/>
        <v>204780.91</v>
      </c>
      <c r="P150" s="333"/>
      <c r="T150" s="45"/>
      <c r="U150" s="45"/>
    </row>
    <row r="151" spans="1:21" s="9" customFormat="1" ht="58.5" customHeight="1" x14ac:dyDescent="0.25">
      <c r="A151" s="406"/>
      <c r="B151" s="360"/>
      <c r="C151" s="360"/>
      <c r="D151" s="219" t="s">
        <v>48</v>
      </c>
      <c r="E151" s="143" t="e">
        <f>#REF!+E162+#REF!+#REF!+#REF!+E169+E176</f>
        <v>#REF!</v>
      </c>
      <c r="F151" s="156">
        <f t="shared" si="34"/>
        <v>742635.90197000001</v>
      </c>
      <c r="G151" s="204">
        <f>G155+G162+G169+G176+G183</f>
        <v>289768.16385000001</v>
      </c>
      <c r="H151" s="143">
        <f>H155+H162+H169+H176+H183</f>
        <v>264155.10811999999</v>
      </c>
      <c r="I151" s="328">
        <f>I155+I162+I169+I176+I183+I190+I197</f>
        <v>63229.54</v>
      </c>
      <c r="J151" s="328"/>
      <c r="K151" s="328"/>
      <c r="L151" s="328"/>
      <c r="M151" s="328"/>
      <c r="N151" s="143">
        <f>N155+N162+N169+N176+N183</f>
        <v>63062.61</v>
      </c>
      <c r="O151" s="143">
        <f t="shared" ref="O151" si="38">O155+O162+O169+O176+O183</f>
        <v>62420.480000000003</v>
      </c>
      <c r="P151" s="333"/>
      <c r="T151" s="45"/>
      <c r="U151" s="45"/>
    </row>
    <row r="152" spans="1:21" s="9" customFormat="1" ht="34.5" x14ac:dyDescent="0.25">
      <c r="A152" s="406"/>
      <c r="B152" s="360"/>
      <c r="C152" s="360"/>
      <c r="D152" s="219" t="s">
        <v>87</v>
      </c>
      <c r="E152" s="143"/>
      <c r="F152" s="156">
        <f t="shared" si="34"/>
        <v>0</v>
      </c>
      <c r="G152" s="204">
        <f t="shared" ref="G152:H152" si="39">G156+G163+G170+G177+G184</f>
        <v>0</v>
      </c>
      <c r="H152" s="143">
        <f t="shared" si="39"/>
        <v>0</v>
      </c>
      <c r="I152" s="328">
        <f>I156+I163+I170+I177+I184+I191+I198</f>
        <v>0</v>
      </c>
      <c r="J152" s="328"/>
      <c r="K152" s="328"/>
      <c r="L152" s="328"/>
      <c r="M152" s="328"/>
      <c r="N152" s="143">
        <f t="shared" ref="N152:O152" si="40">N156+N163+N170+N177+N184</f>
        <v>0</v>
      </c>
      <c r="O152" s="143">
        <f t="shared" si="40"/>
        <v>0</v>
      </c>
      <c r="P152" s="333"/>
      <c r="T152" s="45"/>
      <c r="U152" s="45"/>
    </row>
    <row r="153" spans="1:21" s="40" customFormat="1" ht="37.5" customHeight="1" x14ac:dyDescent="0.25">
      <c r="A153" s="403" t="s">
        <v>30</v>
      </c>
      <c r="B153" s="413" t="s">
        <v>94</v>
      </c>
      <c r="C153" s="408" t="s">
        <v>269</v>
      </c>
      <c r="D153" s="305" t="s">
        <v>40</v>
      </c>
      <c r="E153" s="289">
        <v>200475</v>
      </c>
      <c r="F153" s="310">
        <f>SUM(G153:O153)</f>
        <v>0</v>
      </c>
      <c r="G153" s="289">
        <v>0</v>
      </c>
      <c r="H153" s="289">
        <v>0</v>
      </c>
      <c r="I153" s="330">
        <v>0</v>
      </c>
      <c r="J153" s="330"/>
      <c r="K153" s="330"/>
      <c r="L153" s="330"/>
      <c r="M153" s="330"/>
      <c r="N153" s="289">
        <v>0</v>
      </c>
      <c r="O153" s="289">
        <v>0</v>
      </c>
      <c r="P153" s="367" t="s">
        <v>3</v>
      </c>
    </row>
    <row r="154" spans="1:21" s="40" customFormat="1" ht="34.5" x14ac:dyDescent="0.25">
      <c r="A154" s="403"/>
      <c r="B154" s="413"/>
      <c r="C154" s="408"/>
      <c r="D154" s="305" t="s">
        <v>1</v>
      </c>
      <c r="E154" s="289">
        <v>93</v>
      </c>
      <c r="F154" s="310">
        <f t="shared" si="34"/>
        <v>7</v>
      </c>
      <c r="G154" s="289">
        <v>7</v>
      </c>
      <c r="H154" s="289">
        <v>0</v>
      </c>
      <c r="I154" s="330">
        <v>0</v>
      </c>
      <c r="J154" s="330"/>
      <c r="K154" s="330"/>
      <c r="L154" s="330"/>
      <c r="M154" s="330"/>
      <c r="N154" s="289">
        <f>15+1-16</f>
        <v>0</v>
      </c>
      <c r="O154" s="289">
        <f>15+1-16</f>
        <v>0</v>
      </c>
      <c r="P154" s="367"/>
    </row>
    <row r="155" spans="1:21" s="40" customFormat="1" ht="51.75" x14ac:dyDescent="0.25">
      <c r="A155" s="403"/>
      <c r="B155" s="413"/>
      <c r="C155" s="408"/>
      <c r="D155" s="305" t="s">
        <v>47</v>
      </c>
      <c r="E155" s="289"/>
      <c r="F155" s="310">
        <f t="shared" si="34"/>
        <v>0</v>
      </c>
      <c r="G155" s="289">
        <v>0</v>
      </c>
      <c r="H155" s="289">
        <v>0</v>
      </c>
      <c r="I155" s="330">
        <v>0</v>
      </c>
      <c r="J155" s="330"/>
      <c r="K155" s="330"/>
      <c r="L155" s="330"/>
      <c r="M155" s="330"/>
      <c r="N155" s="289">
        <v>0</v>
      </c>
      <c r="O155" s="289">
        <v>0</v>
      </c>
      <c r="P155" s="367"/>
    </row>
    <row r="156" spans="1:21" s="40" customFormat="1" ht="34.5" x14ac:dyDescent="0.25">
      <c r="A156" s="403"/>
      <c r="B156" s="413"/>
      <c r="C156" s="408"/>
      <c r="D156" s="305" t="s">
        <v>87</v>
      </c>
      <c r="E156" s="289"/>
      <c r="F156" s="310">
        <f t="shared" si="34"/>
        <v>0</v>
      </c>
      <c r="G156" s="289">
        <v>0</v>
      </c>
      <c r="H156" s="289">
        <v>0</v>
      </c>
      <c r="I156" s="330">
        <v>0</v>
      </c>
      <c r="J156" s="330"/>
      <c r="K156" s="330"/>
      <c r="L156" s="330"/>
      <c r="M156" s="330"/>
      <c r="N156" s="289">
        <v>0</v>
      </c>
      <c r="O156" s="289">
        <v>0</v>
      </c>
      <c r="P156" s="367"/>
    </row>
    <row r="157" spans="1:21" s="40" customFormat="1" ht="25.5" customHeight="1" x14ac:dyDescent="0.25">
      <c r="A157" s="403"/>
      <c r="B157" s="317" t="s">
        <v>157</v>
      </c>
      <c r="C157" s="318" t="s">
        <v>116</v>
      </c>
      <c r="D157" s="319" t="s">
        <v>116</v>
      </c>
      <c r="E157" s="288"/>
      <c r="F157" s="320" t="s">
        <v>117</v>
      </c>
      <c r="G157" s="287" t="s">
        <v>247</v>
      </c>
      <c r="H157" s="287" t="s">
        <v>248</v>
      </c>
      <c r="I157" s="321" t="s">
        <v>123</v>
      </c>
      <c r="J157" s="316" t="s">
        <v>118</v>
      </c>
      <c r="K157" s="316"/>
      <c r="L157" s="316"/>
      <c r="M157" s="316"/>
      <c r="N157" s="287" t="s">
        <v>124</v>
      </c>
      <c r="O157" s="287" t="s">
        <v>125</v>
      </c>
      <c r="P157" s="322" t="s">
        <v>116</v>
      </c>
      <c r="Q157" s="41"/>
    </row>
    <row r="158" spans="1:21" s="40" customFormat="1" ht="27" customHeight="1" x14ac:dyDescent="0.25">
      <c r="A158" s="403"/>
      <c r="B158" s="317"/>
      <c r="C158" s="318"/>
      <c r="D158" s="319"/>
      <c r="E158" s="288"/>
      <c r="F158" s="320"/>
      <c r="G158" s="288"/>
      <c r="H158" s="288"/>
      <c r="I158" s="321"/>
      <c r="J158" s="288" t="s">
        <v>119</v>
      </c>
      <c r="K158" s="288" t="s">
        <v>120</v>
      </c>
      <c r="L158" s="288" t="s">
        <v>121</v>
      </c>
      <c r="M158" s="288" t="s">
        <v>122</v>
      </c>
      <c r="N158" s="288"/>
      <c r="O158" s="288"/>
      <c r="P158" s="322"/>
      <c r="Q158" s="41"/>
    </row>
    <row r="159" spans="1:21" s="40" customFormat="1" ht="29.25" customHeight="1" x14ac:dyDescent="0.25">
      <c r="A159" s="403"/>
      <c r="B159" s="317"/>
      <c r="C159" s="318"/>
      <c r="D159" s="319"/>
      <c r="E159" s="288"/>
      <c r="F159" s="190">
        <v>100</v>
      </c>
      <c r="G159" s="189">
        <v>100</v>
      </c>
      <c r="H159" s="189">
        <v>0</v>
      </c>
      <c r="I159" s="189">
        <v>0</v>
      </c>
      <c r="J159" s="189">
        <v>0</v>
      </c>
      <c r="K159" s="189">
        <v>0</v>
      </c>
      <c r="L159" s="189">
        <v>0</v>
      </c>
      <c r="M159" s="189">
        <v>0</v>
      </c>
      <c r="N159" s="189">
        <v>0</v>
      </c>
      <c r="O159" s="189">
        <v>0</v>
      </c>
      <c r="P159" s="322"/>
      <c r="Q159" s="41"/>
    </row>
    <row r="160" spans="1:21" s="40" customFormat="1" ht="31.5" customHeight="1" x14ac:dyDescent="0.25">
      <c r="A160" s="403" t="s">
        <v>31</v>
      </c>
      <c r="B160" s="414" t="s">
        <v>130</v>
      </c>
      <c r="C160" s="408" t="s">
        <v>207</v>
      </c>
      <c r="D160" s="305" t="s">
        <v>40</v>
      </c>
      <c r="E160" s="289"/>
      <c r="F160" s="310">
        <f>SUM(G160:O160)</f>
        <v>0</v>
      </c>
      <c r="G160" s="289">
        <v>0</v>
      </c>
      <c r="H160" s="289">
        <v>0</v>
      </c>
      <c r="I160" s="330">
        <v>0</v>
      </c>
      <c r="J160" s="330"/>
      <c r="K160" s="330"/>
      <c r="L160" s="330"/>
      <c r="M160" s="330"/>
      <c r="N160" s="289">
        <f>1680-1680</f>
        <v>0</v>
      </c>
      <c r="O160" s="289">
        <v>0</v>
      </c>
      <c r="P160" s="367" t="s">
        <v>3</v>
      </c>
    </row>
    <row r="161" spans="1:17" s="40" customFormat="1" ht="34.5" customHeight="1" x14ac:dyDescent="0.25">
      <c r="A161" s="403"/>
      <c r="B161" s="414"/>
      <c r="C161" s="408"/>
      <c r="D161" s="305" t="s">
        <v>1</v>
      </c>
      <c r="E161" s="289">
        <v>1680</v>
      </c>
      <c r="F161" s="310">
        <f t="shared" ref="F161:F163" si="41">SUM(G161:O161)</f>
        <v>36144</v>
      </c>
      <c r="G161" s="289">
        <v>0</v>
      </c>
      <c r="H161" s="289">
        <v>7608</v>
      </c>
      <c r="I161" s="330">
        <v>9032</v>
      </c>
      <c r="J161" s="330"/>
      <c r="K161" s="330"/>
      <c r="L161" s="330"/>
      <c r="M161" s="330"/>
      <c r="N161" s="289">
        <v>9504</v>
      </c>
      <c r="O161" s="289">
        <v>10000</v>
      </c>
      <c r="P161" s="367"/>
    </row>
    <row r="162" spans="1:17" s="40" customFormat="1" ht="45" customHeight="1" x14ac:dyDescent="0.25">
      <c r="A162" s="403"/>
      <c r="B162" s="414"/>
      <c r="C162" s="408"/>
      <c r="D162" s="305" t="s">
        <v>47</v>
      </c>
      <c r="E162" s="289">
        <v>420</v>
      </c>
      <c r="F162" s="310">
        <f t="shared" si="41"/>
        <v>9036</v>
      </c>
      <c r="G162" s="289">
        <v>0</v>
      </c>
      <c r="H162" s="289">
        <v>1902</v>
      </c>
      <c r="I162" s="330">
        <v>2258</v>
      </c>
      <c r="J162" s="330"/>
      <c r="K162" s="330"/>
      <c r="L162" s="330"/>
      <c r="M162" s="330"/>
      <c r="N162" s="289">
        <v>2376</v>
      </c>
      <c r="O162" s="289">
        <v>2500</v>
      </c>
      <c r="P162" s="367"/>
    </row>
    <row r="163" spans="1:17" s="40" customFormat="1" ht="27" customHeight="1" x14ac:dyDescent="0.25">
      <c r="A163" s="403"/>
      <c r="B163" s="414"/>
      <c r="C163" s="408"/>
      <c r="D163" s="305" t="s">
        <v>87</v>
      </c>
      <c r="E163" s="289"/>
      <c r="F163" s="310">
        <f t="shared" si="41"/>
        <v>0</v>
      </c>
      <c r="G163" s="289">
        <v>0</v>
      </c>
      <c r="H163" s="289">
        <v>0</v>
      </c>
      <c r="I163" s="330">
        <v>0</v>
      </c>
      <c r="J163" s="330"/>
      <c r="K163" s="330"/>
      <c r="L163" s="330"/>
      <c r="M163" s="330"/>
      <c r="N163" s="289">
        <v>0</v>
      </c>
      <c r="O163" s="289">
        <v>0</v>
      </c>
      <c r="P163" s="367"/>
    </row>
    <row r="164" spans="1:17" s="40" customFormat="1" ht="24.75" customHeight="1" x14ac:dyDescent="0.25">
      <c r="A164" s="403"/>
      <c r="B164" s="317" t="s">
        <v>158</v>
      </c>
      <c r="C164" s="318" t="s">
        <v>116</v>
      </c>
      <c r="D164" s="319" t="s">
        <v>116</v>
      </c>
      <c r="E164" s="288"/>
      <c r="F164" s="320" t="s">
        <v>117</v>
      </c>
      <c r="G164" s="287" t="s">
        <v>247</v>
      </c>
      <c r="H164" s="287" t="s">
        <v>248</v>
      </c>
      <c r="I164" s="321" t="s">
        <v>123</v>
      </c>
      <c r="J164" s="316" t="s">
        <v>118</v>
      </c>
      <c r="K164" s="316"/>
      <c r="L164" s="316"/>
      <c r="M164" s="316"/>
      <c r="N164" s="287" t="s">
        <v>124</v>
      </c>
      <c r="O164" s="287" t="s">
        <v>125</v>
      </c>
      <c r="P164" s="322" t="s">
        <v>116</v>
      </c>
      <c r="Q164" s="41"/>
    </row>
    <row r="165" spans="1:17" s="40" customFormat="1" ht="24.75" customHeight="1" x14ac:dyDescent="0.25">
      <c r="A165" s="403"/>
      <c r="B165" s="317"/>
      <c r="C165" s="318"/>
      <c r="D165" s="319"/>
      <c r="E165" s="288"/>
      <c r="F165" s="320"/>
      <c r="G165" s="288"/>
      <c r="H165" s="288"/>
      <c r="I165" s="321"/>
      <c r="J165" s="288" t="s">
        <v>119</v>
      </c>
      <c r="K165" s="288" t="s">
        <v>120</v>
      </c>
      <c r="L165" s="288" t="s">
        <v>121</v>
      </c>
      <c r="M165" s="288" t="s">
        <v>122</v>
      </c>
      <c r="N165" s="288"/>
      <c r="O165" s="288"/>
      <c r="P165" s="322"/>
      <c r="Q165" s="41"/>
    </row>
    <row r="166" spans="1:17" s="40" customFormat="1" ht="32.25" customHeight="1" x14ac:dyDescent="0.25">
      <c r="A166" s="403"/>
      <c r="B166" s="317"/>
      <c r="C166" s="318"/>
      <c r="D166" s="319"/>
      <c r="E166" s="288"/>
      <c r="F166" s="190">
        <f>I166+H166+G166+N166+O166</f>
        <v>8</v>
      </c>
      <c r="G166" s="189">
        <v>0</v>
      </c>
      <c r="H166" s="189">
        <v>2</v>
      </c>
      <c r="I166" s="189">
        <v>2</v>
      </c>
      <c r="J166" s="189">
        <v>0</v>
      </c>
      <c r="K166" s="189">
        <v>0</v>
      </c>
      <c r="L166" s="189">
        <v>0</v>
      </c>
      <c r="M166" s="189">
        <v>2</v>
      </c>
      <c r="N166" s="189">
        <v>2</v>
      </c>
      <c r="O166" s="189">
        <v>2</v>
      </c>
      <c r="P166" s="322"/>
      <c r="Q166" s="41"/>
    </row>
    <row r="167" spans="1:17" s="40" customFormat="1" ht="36.75" customHeight="1" x14ac:dyDescent="0.25">
      <c r="A167" s="462" t="s">
        <v>32</v>
      </c>
      <c r="B167" s="414" t="s">
        <v>131</v>
      </c>
      <c r="C167" s="408" t="s">
        <v>86</v>
      </c>
      <c r="D167" s="304" t="s">
        <v>40</v>
      </c>
      <c r="E167" s="289">
        <v>0</v>
      </c>
      <c r="F167" s="310">
        <f>SUM(G167:O167)</f>
        <v>925902.21350000007</v>
      </c>
      <c r="G167" s="289">
        <v>168810.5778</v>
      </c>
      <c r="H167" s="289">
        <v>194255.56570000001</v>
      </c>
      <c r="I167" s="330">
        <v>199531.92</v>
      </c>
      <c r="J167" s="330"/>
      <c r="K167" s="330"/>
      <c r="L167" s="330"/>
      <c r="M167" s="330"/>
      <c r="N167" s="289">
        <v>187166.76</v>
      </c>
      <c r="O167" s="289">
        <v>176137.39</v>
      </c>
      <c r="P167" s="367" t="s">
        <v>95</v>
      </c>
    </row>
    <row r="168" spans="1:17" s="40" customFormat="1" ht="34.5" x14ac:dyDescent="0.25">
      <c r="A168" s="463"/>
      <c r="B168" s="414"/>
      <c r="C168" s="408"/>
      <c r="D168" s="304" t="s">
        <v>1</v>
      </c>
      <c r="E168" s="289">
        <v>0</v>
      </c>
      <c r="F168" s="310">
        <f t="shared" ref="F168:F170" si="42">SUM(G168:O168)</f>
        <v>625093.54616999999</v>
      </c>
      <c r="G168" s="289">
        <v>102492.13697000001</v>
      </c>
      <c r="H168" s="289">
        <v>117940.8792</v>
      </c>
      <c r="I168" s="330">
        <v>126974.88</v>
      </c>
      <c r="J168" s="330"/>
      <c r="K168" s="330"/>
      <c r="L168" s="330"/>
      <c r="M168" s="330"/>
      <c r="N168" s="289">
        <v>136775.74</v>
      </c>
      <c r="O168" s="289">
        <v>140909.91</v>
      </c>
      <c r="P168" s="367"/>
    </row>
    <row r="169" spans="1:17" s="40" customFormat="1" ht="51.75" x14ac:dyDescent="0.25">
      <c r="A169" s="463"/>
      <c r="B169" s="414"/>
      <c r="C169" s="408"/>
      <c r="D169" s="304" t="s">
        <v>48</v>
      </c>
      <c r="E169" s="289">
        <v>0</v>
      </c>
      <c r="F169" s="310">
        <f t="shared" si="42"/>
        <v>172332.86997000003</v>
      </c>
      <c r="G169" s="289">
        <v>30144.746090000001</v>
      </c>
      <c r="H169" s="289">
        <v>34688.493880000002</v>
      </c>
      <c r="I169" s="330">
        <v>36278.54</v>
      </c>
      <c r="J169" s="330"/>
      <c r="K169" s="330"/>
      <c r="L169" s="330"/>
      <c r="M169" s="330"/>
      <c r="N169" s="289">
        <v>35993.61</v>
      </c>
      <c r="O169" s="289">
        <v>35227.480000000003</v>
      </c>
      <c r="P169" s="367"/>
    </row>
    <row r="170" spans="1:17" s="40" customFormat="1" ht="34.5" x14ac:dyDescent="0.25">
      <c r="A170" s="463"/>
      <c r="B170" s="414"/>
      <c r="C170" s="408"/>
      <c r="D170" s="305" t="s">
        <v>87</v>
      </c>
      <c r="E170" s="289"/>
      <c r="F170" s="310">
        <f t="shared" si="42"/>
        <v>0</v>
      </c>
      <c r="G170" s="289">
        <v>0</v>
      </c>
      <c r="H170" s="289">
        <v>0</v>
      </c>
      <c r="I170" s="330">
        <v>0</v>
      </c>
      <c r="J170" s="330"/>
      <c r="K170" s="330"/>
      <c r="L170" s="330"/>
      <c r="M170" s="330"/>
      <c r="N170" s="289">
        <v>0</v>
      </c>
      <c r="O170" s="289">
        <v>0</v>
      </c>
      <c r="P170" s="367"/>
    </row>
    <row r="171" spans="1:17" s="40" customFormat="1" ht="38.25" customHeight="1" x14ac:dyDescent="0.25">
      <c r="A171" s="463"/>
      <c r="B171" s="317" t="s">
        <v>159</v>
      </c>
      <c r="C171" s="318" t="s">
        <v>116</v>
      </c>
      <c r="D171" s="319" t="s">
        <v>116</v>
      </c>
      <c r="E171" s="288"/>
      <c r="F171" s="320" t="s">
        <v>117</v>
      </c>
      <c r="G171" s="287" t="s">
        <v>247</v>
      </c>
      <c r="H171" s="287" t="s">
        <v>248</v>
      </c>
      <c r="I171" s="321" t="s">
        <v>123</v>
      </c>
      <c r="J171" s="316" t="s">
        <v>118</v>
      </c>
      <c r="K171" s="316"/>
      <c r="L171" s="316"/>
      <c r="M171" s="316"/>
      <c r="N171" s="287" t="s">
        <v>124</v>
      </c>
      <c r="O171" s="287" t="s">
        <v>125</v>
      </c>
      <c r="P171" s="322" t="s">
        <v>116</v>
      </c>
      <c r="Q171" s="41"/>
    </row>
    <row r="172" spans="1:17" s="40" customFormat="1" ht="38.25" customHeight="1" x14ac:dyDescent="0.25">
      <c r="A172" s="463"/>
      <c r="B172" s="317"/>
      <c r="C172" s="318"/>
      <c r="D172" s="319"/>
      <c r="E172" s="288"/>
      <c r="F172" s="320"/>
      <c r="G172" s="288"/>
      <c r="H172" s="288"/>
      <c r="I172" s="321"/>
      <c r="J172" s="288" t="s">
        <v>119</v>
      </c>
      <c r="K172" s="288" t="s">
        <v>120</v>
      </c>
      <c r="L172" s="288" t="s">
        <v>121</v>
      </c>
      <c r="M172" s="288" t="s">
        <v>122</v>
      </c>
      <c r="N172" s="288"/>
      <c r="O172" s="288"/>
      <c r="P172" s="322"/>
      <c r="Q172" s="41"/>
    </row>
    <row r="173" spans="1:17" s="40" customFormat="1" ht="42.75" customHeight="1" x14ac:dyDescent="0.25">
      <c r="A173" s="464"/>
      <c r="B173" s="317"/>
      <c r="C173" s="318"/>
      <c r="D173" s="319"/>
      <c r="E173" s="288"/>
      <c r="F173" s="190">
        <v>100</v>
      </c>
      <c r="G173" s="189">
        <v>100</v>
      </c>
      <c r="H173" s="189">
        <v>100</v>
      </c>
      <c r="I173" s="189">
        <v>100</v>
      </c>
      <c r="J173" s="189">
        <v>100</v>
      </c>
      <c r="K173" s="189">
        <v>100</v>
      </c>
      <c r="L173" s="189">
        <v>100</v>
      </c>
      <c r="M173" s="189">
        <v>100</v>
      </c>
      <c r="N173" s="189">
        <v>100</v>
      </c>
      <c r="O173" s="189">
        <v>100</v>
      </c>
      <c r="P173" s="322"/>
      <c r="Q173" s="41"/>
    </row>
    <row r="174" spans="1:17" s="40" customFormat="1" ht="35.25" customHeight="1" x14ac:dyDescent="0.25">
      <c r="A174" s="403" t="s">
        <v>33</v>
      </c>
      <c r="B174" s="414" t="s">
        <v>132</v>
      </c>
      <c r="C174" s="408" t="s">
        <v>270</v>
      </c>
      <c r="D174" s="304" t="s">
        <v>40</v>
      </c>
      <c r="E174" s="289"/>
      <c r="F174" s="310">
        <f t="shared" ref="F174:F177" si="43">SUM(G174:O174)</f>
        <v>0</v>
      </c>
      <c r="G174" s="289">
        <v>0</v>
      </c>
      <c r="H174" s="289">
        <v>0</v>
      </c>
      <c r="I174" s="330">
        <v>0</v>
      </c>
      <c r="J174" s="330"/>
      <c r="K174" s="330"/>
      <c r="L174" s="330"/>
      <c r="M174" s="330"/>
      <c r="N174" s="289">
        <v>0</v>
      </c>
      <c r="O174" s="289">
        <v>0</v>
      </c>
      <c r="P174" s="367" t="s">
        <v>95</v>
      </c>
    </row>
    <row r="175" spans="1:17" s="40" customFormat="1" ht="34.5" x14ac:dyDescent="0.25">
      <c r="A175" s="403"/>
      <c r="B175" s="414"/>
      <c r="C175" s="408"/>
      <c r="D175" s="304" t="s">
        <v>1</v>
      </c>
      <c r="E175" s="289">
        <v>0</v>
      </c>
      <c r="F175" s="310">
        <f t="shared" si="43"/>
        <v>245884</v>
      </c>
      <c r="G175" s="289">
        <v>115501</v>
      </c>
      <c r="H175" s="289">
        <v>130383</v>
      </c>
      <c r="I175" s="330">
        <v>0</v>
      </c>
      <c r="J175" s="330"/>
      <c r="K175" s="330"/>
      <c r="L175" s="330"/>
      <c r="M175" s="330"/>
      <c r="N175" s="289">
        <f t="shared" ref="N175:O175" si="44">106081-726-105355</f>
        <v>0</v>
      </c>
      <c r="O175" s="289">
        <f t="shared" si="44"/>
        <v>0</v>
      </c>
      <c r="P175" s="367"/>
    </row>
    <row r="176" spans="1:17" s="40" customFormat="1" ht="51.75" x14ac:dyDescent="0.25">
      <c r="A176" s="403"/>
      <c r="B176" s="414"/>
      <c r="C176" s="408"/>
      <c r="D176" s="304" t="s">
        <v>48</v>
      </c>
      <c r="E176" s="289">
        <v>0</v>
      </c>
      <c r="F176" s="310">
        <f t="shared" si="43"/>
        <v>427077.31842000003</v>
      </c>
      <c r="G176" s="289">
        <v>223675.70418</v>
      </c>
      <c r="H176" s="289">
        <v>203401.61424</v>
      </c>
      <c r="I176" s="330">
        <v>0</v>
      </c>
      <c r="J176" s="330"/>
      <c r="K176" s="330"/>
      <c r="L176" s="330"/>
      <c r="M176" s="330"/>
      <c r="N176" s="289">
        <v>0</v>
      </c>
      <c r="O176" s="289">
        <v>0</v>
      </c>
      <c r="P176" s="367"/>
    </row>
    <row r="177" spans="1:17" s="40" customFormat="1" ht="34.5" x14ac:dyDescent="0.25">
      <c r="A177" s="403"/>
      <c r="B177" s="414"/>
      <c r="C177" s="408"/>
      <c r="D177" s="305" t="s">
        <v>87</v>
      </c>
      <c r="E177" s="289"/>
      <c r="F177" s="310">
        <f t="shared" si="43"/>
        <v>0</v>
      </c>
      <c r="G177" s="289">
        <v>0</v>
      </c>
      <c r="H177" s="289">
        <v>0</v>
      </c>
      <c r="I177" s="330">
        <v>0</v>
      </c>
      <c r="J177" s="330"/>
      <c r="K177" s="330"/>
      <c r="L177" s="330"/>
      <c r="M177" s="330"/>
      <c r="N177" s="289">
        <v>0</v>
      </c>
      <c r="O177" s="289">
        <v>0</v>
      </c>
      <c r="P177" s="367"/>
    </row>
    <row r="178" spans="1:17" s="40" customFormat="1" ht="45.75" customHeight="1" x14ac:dyDescent="0.25">
      <c r="A178" s="403"/>
      <c r="B178" s="317" t="s">
        <v>160</v>
      </c>
      <c r="C178" s="318" t="s">
        <v>116</v>
      </c>
      <c r="D178" s="319" t="s">
        <v>116</v>
      </c>
      <c r="E178" s="288"/>
      <c r="F178" s="320" t="s">
        <v>117</v>
      </c>
      <c r="G178" s="287" t="s">
        <v>247</v>
      </c>
      <c r="H178" s="287" t="s">
        <v>248</v>
      </c>
      <c r="I178" s="321" t="s">
        <v>123</v>
      </c>
      <c r="J178" s="316" t="s">
        <v>118</v>
      </c>
      <c r="K178" s="316"/>
      <c r="L178" s="316"/>
      <c r="M178" s="316"/>
      <c r="N178" s="287" t="s">
        <v>124</v>
      </c>
      <c r="O178" s="287" t="s">
        <v>125</v>
      </c>
      <c r="P178" s="322" t="s">
        <v>116</v>
      </c>
      <c r="Q178" s="41"/>
    </row>
    <row r="179" spans="1:17" s="40" customFormat="1" ht="38.25" customHeight="1" x14ac:dyDescent="0.25">
      <c r="A179" s="403"/>
      <c r="B179" s="317"/>
      <c r="C179" s="318"/>
      <c r="D179" s="319"/>
      <c r="E179" s="288"/>
      <c r="F179" s="320"/>
      <c r="G179" s="288"/>
      <c r="H179" s="288"/>
      <c r="I179" s="321"/>
      <c r="J179" s="288" t="s">
        <v>119</v>
      </c>
      <c r="K179" s="288" t="s">
        <v>120</v>
      </c>
      <c r="L179" s="288" t="s">
        <v>121</v>
      </c>
      <c r="M179" s="288" t="s">
        <v>122</v>
      </c>
      <c r="N179" s="288"/>
      <c r="O179" s="288"/>
      <c r="P179" s="322"/>
      <c r="Q179" s="41"/>
    </row>
    <row r="180" spans="1:17" s="40" customFormat="1" ht="50.25" customHeight="1" x14ac:dyDescent="0.25">
      <c r="A180" s="403"/>
      <c r="B180" s="317"/>
      <c r="C180" s="318"/>
      <c r="D180" s="319"/>
      <c r="E180" s="288"/>
      <c r="F180" s="190">
        <v>100</v>
      </c>
      <c r="G180" s="189">
        <v>100</v>
      </c>
      <c r="H180" s="189">
        <v>100</v>
      </c>
      <c r="I180" s="189">
        <v>0</v>
      </c>
      <c r="J180" s="189">
        <v>0</v>
      </c>
      <c r="K180" s="189">
        <v>0</v>
      </c>
      <c r="L180" s="189">
        <v>0</v>
      </c>
      <c r="M180" s="189">
        <v>0</v>
      </c>
      <c r="N180" s="189">
        <v>0</v>
      </c>
      <c r="O180" s="189">
        <v>0</v>
      </c>
      <c r="P180" s="322"/>
      <c r="Q180" s="41"/>
    </row>
    <row r="181" spans="1:17" s="40" customFormat="1" ht="39" customHeight="1" x14ac:dyDescent="0.25">
      <c r="A181" s="416" t="s">
        <v>68</v>
      </c>
      <c r="B181" s="368" t="s">
        <v>135</v>
      </c>
      <c r="C181" s="370" t="s">
        <v>86</v>
      </c>
      <c r="D181" s="304" t="s">
        <v>40</v>
      </c>
      <c r="E181" s="289"/>
      <c r="F181" s="310">
        <f t="shared" ref="F181:F184" si="45">SUM(G181:O181)</f>
        <v>0</v>
      </c>
      <c r="G181" s="289">
        <v>0</v>
      </c>
      <c r="H181" s="289">
        <v>0</v>
      </c>
      <c r="I181" s="330">
        <v>0</v>
      </c>
      <c r="J181" s="330"/>
      <c r="K181" s="330"/>
      <c r="L181" s="330"/>
      <c r="M181" s="330"/>
      <c r="N181" s="289">
        <v>0</v>
      </c>
      <c r="O181" s="289">
        <v>0</v>
      </c>
      <c r="P181" s="371" t="s">
        <v>3</v>
      </c>
    </row>
    <row r="182" spans="1:17" s="40" customFormat="1" ht="34.5" x14ac:dyDescent="0.25">
      <c r="A182" s="416"/>
      <c r="B182" s="368"/>
      <c r="C182" s="370"/>
      <c r="D182" s="304" t="s">
        <v>1</v>
      </c>
      <c r="E182" s="290">
        <v>0</v>
      </c>
      <c r="F182" s="310">
        <f t="shared" si="45"/>
        <v>199780</v>
      </c>
      <c r="G182" s="290">
        <v>39329</v>
      </c>
      <c r="H182" s="290">
        <v>40100</v>
      </c>
      <c r="I182" s="361">
        <v>40117</v>
      </c>
      <c r="J182" s="361"/>
      <c r="K182" s="361"/>
      <c r="L182" s="361"/>
      <c r="M182" s="361"/>
      <c r="N182" s="290">
        <v>40117</v>
      </c>
      <c r="O182" s="290">
        <v>40117</v>
      </c>
      <c r="P182" s="371"/>
    </row>
    <row r="183" spans="1:17" s="40" customFormat="1" ht="51.75" x14ac:dyDescent="0.25">
      <c r="A183" s="416"/>
      <c r="B183" s="368"/>
      <c r="C183" s="370"/>
      <c r="D183" s="304" t="s">
        <v>48</v>
      </c>
      <c r="E183" s="290">
        <v>0</v>
      </c>
      <c r="F183" s="310">
        <f t="shared" si="45"/>
        <v>134189.71358000001</v>
      </c>
      <c r="G183" s="290">
        <v>35947.713580000003</v>
      </c>
      <c r="H183" s="290">
        <v>24163</v>
      </c>
      <c r="I183" s="361">
        <v>24693</v>
      </c>
      <c r="J183" s="361"/>
      <c r="K183" s="361"/>
      <c r="L183" s="361"/>
      <c r="M183" s="361"/>
      <c r="N183" s="290">
        <v>24693</v>
      </c>
      <c r="O183" s="290">
        <v>24693</v>
      </c>
      <c r="P183" s="371"/>
    </row>
    <row r="184" spans="1:17" s="40" customFormat="1" ht="34.5" x14ac:dyDescent="0.25">
      <c r="A184" s="416"/>
      <c r="B184" s="368"/>
      <c r="C184" s="370"/>
      <c r="D184" s="305" t="s">
        <v>87</v>
      </c>
      <c r="E184" s="290"/>
      <c r="F184" s="310">
        <f t="shared" si="45"/>
        <v>0</v>
      </c>
      <c r="G184" s="290">
        <v>0</v>
      </c>
      <c r="H184" s="290">
        <v>0</v>
      </c>
      <c r="I184" s="361">
        <v>0</v>
      </c>
      <c r="J184" s="361"/>
      <c r="K184" s="361"/>
      <c r="L184" s="361"/>
      <c r="M184" s="361"/>
      <c r="N184" s="290">
        <v>0</v>
      </c>
      <c r="O184" s="290">
        <v>0</v>
      </c>
      <c r="P184" s="371"/>
    </row>
    <row r="185" spans="1:17" s="40" customFormat="1" ht="26.25" customHeight="1" x14ac:dyDescent="0.25">
      <c r="A185" s="416"/>
      <c r="B185" s="317" t="s">
        <v>161</v>
      </c>
      <c r="C185" s="318" t="s">
        <v>116</v>
      </c>
      <c r="D185" s="319" t="s">
        <v>116</v>
      </c>
      <c r="E185" s="288"/>
      <c r="F185" s="320" t="s">
        <v>117</v>
      </c>
      <c r="G185" s="287" t="s">
        <v>247</v>
      </c>
      <c r="H185" s="287" t="s">
        <v>248</v>
      </c>
      <c r="I185" s="321" t="s">
        <v>123</v>
      </c>
      <c r="J185" s="316" t="s">
        <v>118</v>
      </c>
      <c r="K185" s="316"/>
      <c r="L185" s="316"/>
      <c r="M185" s="316"/>
      <c r="N185" s="287" t="s">
        <v>124</v>
      </c>
      <c r="O185" s="287" t="s">
        <v>125</v>
      </c>
      <c r="P185" s="322" t="s">
        <v>116</v>
      </c>
      <c r="Q185" s="41"/>
    </row>
    <row r="186" spans="1:17" s="40" customFormat="1" ht="19.5" customHeight="1" x14ac:dyDescent="0.25">
      <c r="A186" s="416"/>
      <c r="B186" s="317"/>
      <c r="C186" s="318"/>
      <c r="D186" s="319"/>
      <c r="E186" s="288"/>
      <c r="F186" s="320"/>
      <c r="G186" s="288"/>
      <c r="H186" s="288"/>
      <c r="I186" s="321"/>
      <c r="J186" s="288" t="s">
        <v>119</v>
      </c>
      <c r="K186" s="288" t="s">
        <v>120</v>
      </c>
      <c r="L186" s="288" t="s">
        <v>121</v>
      </c>
      <c r="M186" s="288" t="s">
        <v>122</v>
      </c>
      <c r="N186" s="288"/>
      <c r="O186" s="288"/>
      <c r="P186" s="322"/>
      <c r="Q186" s="41"/>
    </row>
    <row r="187" spans="1:17" s="40" customFormat="1" ht="28.5" customHeight="1" x14ac:dyDescent="0.25">
      <c r="A187" s="416"/>
      <c r="B187" s="317"/>
      <c r="C187" s="318"/>
      <c r="D187" s="319"/>
      <c r="E187" s="288"/>
      <c r="F187" s="190">
        <v>785</v>
      </c>
      <c r="G187" s="189">
        <v>785</v>
      </c>
      <c r="H187" s="189">
        <v>785</v>
      </c>
      <c r="I187" s="189">
        <v>785</v>
      </c>
      <c r="J187" s="189">
        <v>785</v>
      </c>
      <c r="K187" s="189">
        <v>785</v>
      </c>
      <c r="L187" s="189">
        <v>785</v>
      </c>
      <c r="M187" s="189">
        <v>785</v>
      </c>
      <c r="N187" s="189">
        <v>785</v>
      </c>
      <c r="O187" s="189">
        <v>785</v>
      </c>
      <c r="P187" s="322"/>
      <c r="Q187" s="41"/>
    </row>
    <row r="188" spans="1:17" s="113" customFormat="1" ht="39" customHeight="1" x14ac:dyDescent="0.25">
      <c r="A188" s="416" t="s">
        <v>200</v>
      </c>
      <c r="B188" s="368" t="s">
        <v>201</v>
      </c>
      <c r="C188" s="370" t="s">
        <v>270</v>
      </c>
      <c r="D188" s="304" t="s">
        <v>40</v>
      </c>
      <c r="E188" s="289"/>
      <c r="F188" s="310">
        <f t="shared" ref="F188:F191" si="46">SUM(G188:O188)</f>
        <v>0</v>
      </c>
      <c r="G188" s="289">
        <v>0</v>
      </c>
      <c r="H188" s="289">
        <v>0</v>
      </c>
      <c r="I188" s="330">
        <v>0</v>
      </c>
      <c r="J188" s="330"/>
      <c r="K188" s="330"/>
      <c r="L188" s="330"/>
      <c r="M188" s="330"/>
      <c r="N188" s="289">
        <v>0</v>
      </c>
      <c r="O188" s="289">
        <v>0</v>
      </c>
      <c r="P188" s="371" t="s">
        <v>3</v>
      </c>
    </row>
    <row r="189" spans="1:17" s="113" customFormat="1" ht="39.75" customHeight="1" x14ac:dyDescent="0.25">
      <c r="A189" s="416"/>
      <c r="B189" s="368"/>
      <c r="C189" s="370"/>
      <c r="D189" s="304" t="s">
        <v>1</v>
      </c>
      <c r="E189" s="290">
        <v>0</v>
      </c>
      <c r="F189" s="310">
        <f t="shared" si="46"/>
        <v>29634</v>
      </c>
      <c r="G189" s="290">
        <v>8921</v>
      </c>
      <c r="H189" s="290">
        <v>20713</v>
      </c>
      <c r="I189" s="361">
        <v>0</v>
      </c>
      <c r="J189" s="361"/>
      <c r="K189" s="361"/>
      <c r="L189" s="361"/>
      <c r="M189" s="361"/>
      <c r="N189" s="290">
        <v>0</v>
      </c>
      <c r="O189" s="290">
        <v>0</v>
      </c>
      <c r="P189" s="371"/>
    </row>
    <row r="190" spans="1:17" s="113" customFormat="1" ht="60.75" customHeight="1" x14ac:dyDescent="0.25">
      <c r="A190" s="416"/>
      <c r="B190" s="368"/>
      <c r="C190" s="370"/>
      <c r="D190" s="304" t="s">
        <v>48</v>
      </c>
      <c r="E190" s="290">
        <v>0</v>
      </c>
      <c r="F190" s="310">
        <f t="shared" si="46"/>
        <v>0</v>
      </c>
      <c r="G190" s="290">
        <v>0</v>
      </c>
      <c r="H190" s="290">
        <v>0</v>
      </c>
      <c r="I190" s="361">
        <v>0</v>
      </c>
      <c r="J190" s="361"/>
      <c r="K190" s="361"/>
      <c r="L190" s="361"/>
      <c r="M190" s="361"/>
      <c r="N190" s="290">
        <v>0</v>
      </c>
      <c r="O190" s="290">
        <v>0</v>
      </c>
      <c r="P190" s="371"/>
    </row>
    <row r="191" spans="1:17" s="113" customFormat="1" ht="42" customHeight="1" x14ac:dyDescent="0.25">
      <c r="A191" s="416"/>
      <c r="B191" s="368"/>
      <c r="C191" s="370"/>
      <c r="D191" s="305" t="s">
        <v>87</v>
      </c>
      <c r="E191" s="290"/>
      <c r="F191" s="310">
        <f t="shared" si="46"/>
        <v>0</v>
      </c>
      <c r="G191" s="290">
        <v>0</v>
      </c>
      <c r="H191" s="290">
        <v>0</v>
      </c>
      <c r="I191" s="361">
        <v>0</v>
      </c>
      <c r="J191" s="361"/>
      <c r="K191" s="361"/>
      <c r="L191" s="361"/>
      <c r="M191" s="361"/>
      <c r="N191" s="290">
        <v>0</v>
      </c>
      <c r="O191" s="290">
        <v>0</v>
      </c>
      <c r="P191" s="371"/>
    </row>
    <row r="192" spans="1:17" s="113" customFormat="1" ht="33.75" customHeight="1" x14ac:dyDescent="0.25">
      <c r="A192" s="416"/>
      <c r="B192" s="317" t="s">
        <v>202</v>
      </c>
      <c r="C192" s="318" t="s">
        <v>116</v>
      </c>
      <c r="D192" s="319" t="s">
        <v>116</v>
      </c>
      <c r="E192" s="288"/>
      <c r="F192" s="320" t="s">
        <v>117</v>
      </c>
      <c r="G192" s="287" t="s">
        <v>247</v>
      </c>
      <c r="H192" s="287" t="s">
        <v>248</v>
      </c>
      <c r="I192" s="321" t="s">
        <v>123</v>
      </c>
      <c r="J192" s="316" t="s">
        <v>118</v>
      </c>
      <c r="K192" s="316"/>
      <c r="L192" s="316"/>
      <c r="M192" s="316"/>
      <c r="N192" s="287" t="s">
        <v>124</v>
      </c>
      <c r="O192" s="287" t="s">
        <v>125</v>
      </c>
      <c r="P192" s="322" t="s">
        <v>116</v>
      </c>
      <c r="Q192" s="114"/>
    </row>
    <row r="193" spans="1:21" s="113" customFormat="1" ht="19.5" customHeight="1" x14ac:dyDescent="0.25">
      <c r="A193" s="416"/>
      <c r="B193" s="317"/>
      <c r="C193" s="318"/>
      <c r="D193" s="319"/>
      <c r="E193" s="288"/>
      <c r="F193" s="320"/>
      <c r="G193" s="288"/>
      <c r="H193" s="288"/>
      <c r="I193" s="321"/>
      <c r="J193" s="288" t="s">
        <v>119</v>
      </c>
      <c r="K193" s="288" t="s">
        <v>120</v>
      </c>
      <c r="L193" s="288" t="s">
        <v>121</v>
      </c>
      <c r="M193" s="288" t="s">
        <v>122</v>
      </c>
      <c r="N193" s="288"/>
      <c r="O193" s="288"/>
      <c r="P193" s="322"/>
      <c r="Q193" s="114"/>
    </row>
    <row r="194" spans="1:21" s="113" customFormat="1" ht="35.25" customHeight="1" x14ac:dyDescent="0.25">
      <c r="A194" s="416"/>
      <c r="B194" s="317"/>
      <c r="C194" s="318"/>
      <c r="D194" s="319"/>
      <c r="E194" s="288"/>
      <c r="F194" s="190">
        <v>100</v>
      </c>
      <c r="G194" s="189">
        <v>100</v>
      </c>
      <c r="H194" s="189">
        <v>100</v>
      </c>
      <c r="I194" s="189">
        <v>0</v>
      </c>
      <c r="J194" s="189">
        <v>0</v>
      </c>
      <c r="K194" s="189">
        <v>0</v>
      </c>
      <c r="L194" s="189">
        <v>0</v>
      </c>
      <c r="M194" s="189">
        <v>0</v>
      </c>
      <c r="N194" s="189">
        <v>0</v>
      </c>
      <c r="O194" s="189">
        <v>0</v>
      </c>
      <c r="P194" s="322"/>
      <c r="Q194" s="114"/>
    </row>
    <row r="195" spans="1:21" s="40" customFormat="1" ht="39" customHeight="1" x14ac:dyDescent="0.25">
      <c r="A195" s="433" t="s">
        <v>226</v>
      </c>
      <c r="B195" s="368" t="s">
        <v>210</v>
      </c>
      <c r="C195" s="370" t="s">
        <v>207</v>
      </c>
      <c r="D195" s="304" t="s">
        <v>40</v>
      </c>
      <c r="E195" s="289"/>
      <c r="F195" s="310">
        <f t="shared" ref="F195:F198" si="47">SUM(G195:O195)</f>
        <v>0</v>
      </c>
      <c r="G195" s="289">
        <v>0</v>
      </c>
      <c r="H195" s="289">
        <v>0</v>
      </c>
      <c r="I195" s="330">
        <v>0</v>
      </c>
      <c r="J195" s="330"/>
      <c r="K195" s="330"/>
      <c r="L195" s="330"/>
      <c r="M195" s="330"/>
      <c r="N195" s="289">
        <v>0</v>
      </c>
      <c r="O195" s="289">
        <v>0</v>
      </c>
      <c r="P195" s="371" t="s">
        <v>3</v>
      </c>
    </row>
    <row r="196" spans="1:21" s="40" customFormat="1" ht="34.5" x14ac:dyDescent="0.25">
      <c r="A196" s="434"/>
      <c r="B196" s="368"/>
      <c r="C196" s="370"/>
      <c r="D196" s="304" t="s">
        <v>1</v>
      </c>
      <c r="E196" s="290">
        <v>0</v>
      </c>
      <c r="F196" s="310">
        <f t="shared" si="47"/>
        <v>51212</v>
      </c>
      <c r="G196" s="290">
        <v>0</v>
      </c>
      <c r="H196" s="290">
        <v>9950</v>
      </c>
      <c r="I196" s="361">
        <v>13754</v>
      </c>
      <c r="J196" s="361"/>
      <c r="K196" s="361"/>
      <c r="L196" s="361"/>
      <c r="M196" s="361"/>
      <c r="N196" s="290">
        <v>13754</v>
      </c>
      <c r="O196" s="290">
        <v>13754</v>
      </c>
      <c r="P196" s="371"/>
    </row>
    <row r="197" spans="1:21" s="40" customFormat="1" ht="51.75" x14ac:dyDescent="0.25">
      <c r="A197" s="434"/>
      <c r="B197" s="368"/>
      <c r="C197" s="370"/>
      <c r="D197" s="304" t="s">
        <v>48</v>
      </c>
      <c r="E197" s="290">
        <v>0</v>
      </c>
      <c r="F197" s="310">
        <f t="shared" si="47"/>
        <v>0</v>
      </c>
      <c r="G197" s="290">
        <v>0</v>
      </c>
      <c r="H197" s="290">
        <v>0</v>
      </c>
      <c r="I197" s="361">
        <v>0</v>
      </c>
      <c r="J197" s="361"/>
      <c r="K197" s="361"/>
      <c r="L197" s="361"/>
      <c r="M197" s="361"/>
      <c r="N197" s="290">
        <v>0</v>
      </c>
      <c r="O197" s="290">
        <v>0</v>
      </c>
      <c r="P197" s="371"/>
    </row>
    <row r="198" spans="1:21" s="40" customFormat="1" ht="34.5" x14ac:dyDescent="0.25">
      <c r="A198" s="434"/>
      <c r="B198" s="368"/>
      <c r="C198" s="370"/>
      <c r="D198" s="305" t="s">
        <v>87</v>
      </c>
      <c r="E198" s="290"/>
      <c r="F198" s="310">
        <f t="shared" si="47"/>
        <v>0</v>
      </c>
      <c r="G198" s="290">
        <v>0</v>
      </c>
      <c r="H198" s="290">
        <v>0</v>
      </c>
      <c r="I198" s="361">
        <v>0</v>
      </c>
      <c r="J198" s="361"/>
      <c r="K198" s="361"/>
      <c r="L198" s="361"/>
      <c r="M198" s="361"/>
      <c r="N198" s="290">
        <v>0</v>
      </c>
      <c r="O198" s="290">
        <v>0</v>
      </c>
      <c r="P198" s="371"/>
    </row>
    <row r="199" spans="1:21" s="40" customFormat="1" ht="39" customHeight="1" x14ac:dyDescent="0.25">
      <c r="A199" s="434"/>
      <c r="B199" s="317" t="s">
        <v>212</v>
      </c>
      <c r="C199" s="318" t="s">
        <v>116</v>
      </c>
      <c r="D199" s="319" t="s">
        <v>116</v>
      </c>
      <c r="E199" s="288"/>
      <c r="F199" s="320" t="s">
        <v>117</v>
      </c>
      <c r="G199" s="287" t="s">
        <v>247</v>
      </c>
      <c r="H199" s="287" t="s">
        <v>248</v>
      </c>
      <c r="I199" s="321" t="s">
        <v>123</v>
      </c>
      <c r="J199" s="316" t="s">
        <v>118</v>
      </c>
      <c r="K199" s="316"/>
      <c r="L199" s="316"/>
      <c r="M199" s="316"/>
      <c r="N199" s="287" t="s">
        <v>124</v>
      </c>
      <c r="O199" s="287" t="s">
        <v>125</v>
      </c>
      <c r="P199" s="322" t="s">
        <v>116</v>
      </c>
      <c r="Q199" s="41"/>
    </row>
    <row r="200" spans="1:21" s="40" customFormat="1" ht="38.25" customHeight="1" x14ac:dyDescent="0.25">
      <c r="A200" s="434"/>
      <c r="B200" s="317"/>
      <c r="C200" s="318"/>
      <c r="D200" s="319"/>
      <c r="E200" s="288"/>
      <c r="F200" s="320"/>
      <c r="G200" s="288"/>
      <c r="H200" s="288"/>
      <c r="I200" s="321"/>
      <c r="J200" s="288" t="s">
        <v>119</v>
      </c>
      <c r="K200" s="288" t="s">
        <v>120</v>
      </c>
      <c r="L200" s="288" t="s">
        <v>121</v>
      </c>
      <c r="M200" s="288" t="s">
        <v>122</v>
      </c>
      <c r="N200" s="288"/>
      <c r="O200" s="288"/>
      <c r="P200" s="322"/>
      <c r="Q200" s="41"/>
    </row>
    <row r="201" spans="1:21" s="40" customFormat="1" ht="30.75" customHeight="1" x14ac:dyDescent="0.25">
      <c r="A201" s="435"/>
      <c r="B201" s="317"/>
      <c r="C201" s="318"/>
      <c r="D201" s="319"/>
      <c r="E201" s="288"/>
      <c r="F201" s="190">
        <v>100</v>
      </c>
      <c r="G201" s="189">
        <v>0</v>
      </c>
      <c r="H201" s="189">
        <v>0</v>
      </c>
      <c r="I201" s="189">
        <v>100</v>
      </c>
      <c r="J201" s="189">
        <v>100</v>
      </c>
      <c r="K201" s="189">
        <v>100</v>
      </c>
      <c r="L201" s="189">
        <v>100</v>
      </c>
      <c r="M201" s="189">
        <v>100</v>
      </c>
      <c r="N201" s="189">
        <v>100</v>
      </c>
      <c r="O201" s="189">
        <v>100</v>
      </c>
      <c r="P201" s="322"/>
      <c r="Q201" s="41"/>
    </row>
    <row r="202" spans="1:21" s="9" customFormat="1" ht="18.75" customHeight="1" x14ac:dyDescent="0.25">
      <c r="A202" s="428" t="s">
        <v>37</v>
      </c>
      <c r="B202" s="369" t="s">
        <v>96</v>
      </c>
      <c r="C202" s="369" t="s">
        <v>86</v>
      </c>
      <c r="D202" s="224" t="s">
        <v>2</v>
      </c>
      <c r="E202" s="146">
        <f>E205</f>
        <v>9428.6200000000008</v>
      </c>
      <c r="F202" s="156">
        <f t="shared" ref="F202:F210" si="48">SUM(G202:O202)</f>
        <v>169811.96334999998</v>
      </c>
      <c r="G202" s="214">
        <f t="shared" ref="G202:H202" si="49">G203+G204+G205+G206</f>
        <v>16635.688859999998</v>
      </c>
      <c r="H202" s="146">
        <f t="shared" si="49"/>
        <v>41560</v>
      </c>
      <c r="I202" s="395">
        <f>I203+I204+I205+I206</f>
        <v>38584.274489999996</v>
      </c>
      <c r="J202" s="395"/>
      <c r="K202" s="395"/>
      <c r="L202" s="395"/>
      <c r="M202" s="395"/>
      <c r="N202" s="146">
        <f t="shared" ref="N202:O202" si="50">N203+N204+N205+N206</f>
        <v>36516</v>
      </c>
      <c r="O202" s="146">
        <f t="shared" si="50"/>
        <v>36516</v>
      </c>
      <c r="P202" s="345"/>
      <c r="T202" s="45"/>
      <c r="U202" s="45"/>
    </row>
    <row r="203" spans="1:21" s="9" customFormat="1" ht="36" customHeight="1" x14ac:dyDescent="0.25">
      <c r="A203" s="428"/>
      <c r="B203" s="369"/>
      <c r="C203" s="369"/>
      <c r="D203" s="224" t="s">
        <v>40</v>
      </c>
      <c r="E203" s="146"/>
      <c r="F203" s="156">
        <f t="shared" si="48"/>
        <v>0</v>
      </c>
      <c r="G203" s="212">
        <f t="shared" ref="G203:H203" si="51">G207</f>
        <v>0</v>
      </c>
      <c r="H203" s="147">
        <f t="shared" si="51"/>
        <v>0</v>
      </c>
      <c r="I203" s="342">
        <f>I207</f>
        <v>0</v>
      </c>
      <c r="J203" s="342"/>
      <c r="K203" s="342"/>
      <c r="L203" s="342"/>
      <c r="M203" s="342"/>
      <c r="N203" s="147">
        <f t="shared" ref="N203:O203" si="52">N207</f>
        <v>0</v>
      </c>
      <c r="O203" s="147">
        <f t="shared" si="52"/>
        <v>0</v>
      </c>
      <c r="P203" s="345"/>
      <c r="T203" s="45"/>
      <c r="U203" s="45"/>
    </row>
    <row r="204" spans="1:21" s="9" customFormat="1" ht="34.5" x14ac:dyDescent="0.25">
      <c r="A204" s="428"/>
      <c r="B204" s="369"/>
      <c r="C204" s="369"/>
      <c r="D204" s="224" t="s">
        <v>1</v>
      </c>
      <c r="E204" s="146"/>
      <c r="F204" s="156">
        <f t="shared" si="48"/>
        <v>119903</v>
      </c>
      <c r="G204" s="212">
        <f>G208+G215</f>
        <v>0</v>
      </c>
      <c r="H204" s="147">
        <f>H208+H215</f>
        <v>27842</v>
      </c>
      <c r="I204" s="342">
        <f>I215</f>
        <v>30687</v>
      </c>
      <c r="J204" s="342"/>
      <c r="K204" s="342"/>
      <c r="L204" s="342"/>
      <c r="M204" s="342"/>
      <c r="N204" s="147">
        <f t="shared" ref="N204:O204" si="53">N208+N215</f>
        <v>30687</v>
      </c>
      <c r="O204" s="147">
        <f t="shared" si="53"/>
        <v>30687</v>
      </c>
      <c r="P204" s="345"/>
      <c r="T204" s="45"/>
      <c r="U204" s="45"/>
    </row>
    <row r="205" spans="1:21" s="9" customFormat="1" ht="51.75" x14ac:dyDescent="0.25">
      <c r="A205" s="428"/>
      <c r="B205" s="369"/>
      <c r="C205" s="369"/>
      <c r="D205" s="224" t="s">
        <v>47</v>
      </c>
      <c r="E205" s="148">
        <f>E209</f>
        <v>9428.6200000000008</v>
      </c>
      <c r="F205" s="156">
        <f t="shared" si="48"/>
        <v>49908.963349999998</v>
      </c>
      <c r="G205" s="148">
        <f t="shared" ref="G205:H205" si="54">G209</f>
        <v>16635.688859999998</v>
      </c>
      <c r="H205" s="148">
        <f t="shared" si="54"/>
        <v>13718</v>
      </c>
      <c r="I205" s="349">
        <f>I209</f>
        <v>7897.2744899999998</v>
      </c>
      <c r="J205" s="349"/>
      <c r="K205" s="349"/>
      <c r="L205" s="349"/>
      <c r="M205" s="349"/>
      <c r="N205" s="148">
        <f t="shared" ref="N205:O205" si="55">N209</f>
        <v>5829</v>
      </c>
      <c r="O205" s="148">
        <f t="shared" si="55"/>
        <v>5829</v>
      </c>
      <c r="P205" s="345"/>
      <c r="T205" s="45"/>
      <c r="U205" s="45"/>
    </row>
    <row r="206" spans="1:21" s="9" customFormat="1" ht="34.5" x14ac:dyDescent="0.25">
      <c r="A206" s="428"/>
      <c r="B206" s="369"/>
      <c r="C206" s="369"/>
      <c r="D206" s="224" t="s">
        <v>87</v>
      </c>
      <c r="E206" s="148"/>
      <c r="F206" s="156">
        <f t="shared" si="48"/>
        <v>0</v>
      </c>
      <c r="G206" s="148">
        <f t="shared" ref="G206:H206" si="56">G210</f>
        <v>0</v>
      </c>
      <c r="H206" s="148">
        <f t="shared" si="56"/>
        <v>0</v>
      </c>
      <c r="I206" s="349">
        <f>I210</f>
        <v>0</v>
      </c>
      <c r="J206" s="349"/>
      <c r="K206" s="349"/>
      <c r="L206" s="349"/>
      <c r="M206" s="349"/>
      <c r="N206" s="148">
        <f t="shared" ref="N206:O206" si="57">N210</f>
        <v>0</v>
      </c>
      <c r="O206" s="148">
        <f t="shared" si="57"/>
        <v>0</v>
      </c>
      <c r="P206" s="345"/>
      <c r="T206" s="45"/>
      <c r="U206" s="45"/>
    </row>
    <row r="207" spans="1:21" s="9" customFormat="1" ht="36" customHeight="1" x14ac:dyDescent="0.25">
      <c r="A207" s="421" t="s">
        <v>51</v>
      </c>
      <c r="B207" s="429" t="s">
        <v>97</v>
      </c>
      <c r="C207" s="366" t="s">
        <v>86</v>
      </c>
      <c r="D207" s="305" t="s">
        <v>40</v>
      </c>
      <c r="E207" s="299"/>
      <c r="F207" s="310">
        <f t="shared" si="48"/>
        <v>0</v>
      </c>
      <c r="G207" s="292">
        <v>0</v>
      </c>
      <c r="H207" s="292">
        <v>0</v>
      </c>
      <c r="I207" s="347">
        <v>0</v>
      </c>
      <c r="J207" s="347"/>
      <c r="K207" s="347"/>
      <c r="L207" s="347"/>
      <c r="M207" s="347"/>
      <c r="N207" s="292">
        <v>0</v>
      </c>
      <c r="O207" s="292">
        <v>0</v>
      </c>
      <c r="P207" s="346" t="s">
        <v>3</v>
      </c>
      <c r="T207" s="45"/>
      <c r="U207" s="45"/>
    </row>
    <row r="208" spans="1:21" s="9" customFormat="1" ht="34.5" x14ac:dyDescent="0.25">
      <c r="A208" s="421"/>
      <c r="B208" s="429"/>
      <c r="C208" s="366"/>
      <c r="D208" s="305" t="s">
        <v>1</v>
      </c>
      <c r="E208" s="299"/>
      <c r="F208" s="310">
        <f t="shared" si="48"/>
        <v>0</v>
      </c>
      <c r="G208" s="292">
        <v>0</v>
      </c>
      <c r="H208" s="292">
        <v>0</v>
      </c>
      <c r="I208" s="347">
        <v>0</v>
      </c>
      <c r="J208" s="347"/>
      <c r="K208" s="347"/>
      <c r="L208" s="347"/>
      <c r="M208" s="347"/>
      <c r="N208" s="292">
        <v>0</v>
      </c>
      <c r="O208" s="292">
        <v>0</v>
      </c>
      <c r="P208" s="346"/>
      <c r="T208" s="45"/>
      <c r="U208" s="45"/>
    </row>
    <row r="209" spans="1:21" s="40" customFormat="1" ht="51.75" x14ac:dyDescent="0.25">
      <c r="A209" s="421"/>
      <c r="B209" s="429"/>
      <c r="C209" s="366"/>
      <c r="D209" s="305" t="s">
        <v>47</v>
      </c>
      <c r="E209" s="292">
        <v>9428.6200000000008</v>
      </c>
      <c r="F209" s="310">
        <f t="shared" si="48"/>
        <v>49908.963349999998</v>
      </c>
      <c r="G209" s="292">
        <v>16635.688859999998</v>
      </c>
      <c r="H209" s="292">
        <v>13718</v>
      </c>
      <c r="I209" s="350">
        <f>5829+2068.27449</f>
        <v>7897.2744899999998</v>
      </c>
      <c r="J209" s="350"/>
      <c r="K209" s="350"/>
      <c r="L209" s="350"/>
      <c r="M209" s="350"/>
      <c r="N209" s="292">
        <v>5829</v>
      </c>
      <c r="O209" s="292">
        <v>5829</v>
      </c>
      <c r="P209" s="346"/>
    </row>
    <row r="210" spans="1:21" s="40" customFormat="1" ht="34.5" x14ac:dyDescent="0.25">
      <c r="A210" s="421"/>
      <c r="B210" s="429"/>
      <c r="C210" s="366"/>
      <c r="D210" s="305" t="s">
        <v>87</v>
      </c>
      <c r="E210" s="292"/>
      <c r="F210" s="310">
        <f t="shared" si="48"/>
        <v>0</v>
      </c>
      <c r="G210" s="292">
        <v>0</v>
      </c>
      <c r="H210" s="292">
        <v>0</v>
      </c>
      <c r="I210" s="347">
        <v>0</v>
      </c>
      <c r="J210" s="347"/>
      <c r="K210" s="347"/>
      <c r="L210" s="347"/>
      <c r="M210" s="347"/>
      <c r="N210" s="292">
        <v>0</v>
      </c>
      <c r="O210" s="292">
        <v>0</v>
      </c>
      <c r="P210" s="346"/>
    </row>
    <row r="211" spans="1:21" s="40" customFormat="1" ht="27.75" customHeight="1" x14ac:dyDescent="0.25">
      <c r="A211" s="421"/>
      <c r="B211" s="317" t="s">
        <v>181</v>
      </c>
      <c r="C211" s="318" t="s">
        <v>116</v>
      </c>
      <c r="D211" s="319" t="s">
        <v>116</v>
      </c>
      <c r="E211" s="288"/>
      <c r="F211" s="320" t="s">
        <v>117</v>
      </c>
      <c r="G211" s="287" t="s">
        <v>247</v>
      </c>
      <c r="H211" s="287" t="s">
        <v>248</v>
      </c>
      <c r="I211" s="321" t="s">
        <v>123</v>
      </c>
      <c r="J211" s="316" t="s">
        <v>118</v>
      </c>
      <c r="K211" s="316"/>
      <c r="L211" s="316"/>
      <c r="M211" s="316"/>
      <c r="N211" s="287" t="s">
        <v>124</v>
      </c>
      <c r="O211" s="287" t="s">
        <v>125</v>
      </c>
      <c r="P211" s="322" t="s">
        <v>116</v>
      </c>
      <c r="Q211" s="41"/>
    </row>
    <row r="212" spans="1:21" s="40" customFormat="1" ht="53.25" customHeight="1" x14ac:dyDescent="0.25">
      <c r="A212" s="421"/>
      <c r="B212" s="317"/>
      <c r="C212" s="318"/>
      <c r="D212" s="319"/>
      <c r="E212" s="288"/>
      <c r="F212" s="320"/>
      <c r="G212" s="288"/>
      <c r="H212" s="288"/>
      <c r="I212" s="321"/>
      <c r="J212" s="288" t="s">
        <v>119</v>
      </c>
      <c r="K212" s="288" t="s">
        <v>120</v>
      </c>
      <c r="L212" s="288" t="s">
        <v>121</v>
      </c>
      <c r="M212" s="288" t="s">
        <v>122</v>
      </c>
      <c r="N212" s="288"/>
      <c r="O212" s="288"/>
      <c r="P212" s="322"/>
      <c r="Q212" s="41"/>
    </row>
    <row r="213" spans="1:21" s="40" customFormat="1" ht="48.75" customHeight="1" x14ac:dyDescent="0.25">
      <c r="A213" s="421"/>
      <c r="B213" s="317"/>
      <c r="C213" s="318"/>
      <c r="D213" s="319"/>
      <c r="E213" s="288"/>
      <c r="F213" s="190">
        <v>100</v>
      </c>
      <c r="G213" s="189">
        <v>100</v>
      </c>
      <c r="H213" s="189">
        <v>100</v>
      </c>
      <c r="I213" s="189">
        <v>100</v>
      </c>
      <c r="J213" s="189">
        <v>100</v>
      </c>
      <c r="K213" s="189">
        <v>100</v>
      </c>
      <c r="L213" s="189">
        <v>100</v>
      </c>
      <c r="M213" s="189">
        <v>100</v>
      </c>
      <c r="N213" s="189">
        <v>100</v>
      </c>
      <c r="O213" s="189">
        <v>100</v>
      </c>
      <c r="P213" s="322"/>
      <c r="Q213" s="41"/>
    </row>
    <row r="214" spans="1:21" s="9" customFormat="1" ht="42.75" customHeight="1" x14ac:dyDescent="0.25">
      <c r="A214" s="436" t="s">
        <v>204</v>
      </c>
      <c r="B214" s="429" t="s">
        <v>211</v>
      </c>
      <c r="C214" s="366" t="s">
        <v>207</v>
      </c>
      <c r="D214" s="305" t="s">
        <v>40</v>
      </c>
      <c r="E214" s="299"/>
      <c r="F214" s="310">
        <f t="shared" ref="F214:F217" si="58">SUM(G214:O214)</f>
        <v>0</v>
      </c>
      <c r="G214" s="292">
        <v>0</v>
      </c>
      <c r="H214" s="292">
        <v>0</v>
      </c>
      <c r="I214" s="347">
        <v>0</v>
      </c>
      <c r="J214" s="347"/>
      <c r="K214" s="347"/>
      <c r="L214" s="347"/>
      <c r="M214" s="347"/>
      <c r="N214" s="292">
        <v>0</v>
      </c>
      <c r="O214" s="292">
        <v>0</v>
      </c>
      <c r="P214" s="346" t="s">
        <v>3</v>
      </c>
      <c r="T214" s="45"/>
      <c r="U214" s="45"/>
    </row>
    <row r="215" spans="1:21" s="9" customFormat="1" ht="42" customHeight="1" x14ac:dyDescent="0.25">
      <c r="A215" s="437"/>
      <c r="B215" s="429"/>
      <c r="C215" s="366"/>
      <c r="D215" s="305" t="s">
        <v>1</v>
      </c>
      <c r="E215" s="299"/>
      <c r="F215" s="310">
        <f t="shared" si="58"/>
        <v>119903</v>
      </c>
      <c r="G215" s="292">
        <v>0</v>
      </c>
      <c r="H215" s="292">
        <v>27842</v>
      </c>
      <c r="I215" s="347">
        <v>30687</v>
      </c>
      <c r="J215" s="347"/>
      <c r="K215" s="347"/>
      <c r="L215" s="347"/>
      <c r="M215" s="347"/>
      <c r="N215" s="292">
        <v>30687</v>
      </c>
      <c r="O215" s="292">
        <v>30687</v>
      </c>
      <c r="P215" s="346"/>
      <c r="T215" s="45"/>
      <c r="U215" s="45"/>
    </row>
    <row r="216" spans="1:21" s="40" customFormat="1" ht="51.75" x14ac:dyDescent="0.25">
      <c r="A216" s="437"/>
      <c r="B216" s="429"/>
      <c r="C216" s="366"/>
      <c r="D216" s="305" t="s">
        <v>47</v>
      </c>
      <c r="E216" s="292">
        <v>9428.6200000000008</v>
      </c>
      <c r="F216" s="310">
        <f t="shared" si="58"/>
        <v>0</v>
      </c>
      <c r="G216" s="292">
        <v>0</v>
      </c>
      <c r="H216" s="292">
        <v>0</v>
      </c>
      <c r="I216" s="347">
        <v>0</v>
      </c>
      <c r="J216" s="347"/>
      <c r="K216" s="347"/>
      <c r="L216" s="347"/>
      <c r="M216" s="347"/>
      <c r="N216" s="292">
        <v>0</v>
      </c>
      <c r="O216" s="292">
        <v>0</v>
      </c>
      <c r="P216" s="346"/>
    </row>
    <row r="217" spans="1:21" s="40" customFormat="1" ht="48" customHeight="1" x14ac:dyDescent="0.25">
      <c r="A217" s="438"/>
      <c r="B217" s="429"/>
      <c r="C217" s="366"/>
      <c r="D217" s="305" t="s">
        <v>87</v>
      </c>
      <c r="E217" s="292"/>
      <c r="F217" s="310">
        <f t="shared" si="58"/>
        <v>0</v>
      </c>
      <c r="G217" s="292">
        <v>0</v>
      </c>
      <c r="H217" s="292">
        <v>0</v>
      </c>
      <c r="I217" s="347">
        <v>0</v>
      </c>
      <c r="J217" s="347"/>
      <c r="K217" s="347"/>
      <c r="L217" s="347"/>
      <c r="M217" s="347"/>
      <c r="N217" s="292">
        <v>0</v>
      </c>
      <c r="O217" s="292">
        <v>0</v>
      </c>
      <c r="P217" s="346"/>
    </row>
    <row r="218" spans="1:21" s="40" customFormat="1" ht="57" customHeight="1" x14ac:dyDescent="0.25">
      <c r="A218" s="436"/>
      <c r="B218" s="423" t="s">
        <v>213</v>
      </c>
      <c r="C218" s="387" t="s">
        <v>116</v>
      </c>
      <c r="D218" s="340" t="s">
        <v>116</v>
      </c>
      <c r="E218" s="131"/>
      <c r="F218" s="338" t="s">
        <v>117</v>
      </c>
      <c r="G218" s="230" t="s">
        <v>247</v>
      </c>
      <c r="H218" s="230" t="s">
        <v>248</v>
      </c>
      <c r="I218" s="321" t="s">
        <v>123</v>
      </c>
      <c r="J218" s="316" t="s">
        <v>118</v>
      </c>
      <c r="K218" s="316"/>
      <c r="L218" s="316"/>
      <c r="M218" s="316"/>
      <c r="N218" s="132" t="s">
        <v>124</v>
      </c>
      <c r="O218" s="132" t="s">
        <v>125</v>
      </c>
      <c r="P218" s="335" t="s">
        <v>116</v>
      </c>
      <c r="Q218" s="41"/>
    </row>
    <row r="219" spans="1:21" s="40" customFormat="1" ht="42" customHeight="1" x14ac:dyDescent="0.25">
      <c r="A219" s="437"/>
      <c r="B219" s="423"/>
      <c r="C219" s="387"/>
      <c r="D219" s="340"/>
      <c r="E219" s="131"/>
      <c r="F219" s="338"/>
      <c r="G219" s="206"/>
      <c r="H219" s="131"/>
      <c r="I219" s="321"/>
      <c r="J219" s="194" t="s">
        <v>119</v>
      </c>
      <c r="K219" s="194" t="s">
        <v>120</v>
      </c>
      <c r="L219" s="194" t="s">
        <v>121</v>
      </c>
      <c r="M219" s="194" t="s">
        <v>122</v>
      </c>
      <c r="N219" s="131"/>
      <c r="O219" s="131"/>
      <c r="P219" s="335"/>
      <c r="Q219" s="41"/>
    </row>
    <row r="220" spans="1:21" s="40" customFormat="1" ht="51.75" customHeight="1" x14ac:dyDescent="0.25">
      <c r="A220" s="438"/>
      <c r="B220" s="423"/>
      <c r="C220" s="387"/>
      <c r="D220" s="340"/>
      <c r="E220" s="131"/>
      <c r="F220" s="157">
        <v>100</v>
      </c>
      <c r="G220" s="133">
        <v>0</v>
      </c>
      <c r="H220" s="133">
        <v>0</v>
      </c>
      <c r="I220" s="189">
        <v>100</v>
      </c>
      <c r="J220" s="189">
        <v>0</v>
      </c>
      <c r="K220" s="189">
        <v>100</v>
      </c>
      <c r="L220" s="189">
        <v>100</v>
      </c>
      <c r="M220" s="189">
        <v>100</v>
      </c>
      <c r="N220" s="133">
        <v>100</v>
      </c>
      <c r="O220" s="133">
        <v>100</v>
      </c>
      <c r="P220" s="335"/>
      <c r="Q220" s="41"/>
    </row>
    <row r="221" spans="1:21" s="273" customFormat="1" ht="18.75" hidden="1" customHeight="1" x14ac:dyDescent="0.25">
      <c r="A221" s="427" t="s">
        <v>9</v>
      </c>
      <c r="B221" s="420" t="s">
        <v>189</v>
      </c>
      <c r="C221" s="420" t="s">
        <v>86</v>
      </c>
      <c r="D221" s="282" t="s">
        <v>2</v>
      </c>
      <c r="E221" s="283">
        <f>E224</f>
        <v>9428.6200000000008</v>
      </c>
      <c r="F221" s="280">
        <f t="shared" ref="F221:F229" si="59">SUM(G221:O221)</f>
        <v>0</v>
      </c>
      <c r="G221" s="283">
        <f t="shared" ref="G221:H221" si="60">G222+G223+G224+G225</f>
        <v>0</v>
      </c>
      <c r="H221" s="283">
        <f t="shared" si="60"/>
        <v>0</v>
      </c>
      <c r="I221" s="348">
        <f>I222+I223+I224+I225</f>
        <v>0</v>
      </c>
      <c r="J221" s="348"/>
      <c r="K221" s="348"/>
      <c r="L221" s="348"/>
      <c r="M221" s="348"/>
      <c r="N221" s="283">
        <f t="shared" ref="N221:O221" si="61">N222+N223+N224+N225</f>
        <v>0</v>
      </c>
      <c r="O221" s="283">
        <f t="shared" si="61"/>
        <v>0</v>
      </c>
      <c r="P221" s="351"/>
      <c r="T221" s="281"/>
      <c r="U221" s="281"/>
    </row>
    <row r="222" spans="1:21" s="273" customFormat="1" ht="36" hidden="1" customHeight="1" x14ac:dyDescent="0.25">
      <c r="A222" s="427"/>
      <c r="B222" s="420"/>
      <c r="C222" s="420"/>
      <c r="D222" s="282" t="s">
        <v>40</v>
      </c>
      <c r="E222" s="283"/>
      <c r="F222" s="280">
        <f t="shared" si="59"/>
        <v>0</v>
      </c>
      <c r="G222" s="284">
        <f t="shared" ref="G222:H222" si="62">G226</f>
        <v>0</v>
      </c>
      <c r="H222" s="284">
        <f t="shared" si="62"/>
        <v>0</v>
      </c>
      <c r="I222" s="353">
        <f>I226</f>
        <v>0</v>
      </c>
      <c r="J222" s="353"/>
      <c r="K222" s="353"/>
      <c r="L222" s="353"/>
      <c r="M222" s="353"/>
      <c r="N222" s="284">
        <f t="shared" ref="N222:O222" si="63">N226</f>
        <v>0</v>
      </c>
      <c r="O222" s="284">
        <f t="shared" si="63"/>
        <v>0</v>
      </c>
      <c r="P222" s="351"/>
      <c r="T222" s="281"/>
      <c r="U222" s="281"/>
    </row>
    <row r="223" spans="1:21" s="273" customFormat="1" ht="34.5" hidden="1" x14ac:dyDescent="0.25">
      <c r="A223" s="427"/>
      <c r="B223" s="420"/>
      <c r="C223" s="420"/>
      <c r="D223" s="282" t="s">
        <v>1</v>
      </c>
      <c r="E223" s="283"/>
      <c r="F223" s="280">
        <f t="shared" si="59"/>
        <v>0</v>
      </c>
      <c r="G223" s="284">
        <f t="shared" ref="G223:H223" si="64">G227</f>
        <v>0</v>
      </c>
      <c r="H223" s="284">
        <f t="shared" si="64"/>
        <v>0</v>
      </c>
      <c r="I223" s="353">
        <f>I227</f>
        <v>0</v>
      </c>
      <c r="J223" s="353"/>
      <c r="K223" s="353"/>
      <c r="L223" s="353"/>
      <c r="M223" s="353"/>
      <c r="N223" s="284">
        <f t="shared" ref="N223:O223" si="65">N227</f>
        <v>0</v>
      </c>
      <c r="O223" s="284">
        <f t="shared" si="65"/>
        <v>0</v>
      </c>
      <c r="P223" s="351"/>
      <c r="T223" s="281"/>
      <c r="U223" s="281"/>
    </row>
    <row r="224" spans="1:21" s="273" customFormat="1" ht="51.75" hidden="1" x14ac:dyDescent="0.25">
      <c r="A224" s="427"/>
      <c r="B224" s="420"/>
      <c r="C224" s="420"/>
      <c r="D224" s="282" t="s">
        <v>47</v>
      </c>
      <c r="E224" s="285">
        <f>E228</f>
        <v>9428.6200000000008</v>
      </c>
      <c r="F224" s="280">
        <f t="shared" si="59"/>
        <v>0</v>
      </c>
      <c r="G224" s="285">
        <f t="shared" ref="G224:H224" si="66">G228</f>
        <v>0</v>
      </c>
      <c r="H224" s="285">
        <f t="shared" si="66"/>
        <v>0</v>
      </c>
      <c r="I224" s="344">
        <f>I228</f>
        <v>0</v>
      </c>
      <c r="J224" s="344"/>
      <c r="K224" s="344"/>
      <c r="L224" s="344"/>
      <c r="M224" s="344"/>
      <c r="N224" s="285">
        <f t="shared" ref="N224:O224" si="67">N228</f>
        <v>0</v>
      </c>
      <c r="O224" s="285">
        <f t="shared" si="67"/>
        <v>0</v>
      </c>
      <c r="P224" s="351"/>
      <c r="T224" s="281"/>
      <c r="U224" s="281"/>
    </row>
    <row r="225" spans="1:21" s="273" customFormat="1" ht="34.5" hidden="1" x14ac:dyDescent="0.25">
      <c r="A225" s="427"/>
      <c r="B225" s="420"/>
      <c r="C225" s="420"/>
      <c r="D225" s="282" t="s">
        <v>87</v>
      </c>
      <c r="E225" s="285"/>
      <c r="F225" s="280">
        <f t="shared" si="59"/>
        <v>0</v>
      </c>
      <c r="G225" s="285">
        <f t="shared" ref="G225:H225" si="68">G229</f>
        <v>0</v>
      </c>
      <c r="H225" s="285">
        <f t="shared" si="68"/>
        <v>0</v>
      </c>
      <c r="I225" s="344">
        <f>I229</f>
        <v>0</v>
      </c>
      <c r="J225" s="344"/>
      <c r="K225" s="344"/>
      <c r="L225" s="344"/>
      <c r="M225" s="344"/>
      <c r="N225" s="285">
        <f t="shared" ref="N225:O225" si="69">N229</f>
        <v>0</v>
      </c>
      <c r="O225" s="285">
        <f t="shared" si="69"/>
        <v>0</v>
      </c>
      <c r="P225" s="351"/>
      <c r="T225" s="281"/>
      <c r="U225" s="281"/>
    </row>
    <row r="226" spans="1:21" s="273" customFormat="1" ht="36" hidden="1" customHeight="1" x14ac:dyDescent="0.25">
      <c r="A226" s="441" t="s">
        <v>52</v>
      </c>
      <c r="B226" s="439" t="s">
        <v>190</v>
      </c>
      <c r="C226" s="420" t="s">
        <v>86</v>
      </c>
      <c r="D226" s="272" t="s">
        <v>40</v>
      </c>
      <c r="E226" s="285"/>
      <c r="F226" s="280">
        <f t="shared" si="59"/>
        <v>0</v>
      </c>
      <c r="G226" s="286">
        <v>0</v>
      </c>
      <c r="H226" s="286">
        <v>0</v>
      </c>
      <c r="I226" s="465">
        <v>0</v>
      </c>
      <c r="J226" s="465"/>
      <c r="K226" s="465"/>
      <c r="L226" s="465"/>
      <c r="M226" s="465"/>
      <c r="N226" s="286">
        <v>0</v>
      </c>
      <c r="O226" s="286">
        <v>0</v>
      </c>
      <c r="P226" s="343" t="s">
        <v>3</v>
      </c>
      <c r="T226" s="281"/>
      <c r="U226" s="281"/>
    </row>
    <row r="227" spans="1:21" s="273" customFormat="1" ht="34.5" hidden="1" x14ac:dyDescent="0.25">
      <c r="A227" s="441"/>
      <c r="B227" s="439"/>
      <c r="C227" s="420"/>
      <c r="D227" s="272" t="s">
        <v>1</v>
      </c>
      <c r="E227" s="285"/>
      <c r="F227" s="280">
        <f t="shared" si="59"/>
        <v>0</v>
      </c>
      <c r="G227" s="286">
        <v>0</v>
      </c>
      <c r="H227" s="286">
        <v>0</v>
      </c>
      <c r="I227" s="465">
        <v>0</v>
      </c>
      <c r="J227" s="465"/>
      <c r="K227" s="465"/>
      <c r="L227" s="465"/>
      <c r="M227" s="465"/>
      <c r="N227" s="286">
        <v>0</v>
      </c>
      <c r="O227" s="286">
        <v>0</v>
      </c>
      <c r="P227" s="343"/>
      <c r="T227" s="281"/>
      <c r="U227" s="281"/>
    </row>
    <row r="228" spans="1:21" s="273" customFormat="1" ht="51.75" hidden="1" x14ac:dyDescent="0.25">
      <c r="A228" s="441"/>
      <c r="B228" s="439"/>
      <c r="C228" s="420"/>
      <c r="D228" s="272" t="s">
        <v>47</v>
      </c>
      <c r="E228" s="286">
        <v>9428.6200000000008</v>
      </c>
      <c r="F228" s="280">
        <f t="shared" si="59"/>
        <v>0</v>
      </c>
      <c r="G228" s="286">
        <v>0</v>
      </c>
      <c r="H228" s="286">
        <v>0</v>
      </c>
      <c r="I228" s="465">
        <v>0</v>
      </c>
      <c r="J228" s="465"/>
      <c r="K228" s="465"/>
      <c r="L228" s="465"/>
      <c r="M228" s="465"/>
      <c r="N228" s="286">
        <v>0</v>
      </c>
      <c r="O228" s="286">
        <v>0</v>
      </c>
      <c r="P228" s="343"/>
    </row>
    <row r="229" spans="1:21" s="273" customFormat="1" ht="34.5" hidden="1" x14ac:dyDescent="0.25">
      <c r="A229" s="441"/>
      <c r="B229" s="439"/>
      <c r="C229" s="420"/>
      <c r="D229" s="272" t="s">
        <v>87</v>
      </c>
      <c r="E229" s="286"/>
      <c r="F229" s="280">
        <f t="shared" si="59"/>
        <v>0</v>
      </c>
      <c r="G229" s="286">
        <v>0</v>
      </c>
      <c r="H229" s="286">
        <v>0</v>
      </c>
      <c r="I229" s="465">
        <v>0</v>
      </c>
      <c r="J229" s="465"/>
      <c r="K229" s="465"/>
      <c r="L229" s="465"/>
      <c r="M229" s="465"/>
      <c r="N229" s="286">
        <v>0</v>
      </c>
      <c r="O229" s="286">
        <v>0</v>
      </c>
      <c r="P229" s="343"/>
    </row>
    <row r="230" spans="1:21" s="273" customFormat="1" ht="22.5" hidden="1" customHeight="1" x14ac:dyDescent="0.25">
      <c r="A230" s="441"/>
      <c r="B230" s="440" t="s">
        <v>191</v>
      </c>
      <c r="C230" s="432" t="s">
        <v>116</v>
      </c>
      <c r="D230" s="455" t="s">
        <v>116</v>
      </c>
      <c r="E230" s="274"/>
      <c r="F230" s="456" t="s">
        <v>117</v>
      </c>
      <c r="G230" s="275" t="s">
        <v>247</v>
      </c>
      <c r="H230" s="275" t="s">
        <v>248</v>
      </c>
      <c r="I230" s="457" t="s">
        <v>123</v>
      </c>
      <c r="J230" s="458" t="s">
        <v>118</v>
      </c>
      <c r="K230" s="458"/>
      <c r="L230" s="458"/>
      <c r="M230" s="458"/>
      <c r="N230" s="275" t="s">
        <v>124</v>
      </c>
      <c r="O230" s="275" t="s">
        <v>125</v>
      </c>
      <c r="P230" s="352" t="s">
        <v>116</v>
      </c>
      <c r="Q230" s="276"/>
    </row>
    <row r="231" spans="1:21" s="273" customFormat="1" ht="24.75" hidden="1" customHeight="1" x14ac:dyDescent="0.25">
      <c r="A231" s="441"/>
      <c r="B231" s="440"/>
      <c r="C231" s="432"/>
      <c r="D231" s="455"/>
      <c r="E231" s="274"/>
      <c r="F231" s="456"/>
      <c r="G231" s="274"/>
      <c r="H231" s="274"/>
      <c r="I231" s="457"/>
      <c r="J231" s="277" t="s">
        <v>119</v>
      </c>
      <c r="K231" s="277" t="s">
        <v>120</v>
      </c>
      <c r="L231" s="277" t="s">
        <v>121</v>
      </c>
      <c r="M231" s="277" t="s">
        <v>122</v>
      </c>
      <c r="N231" s="274"/>
      <c r="O231" s="274"/>
      <c r="P231" s="352"/>
      <c r="Q231" s="276"/>
    </row>
    <row r="232" spans="1:21" s="273" customFormat="1" ht="6.75" hidden="1" customHeight="1" x14ac:dyDescent="0.25">
      <c r="A232" s="441"/>
      <c r="B232" s="440"/>
      <c r="C232" s="432"/>
      <c r="D232" s="455"/>
      <c r="E232" s="274"/>
      <c r="F232" s="278">
        <v>0</v>
      </c>
      <c r="G232" s="278">
        <v>0</v>
      </c>
      <c r="H232" s="278">
        <v>0</v>
      </c>
      <c r="I232" s="279">
        <v>0</v>
      </c>
      <c r="J232" s="279">
        <v>0</v>
      </c>
      <c r="K232" s="279">
        <v>0</v>
      </c>
      <c r="L232" s="279">
        <v>0</v>
      </c>
      <c r="M232" s="279">
        <v>0</v>
      </c>
      <c r="N232" s="278">
        <v>0</v>
      </c>
      <c r="O232" s="278">
        <v>0</v>
      </c>
      <c r="P232" s="352"/>
      <c r="Q232" s="276"/>
    </row>
    <row r="233" spans="1:21" s="9" customFormat="1" ht="34.5" customHeight="1" x14ac:dyDescent="0.25">
      <c r="A233" s="428" t="s">
        <v>35</v>
      </c>
      <c r="B233" s="369" t="s">
        <v>98</v>
      </c>
      <c r="C233" s="369" t="s">
        <v>45</v>
      </c>
      <c r="D233" s="224" t="s">
        <v>2</v>
      </c>
      <c r="E233" s="146">
        <f>E236</f>
        <v>0</v>
      </c>
      <c r="F233" s="156">
        <f t="shared" ref="F233:F241" si="70">SUM(G233:O233)</f>
        <v>147396.42741</v>
      </c>
      <c r="G233" s="214">
        <f t="shared" ref="G233:H233" si="71">G234+G235+G236+G237</f>
        <v>147396.42741</v>
      </c>
      <c r="H233" s="146">
        <f t="shared" si="71"/>
        <v>0</v>
      </c>
      <c r="I233" s="395">
        <f>I234+I235+I236+I237</f>
        <v>0</v>
      </c>
      <c r="J233" s="395"/>
      <c r="K233" s="395"/>
      <c r="L233" s="395"/>
      <c r="M233" s="395"/>
      <c r="N233" s="146">
        <f t="shared" ref="N233:O233" si="72">N234+N235+N236+N237</f>
        <v>0</v>
      </c>
      <c r="O233" s="146">
        <f t="shared" si="72"/>
        <v>0</v>
      </c>
      <c r="P233" s="345"/>
      <c r="T233" s="45"/>
      <c r="U233" s="45"/>
    </row>
    <row r="234" spans="1:21" s="9" customFormat="1" ht="36" customHeight="1" x14ac:dyDescent="0.25">
      <c r="A234" s="428"/>
      <c r="B234" s="369"/>
      <c r="C234" s="369"/>
      <c r="D234" s="224" t="s">
        <v>40</v>
      </c>
      <c r="E234" s="146"/>
      <c r="F234" s="156">
        <f t="shared" si="70"/>
        <v>0</v>
      </c>
      <c r="G234" s="212">
        <f t="shared" ref="G234:H234" si="73">G238</f>
        <v>0</v>
      </c>
      <c r="H234" s="147">
        <f t="shared" si="73"/>
        <v>0</v>
      </c>
      <c r="I234" s="342">
        <f>I238</f>
        <v>0</v>
      </c>
      <c r="J234" s="342"/>
      <c r="K234" s="342"/>
      <c r="L234" s="342"/>
      <c r="M234" s="342"/>
      <c r="N234" s="147">
        <f t="shared" ref="N234:O234" si="74">N238</f>
        <v>0</v>
      </c>
      <c r="O234" s="147">
        <f t="shared" si="74"/>
        <v>0</v>
      </c>
      <c r="P234" s="345"/>
      <c r="T234" s="45"/>
      <c r="U234" s="45"/>
    </row>
    <row r="235" spans="1:21" s="9" customFormat="1" ht="34.5" x14ac:dyDescent="0.25">
      <c r="A235" s="428"/>
      <c r="B235" s="369"/>
      <c r="C235" s="369"/>
      <c r="D235" s="224" t="s">
        <v>1</v>
      </c>
      <c r="E235" s="146"/>
      <c r="F235" s="156">
        <f t="shared" si="70"/>
        <v>61976.218000000001</v>
      </c>
      <c r="G235" s="212">
        <f>G239</f>
        <v>61976.218000000001</v>
      </c>
      <c r="H235" s="300">
        <f>H239</f>
        <v>0</v>
      </c>
      <c r="I235" s="342">
        <f t="shared" ref="I235:I236" si="75">I239</f>
        <v>0</v>
      </c>
      <c r="J235" s="342"/>
      <c r="K235" s="342"/>
      <c r="L235" s="342"/>
      <c r="M235" s="342"/>
      <c r="N235" s="147">
        <f t="shared" ref="N235:O235" si="76">N239</f>
        <v>0</v>
      </c>
      <c r="O235" s="147">
        <f t="shared" si="76"/>
        <v>0</v>
      </c>
      <c r="P235" s="345"/>
      <c r="T235" s="45"/>
      <c r="U235" s="45"/>
    </row>
    <row r="236" spans="1:21" s="9" customFormat="1" ht="51.75" x14ac:dyDescent="0.25">
      <c r="A236" s="428"/>
      <c r="B236" s="369"/>
      <c r="C236" s="369"/>
      <c r="D236" s="224" t="s">
        <v>47</v>
      </c>
      <c r="E236" s="148">
        <f>E239</f>
        <v>0</v>
      </c>
      <c r="F236" s="156">
        <f t="shared" si="70"/>
        <v>85420.209409999996</v>
      </c>
      <c r="G236" s="300">
        <f>G240</f>
        <v>85420.209409999996</v>
      </c>
      <c r="H236" s="300">
        <f>H240</f>
        <v>0</v>
      </c>
      <c r="I236" s="342">
        <f t="shared" si="75"/>
        <v>0</v>
      </c>
      <c r="J236" s="342"/>
      <c r="K236" s="342"/>
      <c r="L236" s="342"/>
      <c r="M236" s="342"/>
      <c r="N236" s="148">
        <f t="shared" ref="N236:O236" si="77">N240</f>
        <v>0</v>
      </c>
      <c r="O236" s="148">
        <f t="shared" si="77"/>
        <v>0</v>
      </c>
      <c r="P236" s="345"/>
      <c r="T236" s="45"/>
      <c r="U236" s="45"/>
    </row>
    <row r="237" spans="1:21" s="9" customFormat="1" ht="34.5" x14ac:dyDescent="0.25">
      <c r="A237" s="428"/>
      <c r="B237" s="369"/>
      <c r="C237" s="369"/>
      <c r="D237" s="224" t="s">
        <v>87</v>
      </c>
      <c r="E237" s="148"/>
      <c r="F237" s="156">
        <f t="shared" si="70"/>
        <v>0</v>
      </c>
      <c r="G237" s="148">
        <f t="shared" ref="G237:H237" si="78">G241</f>
        <v>0</v>
      </c>
      <c r="H237" s="148">
        <f t="shared" si="78"/>
        <v>0</v>
      </c>
      <c r="I237" s="349">
        <f>I241</f>
        <v>0</v>
      </c>
      <c r="J237" s="349"/>
      <c r="K237" s="349"/>
      <c r="L237" s="349"/>
      <c r="M237" s="349"/>
      <c r="N237" s="148">
        <f t="shared" ref="N237:O237" si="79">N241</f>
        <v>0</v>
      </c>
      <c r="O237" s="148">
        <f t="shared" si="79"/>
        <v>0</v>
      </c>
      <c r="P237" s="345"/>
      <c r="T237" s="45"/>
      <c r="U237" s="45"/>
    </row>
    <row r="238" spans="1:21" s="9" customFormat="1" ht="40.5" customHeight="1" x14ac:dyDescent="0.25">
      <c r="A238" s="424" t="s">
        <v>57</v>
      </c>
      <c r="B238" s="392" t="s">
        <v>99</v>
      </c>
      <c r="C238" s="386" t="s">
        <v>45</v>
      </c>
      <c r="D238" s="225" t="s">
        <v>40</v>
      </c>
      <c r="E238" s="71"/>
      <c r="F238" s="156">
        <f t="shared" si="70"/>
        <v>0</v>
      </c>
      <c r="G238" s="213">
        <v>0</v>
      </c>
      <c r="H238" s="117">
        <v>0</v>
      </c>
      <c r="I238" s="347">
        <v>0</v>
      </c>
      <c r="J238" s="347"/>
      <c r="K238" s="347"/>
      <c r="L238" s="347"/>
      <c r="M238" s="347"/>
      <c r="N238" s="117">
        <v>0</v>
      </c>
      <c r="O238" s="117">
        <v>0</v>
      </c>
      <c r="P238" s="335" t="s">
        <v>3</v>
      </c>
      <c r="T238" s="45"/>
      <c r="U238" s="45"/>
    </row>
    <row r="239" spans="1:21" s="40" customFormat="1" ht="34.5" x14ac:dyDescent="0.25">
      <c r="A239" s="425"/>
      <c r="B239" s="392"/>
      <c r="C239" s="386"/>
      <c r="D239" s="221" t="s">
        <v>1</v>
      </c>
      <c r="E239" s="130">
        <v>0</v>
      </c>
      <c r="F239" s="156">
        <f t="shared" si="70"/>
        <v>61976.218000000001</v>
      </c>
      <c r="G239" s="130">
        <v>61976.218000000001</v>
      </c>
      <c r="H239" s="130">
        <v>0</v>
      </c>
      <c r="I239" s="324">
        <f>114716.441-114716.441</f>
        <v>0</v>
      </c>
      <c r="J239" s="324"/>
      <c r="K239" s="324"/>
      <c r="L239" s="324"/>
      <c r="M239" s="324"/>
      <c r="N239" s="130">
        <v>0</v>
      </c>
      <c r="O239" s="130">
        <v>0</v>
      </c>
      <c r="P239" s="335"/>
    </row>
    <row r="240" spans="1:21" s="40" customFormat="1" ht="51.75" x14ac:dyDescent="0.25">
      <c r="A240" s="425"/>
      <c r="B240" s="392"/>
      <c r="C240" s="386"/>
      <c r="D240" s="221" t="s">
        <v>47</v>
      </c>
      <c r="E240" s="130">
        <v>0</v>
      </c>
      <c r="F240" s="156">
        <f t="shared" si="70"/>
        <v>85420.209409999996</v>
      </c>
      <c r="G240" s="130">
        <v>85420.209409999996</v>
      </c>
      <c r="H240" s="130">
        <v>0</v>
      </c>
      <c r="I240" s="324">
        <f>69830.1+42839.82134-112669.92134</f>
        <v>0</v>
      </c>
      <c r="J240" s="324"/>
      <c r="K240" s="324"/>
      <c r="L240" s="324"/>
      <c r="M240" s="324"/>
      <c r="N240" s="130">
        <v>0</v>
      </c>
      <c r="O240" s="130">
        <v>0</v>
      </c>
      <c r="P240" s="335"/>
      <c r="Q240" s="41"/>
    </row>
    <row r="241" spans="1:21" s="40" customFormat="1" ht="34.5" x14ac:dyDescent="0.25">
      <c r="A241" s="425"/>
      <c r="B241" s="392"/>
      <c r="C241" s="386"/>
      <c r="D241" s="221" t="s">
        <v>87</v>
      </c>
      <c r="E241" s="130"/>
      <c r="F241" s="156">
        <f t="shared" si="70"/>
        <v>0</v>
      </c>
      <c r="G241" s="130">
        <v>0</v>
      </c>
      <c r="H241" s="130">
        <v>0</v>
      </c>
      <c r="I241" s="324">
        <v>0</v>
      </c>
      <c r="J241" s="324"/>
      <c r="K241" s="324"/>
      <c r="L241" s="324"/>
      <c r="M241" s="324"/>
      <c r="N241" s="130">
        <v>0</v>
      </c>
      <c r="O241" s="130">
        <v>0</v>
      </c>
      <c r="P241" s="335"/>
      <c r="Q241" s="41"/>
    </row>
    <row r="242" spans="1:21" s="40" customFormat="1" ht="24" customHeight="1" x14ac:dyDescent="0.25">
      <c r="A242" s="425"/>
      <c r="B242" s="423" t="s">
        <v>162</v>
      </c>
      <c r="C242" s="387" t="s">
        <v>116</v>
      </c>
      <c r="D242" s="340" t="s">
        <v>116</v>
      </c>
      <c r="E242" s="131"/>
      <c r="F242" s="338" t="s">
        <v>117</v>
      </c>
      <c r="G242" s="230" t="s">
        <v>247</v>
      </c>
      <c r="H242" s="230" t="s">
        <v>248</v>
      </c>
      <c r="I242" s="321" t="s">
        <v>123</v>
      </c>
      <c r="J242" s="316" t="s">
        <v>118</v>
      </c>
      <c r="K242" s="316"/>
      <c r="L242" s="316"/>
      <c r="M242" s="316"/>
      <c r="N242" s="132" t="s">
        <v>124</v>
      </c>
      <c r="O242" s="132" t="s">
        <v>125</v>
      </c>
      <c r="P242" s="335" t="s">
        <v>116</v>
      </c>
      <c r="Q242" s="41"/>
    </row>
    <row r="243" spans="1:21" s="40" customFormat="1" ht="24" customHeight="1" x14ac:dyDescent="0.25">
      <c r="A243" s="425"/>
      <c r="B243" s="423"/>
      <c r="C243" s="387"/>
      <c r="D243" s="340"/>
      <c r="E243" s="131"/>
      <c r="F243" s="338"/>
      <c r="G243" s="206"/>
      <c r="H243" s="131"/>
      <c r="I243" s="321"/>
      <c r="J243" s="194" t="s">
        <v>119</v>
      </c>
      <c r="K243" s="194" t="s">
        <v>120</v>
      </c>
      <c r="L243" s="194" t="s">
        <v>121</v>
      </c>
      <c r="M243" s="194" t="s">
        <v>122</v>
      </c>
      <c r="N243" s="131"/>
      <c r="O243" s="131"/>
      <c r="P243" s="335"/>
      <c r="Q243" s="41"/>
    </row>
    <row r="244" spans="1:21" s="40" customFormat="1" ht="26.25" customHeight="1" x14ac:dyDescent="0.25">
      <c r="A244" s="426"/>
      <c r="B244" s="423"/>
      <c r="C244" s="387"/>
      <c r="D244" s="340"/>
      <c r="E244" s="131"/>
      <c r="F244" s="157">
        <v>0</v>
      </c>
      <c r="G244" s="133">
        <v>0</v>
      </c>
      <c r="H244" s="133">
        <v>0</v>
      </c>
      <c r="I244" s="189">
        <v>0</v>
      </c>
      <c r="J244" s="189">
        <v>0</v>
      </c>
      <c r="K244" s="189">
        <v>0</v>
      </c>
      <c r="L244" s="189">
        <v>0</v>
      </c>
      <c r="M244" s="189">
        <v>0</v>
      </c>
      <c r="N244" s="133">
        <v>0</v>
      </c>
      <c r="O244" s="133">
        <v>0</v>
      </c>
      <c r="P244" s="335"/>
      <c r="Q244" s="41"/>
    </row>
    <row r="245" spans="1:21" s="9" customFormat="1" ht="29.25" customHeight="1" x14ac:dyDescent="0.25">
      <c r="A245" s="406" t="s">
        <v>10</v>
      </c>
      <c r="B245" s="360" t="s">
        <v>80</v>
      </c>
      <c r="C245" s="360" t="s">
        <v>45</v>
      </c>
      <c r="D245" s="219" t="s">
        <v>2</v>
      </c>
      <c r="E245" s="142">
        <f>E247+E248</f>
        <v>0</v>
      </c>
      <c r="F245" s="156">
        <f t="shared" ref="F245:F253" si="80">SUM(G245:O245)</f>
        <v>806006.23083000001</v>
      </c>
      <c r="G245" s="205">
        <f t="shared" ref="G245:H245" si="81">G246+G247+G248+G249</f>
        <v>806006.23083000001</v>
      </c>
      <c r="H245" s="142">
        <f t="shared" si="81"/>
        <v>0</v>
      </c>
      <c r="I245" s="334">
        <f>I246+I247+I248+I249</f>
        <v>0</v>
      </c>
      <c r="J245" s="334"/>
      <c r="K245" s="334"/>
      <c r="L245" s="334"/>
      <c r="M245" s="334"/>
      <c r="N245" s="142">
        <f t="shared" ref="N245:O245" si="82">N246+N247+N248+N249</f>
        <v>0</v>
      </c>
      <c r="O245" s="142">
        <f t="shared" si="82"/>
        <v>0</v>
      </c>
      <c r="P245" s="333"/>
      <c r="T245" s="45"/>
      <c r="U245" s="45"/>
    </row>
    <row r="246" spans="1:21" s="9" customFormat="1" ht="39.75" customHeight="1" x14ac:dyDescent="0.25">
      <c r="A246" s="406"/>
      <c r="B246" s="360"/>
      <c r="C246" s="360"/>
      <c r="D246" s="219" t="s">
        <v>40</v>
      </c>
      <c r="E246" s="142"/>
      <c r="F246" s="156">
        <f t="shared" si="80"/>
        <v>58761.3</v>
      </c>
      <c r="G246" s="204">
        <f>G250+G260+G267+G274+G281</f>
        <v>58761.3</v>
      </c>
      <c r="H246" s="298">
        <f>H250+H260+H267+H274+H281</f>
        <v>0</v>
      </c>
      <c r="I246" s="328">
        <f>I250+I260+I267+I274+I281</f>
        <v>0</v>
      </c>
      <c r="J246" s="328"/>
      <c r="K246" s="328"/>
      <c r="L246" s="328"/>
      <c r="M246" s="328"/>
      <c r="N246" s="143">
        <f>N250+N260+N267+N274+N281</f>
        <v>0</v>
      </c>
      <c r="O246" s="298">
        <f>O250+O260+O267+O274+O281</f>
        <v>0</v>
      </c>
      <c r="P246" s="333"/>
      <c r="T246" s="45"/>
      <c r="U246" s="45"/>
    </row>
    <row r="247" spans="1:21" s="9" customFormat="1" ht="39.75" customHeight="1" x14ac:dyDescent="0.25">
      <c r="A247" s="406"/>
      <c r="B247" s="360"/>
      <c r="C247" s="360"/>
      <c r="D247" s="219" t="s">
        <v>1</v>
      </c>
      <c r="E247" s="143">
        <f>E251</f>
        <v>0</v>
      </c>
      <c r="F247" s="156">
        <f t="shared" si="80"/>
        <v>408038.41587999999</v>
      </c>
      <c r="G247" s="298">
        <f t="shared" ref="G247:I247" si="83">G251+G261+G268+G275+G282</f>
        <v>408038.41587999999</v>
      </c>
      <c r="H247" s="298">
        <f t="shared" si="83"/>
        <v>0</v>
      </c>
      <c r="I247" s="328">
        <f t="shared" si="83"/>
        <v>0</v>
      </c>
      <c r="J247" s="328"/>
      <c r="K247" s="328"/>
      <c r="L247" s="328"/>
      <c r="M247" s="328"/>
      <c r="N247" s="298">
        <f t="shared" ref="N247:O247" si="84">N251+N261+N268+N275+N282</f>
        <v>0</v>
      </c>
      <c r="O247" s="298">
        <f t="shared" si="84"/>
        <v>0</v>
      </c>
      <c r="P247" s="333"/>
      <c r="T247" s="45"/>
      <c r="U247" s="45"/>
    </row>
    <row r="248" spans="1:21" s="9" customFormat="1" ht="58.5" customHeight="1" x14ac:dyDescent="0.25">
      <c r="A248" s="406"/>
      <c r="B248" s="360"/>
      <c r="C248" s="360"/>
      <c r="D248" s="219" t="s">
        <v>48</v>
      </c>
      <c r="E248" s="143">
        <f>E252</f>
        <v>0</v>
      </c>
      <c r="F248" s="156">
        <f t="shared" si="80"/>
        <v>339206.51494999998</v>
      </c>
      <c r="G248" s="298">
        <f>G252+G262+G269+G276+G283+G290</f>
        <v>339206.51494999998</v>
      </c>
      <c r="H248" s="298">
        <f t="shared" ref="G248:I249" si="85">H252+H262+H269+H276+H283</f>
        <v>0</v>
      </c>
      <c r="I248" s="328">
        <f t="shared" si="85"/>
        <v>0</v>
      </c>
      <c r="J248" s="328"/>
      <c r="K248" s="328"/>
      <c r="L248" s="328"/>
      <c r="M248" s="328"/>
      <c r="N248" s="298">
        <f t="shared" ref="N248:O248" si="86">N252+N262+N269+N276+N283</f>
        <v>0</v>
      </c>
      <c r="O248" s="298">
        <f t="shared" si="86"/>
        <v>0</v>
      </c>
      <c r="P248" s="333"/>
      <c r="T248" s="45"/>
      <c r="U248" s="45"/>
    </row>
    <row r="249" spans="1:21" s="9" customFormat="1" ht="34.5" x14ac:dyDescent="0.25">
      <c r="A249" s="406"/>
      <c r="B249" s="360"/>
      <c r="C249" s="360"/>
      <c r="D249" s="219" t="s">
        <v>87</v>
      </c>
      <c r="E249" s="143"/>
      <c r="F249" s="156">
        <f t="shared" si="80"/>
        <v>0</v>
      </c>
      <c r="G249" s="298">
        <f t="shared" si="85"/>
        <v>0</v>
      </c>
      <c r="H249" s="298">
        <f t="shared" si="85"/>
        <v>0</v>
      </c>
      <c r="I249" s="328">
        <f t="shared" si="85"/>
        <v>0</v>
      </c>
      <c r="J249" s="328"/>
      <c r="K249" s="328"/>
      <c r="L249" s="328"/>
      <c r="M249" s="328"/>
      <c r="N249" s="298">
        <f t="shared" ref="N249:O249" si="87">N253+N263+N270+N277+N284</f>
        <v>0</v>
      </c>
      <c r="O249" s="298">
        <f t="shared" si="87"/>
        <v>0</v>
      </c>
      <c r="P249" s="333"/>
      <c r="T249" s="45"/>
      <c r="U249" s="45"/>
    </row>
    <row r="250" spans="1:21" s="40" customFormat="1" ht="42" customHeight="1" x14ac:dyDescent="0.25">
      <c r="A250" s="422" t="s">
        <v>58</v>
      </c>
      <c r="B250" s="430" t="s">
        <v>136</v>
      </c>
      <c r="C250" s="393" t="s">
        <v>45</v>
      </c>
      <c r="D250" s="222" t="s">
        <v>40</v>
      </c>
      <c r="E250" s="121"/>
      <c r="F250" s="156">
        <f t="shared" si="80"/>
        <v>54593.9</v>
      </c>
      <c r="G250" s="203">
        <v>54593.9</v>
      </c>
      <c r="H250" s="118">
        <v>0</v>
      </c>
      <c r="I250" s="330">
        <v>0</v>
      </c>
      <c r="J250" s="330"/>
      <c r="K250" s="330"/>
      <c r="L250" s="330"/>
      <c r="M250" s="330"/>
      <c r="N250" s="118">
        <v>0</v>
      </c>
      <c r="O250" s="118">
        <v>0</v>
      </c>
      <c r="P250" s="336" t="s">
        <v>90</v>
      </c>
    </row>
    <row r="251" spans="1:21" s="40" customFormat="1" ht="34.5" x14ac:dyDescent="0.25">
      <c r="A251" s="422"/>
      <c r="B251" s="430"/>
      <c r="C251" s="393"/>
      <c r="D251" s="222" t="s">
        <v>1</v>
      </c>
      <c r="E251" s="136">
        <v>0</v>
      </c>
      <c r="F251" s="156">
        <f t="shared" si="80"/>
        <v>326667.27737999998</v>
      </c>
      <c r="G251" s="210">
        <v>326667.27737999998</v>
      </c>
      <c r="H251" s="136">
        <v>0</v>
      </c>
      <c r="I251" s="325">
        <f>513435.04025-513435.04025</f>
        <v>0</v>
      </c>
      <c r="J251" s="325"/>
      <c r="K251" s="325"/>
      <c r="L251" s="325"/>
      <c r="M251" s="325"/>
      <c r="N251" s="136">
        <f>508568.72-508568.72</f>
        <v>0</v>
      </c>
      <c r="O251" s="136">
        <v>0</v>
      </c>
      <c r="P251" s="336"/>
    </row>
    <row r="252" spans="1:21" s="40" customFormat="1" ht="51.75" x14ac:dyDescent="0.25">
      <c r="A252" s="422"/>
      <c r="B252" s="430"/>
      <c r="C252" s="393"/>
      <c r="D252" s="222" t="s">
        <v>48</v>
      </c>
      <c r="E252" s="136">
        <v>0</v>
      </c>
      <c r="F252" s="156">
        <f t="shared" si="80"/>
        <v>156526.48230999999</v>
      </c>
      <c r="G252" s="210">
        <v>156526.48230999999</v>
      </c>
      <c r="H252" s="136">
        <v>0</v>
      </c>
      <c r="I252" s="325">
        <f>67451.08779+13947.78634-81398.87413</f>
        <v>0</v>
      </c>
      <c r="J252" s="325"/>
      <c r="K252" s="325"/>
      <c r="L252" s="325"/>
      <c r="M252" s="325"/>
      <c r="N252" s="136">
        <f>56507.64-56507.64</f>
        <v>0</v>
      </c>
      <c r="O252" s="136">
        <v>0</v>
      </c>
      <c r="P252" s="336"/>
    </row>
    <row r="253" spans="1:21" s="40" customFormat="1" ht="34.5" x14ac:dyDescent="0.25">
      <c r="A253" s="422"/>
      <c r="B253" s="430"/>
      <c r="C253" s="393"/>
      <c r="D253" s="222" t="s">
        <v>87</v>
      </c>
      <c r="E253" s="136"/>
      <c r="F253" s="156">
        <f t="shared" si="80"/>
        <v>0</v>
      </c>
      <c r="G253" s="210">
        <v>0</v>
      </c>
      <c r="H253" s="136">
        <v>0</v>
      </c>
      <c r="I253" s="325">
        <v>0</v>
      </c>
      <c r="J253" s="325"/>
      <c r="K253" s="325"/>
      <c r="L253" s="325"/>
      <c r="M253" s="325"/>
      <c r="N253" s="136">
        <v>0</v>
      </c>
      <c r="O253" s="136">
        <v>0</v>
      </c>
      <c r="P253" s="336"/>
    </row>
    <row r="254" spans="1:21" s="40" customFormat="1" ht="24" customHeight="1" x14ac:dyDescent="0.25">
      <c r="A254" s="422"/>
      <c r="B254" s="423" t="s">
        <v>163</v>
      </c>
      <c r="C254" s="387" t="s">
        <v>116</v>
      </c>
      <c r="D254" s="340" t="s">
        <v>116</v>
      </c>
      <c r="E254" s="131"/>
      <c r="F254" s="338" t="s">
        <v>117</v>
      </c>
      <c r="G254" s="230" t="s">
        <v>247</v>
      </c>
      <c r="H254" s="230" t="s">
        <v>248</v>
      </c>
      <c r="I254" s="321" t="s">
        <v>123</v>
      </c>
      <c r="J254" s="316" t="s">
        <v>118</v>
      </c>
      <c r="K254" s="316"/>
      <c r="L254" s="316"/>
      <c r="M254" s="316"/>
      <c r="N254" s="132" t="s">
        <v>124</v>
      </c>
      <c r="O254" s="132" t="s">
        <v>125</v>
      </c>
      <c r="P254" s="335" t="s">
        <v>116</v>
      </c>
      <c r="Q254" s="41"/>
    </row>
    <row r="255" spans="1:21" s="40" customFormat="1" ht="24" customHeight="1" x14ac:dyDescent="0.25">
      <c r="A255" s="422"/>
      <c r="B255" s="423"/>
      <c r="C255" s="387"/>
      <c r="D255" s="340"/>
      <c r="E255" s="131"/>
      <c r="F255" s="338"/>
      <c r="G255" s="206"/>
      <c r="H255" s="131"/>
      <c r="I255" s="321"/>
      <c r="J255" s="194" t="s">
        <v>119</v>
      </c>
      <c r="K255" s="194" t="s">
        <v>120</v>
      </c>
      <c r="L255" s="194" t="s">
        <v>121</v>
      </c>
      <c r="M255" s="194" t="s">
        <v>122</v>
      </c>
      <c r="N255" s="131"/>
      <c r="O255" s="131"/>
      <c r="P255" s="335"/>
      <c r="Q255" s="41"/>
    </row>
    <row r="256" spans="1:21" s="40" customFormat="1" ht="24" customHeight="1" x14ac:dyDescent="0.25">
      <c r="A256" s="422"/>
      <c r="B256" s="423"/>
      <c r="C256" s="387"/>
      <c r="D256" s="340"/>
      <c r="E256" s="131"/>
      <c r="F256" s="157">
        <f>I256+H256+G256+N256+O256</f>
        <v>1</v>
      </c>
      <c r="G256" s="133">
        <v>1</v>
      </c>
      <c r="H256" s="133">
        <v>0</v>
      </c>
      <c r="I256" s="189">
        <v>0</v>
      </c>
      <c r="J256" s="189">
        <v>0</v>
      </c>
      <c r="K256" s="189">
        <v>0</v>
      </c>
      <c r="L256" s="189">
        <v>0</v>
      </c>
      <c r="M256" s="189">
        <v>0</v>
      </c>
      <c r="N256" s="133">
        <v>0</v>
      </c>
      <c r="O256" s="133">
        <v>0</v>
      </c>
      <c r="P256" s="335"/>
      <c r="Q256" s="41"/>
    </row>
    <row r="257" spans="1:17" s="40" customFormat="1" ht="24" customHeight="1" x14ac:dyDescent="0.25">
      <c r="A257" s="422"/>
      <c r="B257" s="423" t="s">
        <v>214</v>
      </c>
      <c r="C257" s="387" t="s">
        <v>116</v>
      </c>
      <c r="D257" s="340" t="s">
        <v>116</v>
      </c>
      <c r="E257" s="131"/>
      <c r="F257" s="338" t="s">
        <v>117</v>
      </c>
      <c r="G257" s="230" t="s">
        <v>247</v>
      </c>
      <c r="H257" s="230" t="s">
        <v>248</v>
      </c>
      <c r="I257" s="321" t="s">
        <v>123</v>
      </c>
      <c r="J257" s="316" t="s">
        <v>118</v>
      </c>
      <c r="K257" s="316"/>
      <c r="L257" s="316"/>
      <c r="M257" s="316"/>
      <c r="N257" s="132" t="s">
        <v>124</v>
      </c>
      <c r="O257" s="132" t="s">
        <v>125</v>
      </c>
      <c r="P257" s="335" t="s">
        <v>116</v>
      </c>
      <c r="Q257" s="41"/>
    </row>
    <row r="258" spans="1:17" s="40" customFormat="1" ht="24" customHeight="1" x14ac:dyDescent="0.25">
      <c r="A258" s="422"/>
      <c r="B258" s="423"/>
      <c r="C258" s="387"/>
      <c r="D258" s="340"/>
      <c r="E258" s="131"/>
      <c r="F258" s="338"/>
      <c r="G258" s="206"/>
      <c r="H258" s="131"/>
      <c r="I258" s="321"/>
      <c r="J258" s="194" t="s">
        <v>119</v>
      </c>
      <c r="K258" s="194" t="s">
        <v>120</v>
      </c>
      <c r="L258" s="194" t="s">
        <v>121</v>
      </c>
      <c r="M258" s="194" t="s">
        <v>122</v>
      </c>
      <c r="N258" s="131"/>
      <c r="O258" s="131"/>
      <c r="P258" s="335"/>
      <c r="Q258" s="41"/>
    </row>
    <row r="259" spans="1:17" s="40" customFormat="1" ht="24" customHeight="1" x14ac:dyDescent="0.25">
      <c r="A259" s="422"/>
      <c r="B259" s="423"/>
      <c r="C259" s="387"/>
      <c r="D259" s="340"/>
      <c r="E259" s="131"/>
      <c r="F259" s="157">
        <f>I259+H259+G259+N259+O259</f>
        <v>0</v>
      </c>
      <c r="G259" s="133">
        <v>0</v>
      </c>
      <c r="H259" s="133">
        <v>0</v>
      </c>
      <c r="I259" s="189">
        <v>0</v>
      </c>
      <c r="J259" s="189">
        <v>0</v>
      </c>
      <c r="K259" s="189">
        <v>0</v>
      </c>
      <c r="L259" s="189">
        <v>0</v>
      </c>
      <c r="M259" s="189">
        <v>0</v>
      </c>
      <c r="N259" s="133">
        <v>0</v>
      </c>
      <c r="O259" s="133">
        <v>0</v>
      </c>
      <c r="P259" s="335"/>
      <c r="Q259" s="41"/>
    </row>
    <row r="260" spans="1:17" s="40" customFormat="1" ht="42" customHeight="1" x14ac:dyDescent="0.25">
      <c r="A260" s="422" t="s">
        <v>192</v>
      </c>
      <c r="B260" s="430" t="s">
        <v>217</v>
      </c>
      <c r="C260" s="393" t="s">
        <v>45</v>
      </c>
      <c r="D260" s="222" t="s">
        <v>40</v>
      </c>
      <c r="E260" s="136"/>
      <c r="F260" s="156">
        <f t="shared" ref="F260:F262" si="88">SUM(G260:O260)</f>
        <v>4167.3999999999996</v>
      </c>
      <c r="G260" s="210">
        <v>4167.3999999999996</v>
      </c>
      <c r="H260" s="136">
        <v>0</v>
      </c>
      <c r="I260" s="325">
        <v>0</v>
      </c>
      <c r="J260" s="325"/>
      <c r="K260" s="325"/>
      <c r="L260" s="325"/>
      <c r="M260" s="325"/>
      <c r="N260" s="136">
        <v>0</v>
      </c>
      <c r="O260" s="136">
        <v>0</v>
      </c>
      <c r="P260" s="336" t="s">
        <v>3</v>
      </c>
    </row>
    <row r="261" spans="1:17" s="40" customFormat="1" ht="34.5" x14ac:dyDescent="0.25">
      <c r="A261" s="422"/>
      <c r="B261" s="430"/>
      <c r="C261" s="393"/>
      <c r="D261" s="222" t="s">
        <v>1</v>
      </c>
      <c r="E261" s="136">
        <v>0</v>
      </c>
      <c r="F261" s="156">
        <f t="shared" si="88"/>
        <v>30721.122500000001</v>
      </c>
      <c r="G261" s="210">
        <v>30721.122500000001</v>
      </c>
      <c r="H261" s="136">
        <v>0</v>
      </c>
      <c r="I261" s="325">
        <f>45033.19-0.007-45033.183</f>
        <v>0</v>
      </c>
      <c r="J261" s="325"/>
      <c r="K261" s="325"/>
      <c r="L261" s="325"/>
      <c r="M261" s="325"/>
      <c r="N261" s="136">
        <f>39400.88-39400.88</f>
        <v>0</v>
      </c>
      <c r="O261" s="136">
        <v>0</v>
      </c>
      <c r="P261" s="336"/>
    </row>
    <row r="262" spans="1:17" s="40" customFormat="1" ht="57.75" customHeight="1" x14ac:dyDescent="0.25">
      <c r="A262" s="422"/>
      <c r="B262" s="430"/>
      <c r="C262" s="393"/>
      <c r="D262" s="222" t="s">
        <v>48</v>
      </c>
      <c r="E262" s="136">
        <v>0</v>
      </c>
      <c r="F262" s="156">
        <f t="shared" si="88"/>
        <v>58144.980499999998</v>
      </c>
      <c r="G262" s="210">
        <v>58144.980499999998</v>
      </c>
      <c r="H262" s="136">
        <v>0</v>
      </c>
      <c r="I262" s="325">
        <f>20837.23+8930.11611-29767.34611</f>
        <v>0</v>
      </c>
      <c r="J262" s="325"/>
      <c r="K262" s="325"/>
      <c r="L262" s="325"/>
      <c r="M262" s="325"/>
      <c r="N262" s="136">
        <f>4377.88-4377.88</f>
        <v>0</v>
      </c>
      <c r="O262" s="136">
        <v>0</v>
      </c>
      <c r="P262" s="336"/>
    </row>
    <row r="263" spans="1:17" s="40" customFormat="1" ht="43.5" customHeight="1" x14ac:dyDescent="0.25">
      <c r="A263" s="422"/>
      <c r="B263" s="430"/>
      <c r="C263" s="393"/>
      <c r="D263" s="222" t="s">
        <v>87</v>
      </c>
      <c r="E263" s="136"/>
      <c r="F263" s="156">
        <f>SUM(H263:O263)</f>
        <v>0</v>
      </c>
      <c r="G263" s="210">
        <v>0</v>
      </c>
      <c r="H263" s="136">
        <v>0</v>
      </c>
      <c r="I263" s="325">
        <v>0</v>
      </c>
      <c r="J263" s="325"/>
      <c r="K263" s="325"/>
      <c r="L263" s="325"/>
      <c r="M263" s="325"/>
      <c r="N263" s="136">
        <v>0</v>
      </c>
      <c r="O263" s="136">
        <v>0</v>
      </c>
      <c r="P263" s="336"/>
    </row>
    <row r="264" spans="1:17" s="40" customFormat="1" ht="31.5" customHeight="1" x14ac:dyDescent="0.25">
      <c r="A264" s="422"/>
      <c r="B264" s="423" t="s">
        <v>164</v>
      </c>
      <c r="C264" s="387" t="s">
        <v>116</v>
      </c>
      <c r="D264" s="340" t="s">
        <v>116</v>
      </c>
      <c r="E264" s="131"/>
      <c r="F264" s="338" t="s">
        <v>117</v>
      </c>
      <c r="G264" s="230" t="s">
        <v>247</v>
      </c>
      <c r="H264" s="230" t="s">
        <v>248</v>
      </c>
      <c r="I264" s="321" t="s">
        <v>123</v>
      </c>
      <c r="J264" s="316" t="s">
        <v>118</v>
      </c>
      <c r="K264" s="316"/>
      <c r="L264" s="316"/>
      <c r="M264" s="316"/>
      <c r="N264" s="132" t="s">
        <v>124</v>
      </c>
      <c r="O264" s="132" t="s">
        <v>125</v>
      </c>
      <c r="P264" s="335" t="s">
        <v>116</v>
      </c>
      <c r="Q264" s="41"/>
    </row>
    <row r="265" spans="1:17" s="40" customFormat="1" ht="24" customHeight="1" x14ac:dyDescent="0.25">
      <c r="A265" s="422"/>
      <c r="B265" s="423"/>
      <c r="C265" s="387"/>
      <c r="D265" s="340"/>
      <c r="E265" s="131"/>
      <c r="F265" s="338"/>
      <c r="G265" s="206"/>
      <c r="H265" s="131"/>
      <c r="I265" s="321"/>
      <c r="J265" s="194" t="s">
        <v>119</v>
      </c>
      <c r="K265" s="194" t="s">
        <v>120</v>
      </c>
      <c r="L265" s="194" t="s">
        <v>121</v>
      </c>
      <c r="M265" s="194" t="s">
        <v>122</v>
      </c>
      <c r="N265" s="131"/>
      <c r="O265" s="131"/>
      <c r="P265" s="335"/>
      <c r="Q265" s="41"/>
    </row>
    <row r="266" spans="1:17" s="40" customFormat="1" ht="27" customHeight="1" x14ac:dyDescent="0.25">
      <c r="A266" s="422"/>
      <c r="B266" s="423"/>
      <c r="C266" s="387"/>
      <c r="D266" s="340"/>
      <c r="E266" s="131"/>
      <c r="F266" s="157">
        <f>I266+H266+G266+N266+O266</f>
        <v>1</v>
      </c>
      <c r="G266" s="133">
        <v>1</v>
      </c>
      <c r="H266" s="133">
        <v>0</v>
      </c>
      <c r="I266" s="189">
        <v>0</v>
      </c>
      <c r="J266" s="189">
        <v>0</v>
      </c>
      <c r="K266" s="189">
        <v>0</v>
      </c>
      <c r="L266" s="189">
        <v>0</v>
      </c>
      <c r="M266" s="189">
        <v>0</v>
      </c>
      <c r="N266" s="133">
        <v>0</v>
      </c>
      <c r="O266" s="133">
        <v>0</v>
      </c>
      <c r="P266" s="335"/>
      <c r="Q266" s="41"/>
    </row>
    <row r="267" spans="1:17" s="40" customFormat="1" ht="40.5" customHeight="1" x14ac:dyDescent="0.25">
      <c r="A267" s="422" t="s">
        <v>193</v>
      </c>
      <c r="B267" s="430" t="s">
        <v>100</v>
      </c>
      <c r="C267" s="393" t="s">
        <v>45</v>
      </c>
      <c r="D267" s="222" t="s">
        <v>40</v>
      </c>
      <c r="E267" s="136"/>
      <c r="F267" s="156">
        <f t="shared" ref="F267:F269" si="89">SUM(G267:O267)</f>
        <v>0</v>
      </c>
      <c r="G267" s="210">
        <v>0</v>
      </c>
      <c r="H267" s="136">
        <v>0</v>
      </c>
      <c r="I267" s="325">
        <v>0</v>
      </c>
      <c r="J267" s="325"/>
      <c r="K267" s="325"/>
      <c r="L267" s="325"/>
      <c r="M267" s="325"/>
      <c r="N267" s="136">
        <v>0</v>
      </c>
      <c r="O267" s="136">
        <v>0</v>
      </c>
      <c r="P267" s="336" t="s">
        <v>3</v>
      </c>
    </row>
    <row r="268" spans="1:17" s="40" customFormat="1" ht="34.5" x14ac:dyDescent="0.25">
      <c r="A268" s="422"/>
      <c r="B268" s="430"/>
      <c r="C268" s="393"/>
      <c r="D268" s="222" t="s">
        <v>1</v>
      </c>
      <c r="E268" s="136">
        <v>0</v>
      </c>
      <c r="F268" s="156">
        <f t="shared" si="89"/>
        <v>38367.31</v>
      </c>
      <c r="G268" s="210">
        <v>38367.31</v>
      </c>
      <c r="H268" s="136">
        <v>0</v>
      </c>
      <c r="I268" s="325">
        <f>30404.68-0.006-30404.674</f>
        <v>0</v>
      </c>
      <c r="J268" s="325"/>
      <c r="K268" s="325"/>
      <c r="L268" s="325"/>
      <c r="M268" s="325"/>
      <c r="N268" s="136">
        <f>38297.91-38297.91</f>
        <v>0</v>
      </c>
      <c r="O268" s="136">
        <v>0</v>
      </c>
      <c r="P268" s="336"/>
    </row>
    <row r="269" spans="1:17" s="40" customFormat="1" ht="51.75" x14ac:dyDescent="0.25">
      <c r="A269" s="422"/>
      <c r="B269" s="430"/>
      <c r="C269" s="393"/>
      <c r="D269" s="222" t="s">
        <v>48</v>
      </c>
      <c r="E269" s="136">
        <v>0</v>
      </c>
      <c r="F269" s="156">
        <f t="shared" si="89"/>
        <v>4263.0379999999996</v>
      </c>
      <c r="G269" s="210">
        <v>4263.0379999999996</v>
      </c>
      <c r="H269" s="136">
        <v>0</v>
      </c>
      <c r="I269" s="325">
        <f>3378.3-3378.3</f>
        <v>0</v>
      </c>
      <c r="J269" s="325"/>
      <c r="K269" s="325"/>
      <c r="L269" s="325"/>
      <c r="M269" s="325"/>
      <c r="N269" s="136">
        <f>4255.33-4255.33</f>
        <v>0</v>
      </c>
      <c r="O269" s="136">
        <v>0</v>
      </c>
      <c r="P269" s="336"/>
    </row>
    <row r="270" spans="1:17" s="40" customFormat="1" ht="34.5" x14ac:dyDescent="0.25">
      <c r="A270" s="422"/>
      <c r="B270" s="430"/>
      <c r="C270" s="393"/>
      <c r="D270" s="222" t="s">
        <v>87</v>
      </c>
      <c r="E270" s="136"/>
      <c r="F270" s="156">
        <f>SUM(H270:O270)</f>
        <v>0</v>
      </c>
      <c r="G270" s="210">
        <v>0</v>
      </c>
      <c r="H270" s="136">
        <v>0</v>
      </c>
      <c r="I270" s="325">
        <v>0</v>
      </c>
      <c r="J270" s="325"/>
      <c r="K270" s="325"/>
      <c r="L270" s="325"/>
      <c r="M270" s="325"/>
      <c r="N270" s="136">
        <v>0</v>
      </c>
      <c r="O270" s="136">
        <v>0</v>
      </c>
      <c r="P270" s="336"/>
    </row>
    <row r="271" spans="1:17" s="40" customFormat="1" ht="24" customHeight="1" x14ac:dyDescent="0.25">
      <c r="A271" s="422"/>
      <c r="B271" s="423" t="s">
        <v>165</v>
      </c>
      <c r="C271" s="387" t="s">
        <v>116</v>
      </c>
      <c r="D271" s="340" t="s">
        <v>116</v>
      </c>
      <c r="E271" s="131"/>
      <c r="F271" s="338" t="s">
        <v>117</v>
      </c>
      <c r="G271" s="230" t="s">
        <v>247</v>
      </c>
      <c r="H271" s="230" t="s">
        <v>248</v>
      </c>
      <c r="I271" s="321" t="s">
        <v>123</v>
      </c>
      <c r="J271" s="316" t="s">
        <v>118</v>
      </c>
      <c r="K271" s="316"/>
      <c r="L271" s="316"/>
      <c r="M271" s="316"/>
      <c r="N271" s="132" t="s">
        <v>124</v>
      </c>
      <c r="O271" s="132" t="s">
        <v>125</v>
      </c>
      <c r="P271" s="335" t="s">
        <v>116</v>
      </c>
      <c r="Q271" s="41"/>
    </row>
    <row r="272" spans="1:17" s="40" customFormat="1" ht="24" customHeight="1" x14ac:dyDescent="0.25">
      <c r="A272" s="422"/>
      <c r="B272" s="423"/>
      <c r="C272" s="387"/>
      <c r="D272" s="340"/>
      <c r="E272" s="131"/>
      <c r="F272" s="338"/>
      <c r="G272" s="206"/>
      <c r="H272" s="131"/>
      <c r="I272" s="321"/>
      <c r="J272" s="194" t="s">
        <v>119</v>
      </c>
      <c r="K272" s="194" t="s">
        <v>120</v>
      </c>
      <c r="L272" s="194" t="s">
        <v>121</v>
      </c>
      <c r="M272" s="194" t="s">
        <v>122</v>
      </c>
      <c r="N272" s="131"/>
      <c r="O272" s="131"/>
      <c r="P272" s="335"/>
      <c r="Q272" s="41"/>
    </row>
    <row r="273" spans="1:17" s="40" customFormat="1" ht="27" customHeight="1" x14ac:dyDescent="0.25">
      <c r="A273" s="422"/>
      <c r="B273" s="423"/>
      <c r="C273" s="387"/>
      <c r="D273" s="340"/>
      <c r="E273" s="131"/>
      <c r="F273" s="157">
        <f>I273+H273+G273+N273</f>
        <v>1</v>
      </c>
      <c r="G273" s="133">
        <v>1</v>
      </c>
      <c r="H273" s="133">
        <v>0</v>
      </c>
      <c r="I273" s="189">
        <v>0</v>
      </c>
      <c r="J273" s="189">
        <v>0</v>
      </c>
      <c r="K273" s="189">
        <v>0</v>
      </c>
      <c r="L273" s="189">
        <v>0</v>
      </c>
      <c r="M273" s="189">
        <v>0</v>
      </c>
      <c r="N273" s="133">
        <v>0</v>
      </c>
      <c r="O273" s="133">
        <v>0</v>
      </c>
      <c r="P273" s="335"/>
      <c r="Q273" s="41"/>
    </row>
    <row r="274" spans="1:17" s="40" customFormat="1" ht="42" customHeight="1" x14ac:dyDescent="0.25">
      <c r="A274" s="422" t="s">
        <v>194</v>
      </c>
      <c r="B274" s="430" t="s">
        <v>101</v>
      </c>
      <c r="C274" s="393" t="s">
        <v>45</v>
      </c>
      <c r="D274" s="222" t="s">
        <v>40</v>
      </c>
      <c r="E274" s="136"/>
      <c r="F274" s="156">
        <f t="shared" ref="F274:F276" si="90">SUM(G274:O274)</f>
        <v>0</v>
      </c>
      <c r="G274" s="210">
        <v>0</v>
      </c>
      <c r="H274" s="136">
        <v>0</v>
      </c>
      <c r="I274" s="325">
        <v>0</v>
      </c>
      <c r="J274" s="325"/>
      <c r="K274" s="325"/>
      <c r="L274" s="325"/>
      <c r="M274" s="325"/>
      <c r="N274" s="136">
        <v>0</v>
      </c>
      <c r="O274" s="136">
        <v>0</v>
      </c>
      <c r="P274" s="336" t="s">
        <v>3</v>
      </c>
    </row>
    <row r="275" spans="1:17" s="40" customFormat="1" ht="34.5" x14ac:dyDescent="0.25">
      <c r="A275" s="422"/>
      <c r="B275" s="430"/>
      <c r="C275" s="393"/>
      <c r="D275" s="222" t="s">
        <v>1</v>
      </c>
      <c r="E275" s="136">
        <v>0</v>
      </c>
      <c r="F275" s="156">
        <f t="shared" si="90"/>
        <v>12282.706</v>
      </c>
      <c r="G275" s="210">
        <v>12282.706</v>
      </c>
      <c r="H275" s="136">
        <v>0</v>
      </c>
      <c r="I275" s="325">
        <f>47052.14-0.005-47052.135</f>
        <v>0</v>
      </c>
      <c r="J275" s="325"/>
      <c r="K275" s="325"/>
      <c r="L275" s="325"/>
      <c r="M275" s="325"/>
      <c r="N275" s="136">
        <f>18000-18000</f>
        <v>0</v>
      </c>
      <c r="O275" s="136">
        <v>0</v>
      </c>
      <c r="P275" s="336"/>
    </row>
    <row r="276" spans="1:17" s="40" customFormat="1" ht="61.5" customHeight="1" x14ac:dyDescent="0.25">
      <c r="A276" s="422"/>
      <c r="B276" s="430"/>
      <c r="C276" s="393"/>
      <c r="D276" s="222" t="s">
        <v>48</v>
      </c>
      <c r="E276" s="136">
        <v>0</v>
      </c>
      <c r="F276" s="156">
        <f t="shared" si="90"/>
        <v>73705.050189999994</v>
      </c>
      <c r="G276" s="210">
        <v>73705.050189999994</v>
      </c>
      <c r="H276" s="136">
        <v>0</v>
      </c>
      <c r="I276" s="325">
        <f>25683.5+6941.93543-32625.43543</f>
        <v>0</v>
      </c>
      <c r="J276" s="325"/>
      <c r="K276" s="325"/>
      <c r="L276" s="325"/>
      <c r="M276" s="325"/>
      <c r="N276" s="136">
        <f>2000-2000</f>
        <v>0</v>
      </c>
      <c r="O276" s="136">
        <v>0</v>
      </c>
      <c r="P276" s="336"/>
    </row>
    <row r="277" spans="1:17" s="40" customFormat="1" ht="34.5" x14ac:dyDescent="0.25">
      <c r="A277" s="422"/>
      <c r="B277" s="430"/>
      <c r="C277" s="393"/>
      <c r="D277" s="222" t="s">
        <v>87</v>
      </c>
      <c r="E277" s="136"/>
      <c r="F277" s="156">
        <f>SUM(H277:O277)</f>
        <v>0</v>
      </c>
      <c r="G277" s="210">
        <v>0</v>
      </c>
      <c r="H277" s="136">
        <v>0</v>
      </c>
      <c r="I277" s="325">
        <v>0</v>
      </c>
      <c r="J277" s="325"/>
      <c r="K277" s="325"/>
      <c r="L277" s="325"/>
      <c r="M277" s="325"/>
      <c r="N277" s="136">
        <v>0</v>
      </c>
      <c r="O277" s="136">
        <v>0</v>
      </c>
      <c r="P277" s="336"/>
    </row>
    <row r="278" spans="1:17" s="40" customFormat="1" ht="24" customHeight="1" x14ac:dyDescent="0.25">
      <c r="A278" s="422"/>
      <c r="B278" s="423" t="s">
        <v>186</v>
      </c>
      <c r="C278" s="387" t="s">
        <v>116</v>
      </c>
      <c r="D278" s="340" t="s">
        <v>116</v>
      </c>
      <c r="E278" s="131"/>
      <c r="F278" s="338" t="s">
        <v>117</v>
      </c>
      <c r="G278" s="230" t="s">
        <v>247</v>
      </c>
      <c r="H278" s="230" t="s">
        <v>248</v>
      </c>
      <c r="I278" s="321" t="s">
        <v>123</v>
      </c>
      <c r="J278" s="316" t="s">
        <v>118</v>
      </c>
      <c r="K278" s="316"/>
      <c r="L278" s="316"/>
      <c r="M278" s="316"/>
      <c r="N278" s="132" t="s">
        <v>124</v>
      </c>
      <c r="O278" s="132" t="s">
        <v>125</v>
      </c>
      <c r="P278" s="335" t="s">
        <v>116</v>
      </c>
      <c r="Q278" s="41"/>
    </row>
    <row r="279" spans="1:17" s="40" customFormat="1" ht="24" customHeight="1" x14ac:dyDescent="0.25">
      <c r="A279" s="422"/>
      <c r="B279" s="423"/>
      <c r="C279" s="387"/>
      <c r="D279" s="340"/>
      <c r="E279" s="131"/>
      <c r="F279" s="338"/>
      <c r="G279" s="206"/>
      <c r="H279" s="131"/>
      <c r="I279" s="321"/>
      <c r="J279" s="194" t="s">
        <v>119</v>
      </c>
      <c r="K279" s="194" t="s">
        <v>120</v>
      </c>
      <c r="L279" s="194" t="s">
        <v>121</v>
      </c>
      <c r="M279" s="194" t="s">
        <v>122</v>
      </c>
      <c r="N279" s="131"/>
      <c r="O279" s="131"/>
      <c r="P279" s="335"/>
      <c r="Q279" s="41"/>
    </row>
    <row r="280" spans="1:17" s="40" customFormat="1" ht="24" customHeight="1" x14ac:dyDescent="0.25">
      <c r="A280" s="422"/>
      <c r="B280" s="423"/>
      <c r="C280" s="387"/>
      <c r="D280" s="340"/>
      <c r="E280" s="131"/>
      <c r="F280" s="157">
        <f>I280+H280+G280+N280+O280</f>
        <v>1</v>
      </c>
      <c r="G280" s="133">
        <v>1</v>
      </c>
      <c r="H280" s="133">
        <v>0</v>
      </c>
      <c r="I280" s="189">
        <v>0</v>
      </c>
      <c r="J280" s="189">
        <v>0</v>
      </c>
      <c r="K280" s="189">
        <v>0</v>
      </c>
      <c r="L280" s="189">
        <v>0</v>
      </c>
      <c r="M280" s="189">
        <v>0</v>
      </c>
      <c r="N280" s="133">
        <v>0</v>
      </c>
      <c r="O280" s="133">
        <v>0</v>
      </c>
      <c r="P280" s="335"/>
      <c r="Q280" s="41"/>
    </row>
    <row r="281" spans="1:17" s="40" customFormat="1" ht="37.5" customHeight="1" x14ac:dyDescent="0.25">
      <c r="A281" s="422" t="s">
        <v>195</v>
      </c>
      <c r="B281" s="430" t="s">
        <v>102</v>
      </c>
      <c r="C281" s="393" t="s">
        <v>45</v>
      </c>
      <c r="D281" s="222" t="s">
        <v>40</v>
      </c>
      <c r="E281" s="136"/>
      <c r="F281" s="156">
        <f t="shared" ref="F281:F282" si="91">SUM(G281:O281)</f>
        <v>0</v>
      </c>
      <c r="G281" s="210">
        <v>0</v>
      </c>
      <c r="H281" s="136">
        <v>0</v>
      </c>
      <c r="I281" s="325">
        <v>0</v>
      </c>
      <c r="J281" s="325"/>
      <c r="K281" s="325"/>
      <c r="L281" s="325"/>
      <c r="M281" s="325"/>
      <c r="N281" s="136">
        <v>0</v>
      </c>
      <c r="O281" s="136">
        <v>0</v>
      </c>
      <c r="P281" s="336" t="s">
        <v>3</v>
      </c>
    </row>
    <row r="282" spans="1:17" s="40" customFormat="1" ht="37.5" customHeight="1" x14ac:dyDescent="0.25">
      <c r="A282" s="422"/>
      <c r="B282" s="430"/>
      <c r="C282" s="393"/>
      <c r="D282" s="222" t="s">
        <v>1</v>
      </c>
      <c r="E282" s="136">
        <v>0</v>
      </c>
      <c r="F282" s="156">
        <f t="shared" si="91"/>
        <v>0</v>
      </c>
      <c r="G282" s="210">
        <v>0</v>
      </c>
      <c r="H282" s="136">
        <v>0</v>
      </c>
      <c r="I282" s="325">
        <v>0</v>
      </c>
      <c r="J282" s="325"/>
      <c r="K282" s="325"/>
      <c r="L282" s="325"/>
      <c r="M282" s="325"/>
      <c r="N282" s="136">
        <v>0</v>
      </c>
      <c r="O282" s="136">
        <v>0</v>
      </c>
      <c r="P282" s="336"/>
    </row>
    <row r="283" spans="1:17" s="40" customFormat="1" ht="51.75" x14ac:dyDescent="0.25">
      <c r="A283" s="422"/>
      <c r="B283" s="430"/>
      <c r="C283" s="393"/>
      <c r="D283" s="222" t="s">
        <v>48</v>
      </c>
      <c r="E283" s="136">
        <v>0</v>
      </c>
      <c r="F283" s="156">
        <f>SUM(G283:O283)</f>
        <v>2375.0113900000001</v>
      </c>
      <c r="G283" s="210">
        <v>2375.0113900000001</v>
      </c>
      <c r="H283" s="136">
        <v>0</v>
      </c>
      <c r="I283" s="325">
        <v>0</v>
      </c>
      <c r="J283" s="325"/>
      <c r="K283" s="325"/>
      <c r="L283" s="325"/>
      <c r="M283" s="325"/>
      <c r="N283" s="136">
        <v>0</v>
      </c>
      <c r="O283" s="136">
        <v>0</v>
      </c>
      <c r="P283" s="336"/>
    </row>
    <row r="284" spans="1:17" s="40" customFormat="1" ht="34.5" x14ac:dyDescent="0.25">
      <c r="A284" s="422"/>
      <c r="B284" s="430"/>
      <c r="C284" s="393"/>
      <c r="D284" s="222" t="s">
        <v>87</v>
      </c>
      <c r="E284" s="136"/>
      <c r="F284" s="156">
        <f t="shared" ref="F284" si="92">SUM(G284:O284)</f>
        <v>0</v>
      </c>
      <c r="G284" s="210">
        <v>0</v>
      </c>
      <c r="H284" s="136">
        <v>0</v>
      </c>
      <c r="I284" s="325">
        <v>0</v>
      </c>
      <c r="J284" s="325"/>
      <c r="K284" s="325"/>
      <c r="L284" s="325"/>
      <c r="M284" s="325"/>
      <c r="N284" s="136">
        <v>0</v>
      </c>
      <c r="O284" s="136">
        <v>0</v>
      </c>
      <c r="P284" s="336"/>
    </row>
    <row r="285" spans="1:17" s="40" customFormat="1" ht="24" customHeight="1" x14ac:dyDescent="0.25">
      <c r="A285" s="422"/>
      <c r="B285" s="423" t="s">
        <v>166</v>
      </c>
      <c r="C285" s="387" t="s">
        <v>116</v>
      </c>
      <c r="D285" s="340" t="s">
        <v>116</v>
      </c>
      <c r="E285" s="131"/>
      <c r="F285" s="338" t="s">
        <v>117</v>
      </c>
      <c r="G285" s="230" t="s">
        <v>247</v>
      </c>
      <c r="H285" s="230" t="s">
        <v>248</v>
      </c>
      <c r="I285" s="321" t="s">
        <v>123</v>
      </c>
      <c r="J285" s="316" t="s">
        <v>118</v>
      </c>
      <c r="K285" s="316"/>
      <c r="L285" s="316"/>
      <c r="M285" s="316"/>
      <c r="N285" s="132" t="s">
        <v>124</v>
      </c>
      <c r="O285" s="132" t="s">
        <v>125</v>
      </c>
      <c r="P285" s="335" t="s">
        <v>116</v>
      </c>
      <c r="Q285" s="41"/>
    </row>
    <row r="286" spans="1:17" s="40" customFormat="1" ht="24" customHeight="1" x14ac:dyDescent="0.25">
      <c r="A286" s="422"/>
      <c r="B286" s="423"/>
      <c r="C286" s="387"/>
      <c r="D286" s="340"/>
      <c r="E286" s="131"/>
      <c r="F286" s="338"/>
      <c r="G286" s="206"/>
      <c r="H286" s="131"/>
      <c r="I286" s="321"/>
      <c r="J286" s="194" t="s">
        <v>119</v>
      </c>
      <c r="K286" s="194" t="s">
        <v>120</v>
      </c>
      <c r="L286" s="194" t="s">
        <v>121</v>
      </c>
      <c r="M286" s="194" t="s">
        <v>122</v>
      </c>
      <c r="N286" s="131"/>
      <c r="O286" s="131"/>
      <c r="P286" s="335"/>
      <c r="Q286" s="41"/>
    </row>
    <row r="287" spans="1:17" s="40" customFormat="1" ht="28.5" customHeight="1" x14ac:dyDescent="0.25">
      <c r="A287" s="422"/>
      <c r="B287" s="423"/>
      <c r="C287" s="387"/>
      <c r="D287" s="340"/>
      <c r="E287" s="131"/>
      <c r="F287" s="157">
        <f>I287+H287+G287+N287+O287</f>
        <v>1</v>
      </c>
      <c r="G287" s="133">
        <v>1</v>
      </c>
      <c r="H287" s="133">
        <v>0</v>
      </c>
      <c r="I287" s="189">
        <v>0</v>
      </c>
      <c r="J287" s="189">
        <v>0</v>
      </c>
      <c r="K287" s="189">
        <v>0</v>
      </c>
      <c r="L287" s="189">
        <v>0</v>
      </c>
      <c r="M287" s="189">
        <v>0</v>
      </c>
      <c r="N287" s="133">
        <v>0</v>
      </c>
      <c r="O287" s="133">
        <v>0</v>
      </c>
      <c r="P287" s="335"/>
      <c r="Q287" s="41"/>
    </row>
    <row r="288" spans="1:17" s="40" customFormat="1" ht="39" customHeight="1" x14ac:dyDescent="0.25">
      <c r="A288" s="422" t="s">
        <v>196</v>
      </c>
      <c r="B288" s="430" t="s">
        <v>147</v>
      </c>
      <c r="C288" s="393" t="s">
        <v>45</v>
      </c>
      <c r="D288" s="222" t="s">
        <v>40</v>
      </c>
      <c r="E288" s="136"/>
      <c r="F288" s="156">
        <f t="shared" ref="F288:F290" si="93">SUM(G288:O288)</f>
        <v>0</v>
      </c>
      <c r="G288" s="210">
        <v>0</v>
      </c>
      <c r="H288" s="136">
        <v>0</v>
      </c>
      <c r="I288" s="325">
        <v>0</v>
      </c>
      <c r="J288" s="325"/>
      <c r="K288" s="325"/>
      <c r="L288" s="325"/>
      <c r="M288" s="325"/>
      <c r="N288" s="136">
        <v>0</v>
      </c>
      <c r="O288" s="136">
        <v>0</v>
      </c>
      <c r="P288" s="336" t="s">
        <v>3</v>
      </c>
    </row>
    <row r="289" spans="1:21" s="40" customFormat="1" ht="34.5" x14ac:dyDescent="0.25">
      <c r="A289" s="422"/>
      <c r="B289" s="430"/>
      <c r="C289" s="393"/>
      <c r="D289" s="222" t="s">
        <v>1</v>
      </c>
      <c r="E289" s="136">
        <v>0</v>
      </c>
      <c r="F289" s="156">
        <f t="shared" si="93"/>
        <v>0</v>
      </c>
      <c r="G289" s="210">
        <v>0</v>
      </c>
      <c r="H289" s="136">
        <v>0</v>
      </c>
      <c r="I289" s="325">
        <f>72165.6-72165.6</f>
        <v>0</v>
      </c>
      <c r="J289" s="325"/>
      <c r="K289" s="325"/>
      <c r="L289" s="325"/>
      <c r="M289" s="325"/>
      <c r="N289" s="136">
        <v>0</v>
      </c>
      <c r="O289" s="136">
        <v>0</v>
      </c>
      <c r="P289" s="336"/>
    </row>
    <row r="290" spans="1:21" s="40" customFormat="1" ht="51.75" x14ac:dyDescent="0.25">
      <c r="A290" s="422"/>
      <c r="B290" s="430"/>
      <c r="C290" s="393"/>
      <c r="D290" s="222" t="s">
        <v>48</v>
      </c>
      <c r="E290" s="136">
        <v>0</v>
      </c>
      <c r="F290" s="156">
        <f t="shared" si="93"/>
        <v>44191.952559999998</v>
      </c>
      <c r="G290" s="210">
        <v>44191.952559999998</v>
      </c>
      <c r="H290" s="136">
        <v>0</v>
      </c>
      <c r="I290" s="325">
        <f>8018.4-8018.4</f>
        <v>0</v>
      </c>
      <c r="J290" s="325"/>
      <c r="K290" s="325"/>
      <c r="L290" s="325"/>
      <c r="M290" s="325"/>
      <c r="N290" s="136">
        <v>0</v>
      </c>
      <c r="O290" s="136">
        <v>0</v>
      </c>
      <c r="P290" s="336"/>
    </row>
    <row r="291" spans="1:21" s="40" customFormat="1" ht="34.5" x14ac:dyDescent="0.25">
      <c r="A291" s="422"/>
      <c r="B291" s="430"/>
      <c r="C291" s="393"/>
      <c r="D291" s="222" t="s">
        <v>87</v>
      </c>
      <c r="E291" s="136"/>
      <c r="F291" s="156">
        <f>SUM(H291:O291)</f>
        <v>0</v>
      </c>
      <c r="G291" s="210">
        <v>0</v>
      </c>
      <c r="H291" s="136">
        <v>0</v>
      </c>
      <c r="I291" s="325">
        <v>0</v>
      </c>
      <c r="J291" s="325"/>
      <c r="K291" s="325"/>
      <c r="L291" s="325"/>
      <c r="M291" s="325"/>
      <c r="N291" s="136">
        <v>0</v>
      </c>
      <c r="O291" s="136">
        <v>0</v>
      </c>
      <c r="P291" s="336"/>
    </row>
    <row r="292" spans="1:21" s="40" customFormat="1" ht="24" customHeight="1" x14ac:dyDescent="0.25">
      <c r="A292" s="422"/>
      <c r="B292" s="423" t="s">
        <v>167</v>
      </c>
      <c r="C292" s="387" t="s">
        <v>116</v>
      </c>
      <c r="D292" s="340" t="s">
        <v>116</v>
      </c>
      <c r="E292" s="131"/>
      <c r="F292" s="338" t="s">
        <v>117</v>
      </c>
      <c r="G292" s="230" t="s">
        <v>247</v>
      </c>
      <c r="H292" s="230" t="s">
        <v>248</v>
      </c>
      <c r="I292" s="321" t="s">
        <v>123</v>
      </c>
      <c r="J292" s="316" t="s">
        <v>118</v>
      </c>
      <c r="K292" s="316"/>
      <c r="L292" s="316"/>
      <c r="M292" s="316"/>
      <c r="N292" s="132" t="s">
        <v>124</v>
      </c>
      <c r="O292" s="132" t="s">
        <v>125</v>
      </c>
      <c r="P292" s="335" t="s">
        <v>116</v>
      </c>
      <c r="Q292" s="41"/>
    </row>
    <row r="293" spans="1:21" s="40" customFormat="1" ht="19.5" customHeight="1" x14ac:dyDescent="0.25">
      <c r="A293" s="422"/>
      <c r="B293" s="423"/>
      <c r="C293" s="387"/>
      <c r="D293" s="340"/>
      <c r="E293" s="131"/>
      <c r="F293" s="338"/>
      <c r="G293" s="206"/>
      <c r="H293" s="131"/>
      <c r="I293" s="321"/>
      <c r="J293" s="194" t="s">
        <v>119</v>
      </c>
      <c r="K293" s="194" t="s">
        <v>120</v>
      </c>
      <c r="L293" s="194" t="s">
        <v>121</v>
      </c>
      <c r="M293" s="194" t="s">
        <v>122</v>
      </c>
      <c r="N293" s="131"/>
      <c r="O293" s="131"/>
      <c r="P293" s="335"/>
      <c r="Q293" s="41"/>
    </row>
    <row r="294" spans="1:21" s="40" customFormat="1" ht="31.5" customHeight="1" x14ac:dyDescent="0.25">
      <c r="A294" s="422"/>
      <c r="B294" s="423"/>
      <c r="C294" s="387"/>
      <c r="D294" s="340"/>
      <c r="E294" s="131"/>
      <c r="F294" s="157">
        <f>I294+H294+G294+N294+O294</f>
        <v>1</v>
      </c>
      <c r="G294" s="133">
        <v>1</v>
      </c>
      <c r="H294" s="133">
        <v>0</v>
      </c>
      <c r="I294" s="189">
        <v>0</v>
      </c>
      <c r="J294" s="189">
        <v>0</v>
      </c>
      <c r="K294" s="189">
        <v>0</v>
      </c>
      <c r="L294" s="189">
        <v>0</v>
      </c>
      <c r="M294" s="189">
        <v>0</v>
      </c>
      <c r="N294" s="133">
        <v>0</v>
      </c>
      <c r="O294" s="133">
        <v>0</v>
      </c>
      <c r="P294" s="335"/>
      <c r="Q294" s="41"/>
    </row>
    <row r="295" spans="1:21" s="9" customFormat="1" ht="18.75" customHeight="1" x14ac:dyDescent="0.25">
      <c r="A295" s="428" t="s">
        <v>36</v>
      </c>
      <c r="B295" s="369" t="s">
        <v>112</v>
      </c>
      <c r="C295" s="369" t="s">
        <v>45</v>
      </c>
      <c r="D295" s="219" t="s">
        <v>2</v>
      </c>
      <c r="E295" s="146">
        <f>E298</f>
        <v>0</v>
      </c>
      <c r="F295" s="156">
        <f t="shared" ref="F295:F303" si="94">SUM(G295:O295)</f>
        <v>3053.4900000000002</v>
      </c>
      <c r="G295" s="214">
        <f t="shared" ref="G295:H295" si="95">G296+G297+G298+G299</f>
        <v>3053.4900000000002</v>
      </c>
      <c r="H295" s="146">
        <f t="shared" si="95"/>
        <v>0</v>
      </c>
      <c r="I295" s="395">
        <f>I296+I297+I298+I299</f>
        <v>0</v>
      </c>
      <c r="J295" s="395"/>
      <c r="K295" s="395"/>
      <c r="L295" s="395"/>
      <c r="M295" s="395"/>
      <c r="N295" s="146">
        <f t="shared" ref="N295:O295" si="96">N296+N297+N298+N299</f>
        <v>0</v>
      </c>
      <c r="O295" s="146">
        <f t="shared" si="96"/>
        <v>0</v>
      </c>
      <c r="P295" s="345"/>
      <c r="T295" s="45"/>
      <c r="U295" s="45"/>
    </row>
    <row r="296" spans="1:21" s="9" customFormat="1" ht="36" customHeight="1" x14ac:dyDescent="0.25">
      <c r="A296" s="428"/>
      <c r="B296" s="369"/>
      <c r="C296" s="369"/>
      <c r="D296" s="224" t="s">
        <v>40</v>
      </c>
      <c r="E296" s="146"/>
      <c r="F296" s="156">
        <f t="shared" si="94"/>
        <v>0</v>
      </c>
      <c r="G296" s="212">
        <f t="shared" ref="G296:H296" si="97">G300</f>
        <v>0</v>
      </c>
      <c r="H296" s="147">
        <f t="shared" si="97"/>
        <v>0</v>
      </c>
      <c r="I296" s="342">
        <f>I300</f>
        <v>0</v>
      </c>
      <c r="J296" s="342"/>
      <c r="K296" s="342"/>
      <c r="L296" s="342"/>
      <c r="M296" s="342"/>
      <c r="N296" s="147">
        <f t="shared" ref="N296:O296" si="98">N300</f>
        <v>0</v>
      </c>
      <c r="O296" s="147">
        <f t="shared" si="98"/>
        <v>0</v>
      </c>
      <c r="P296" s="345"/>
      <c r="T296" s="45"/>
      <c r="U296" s="45"/>
    </row>
    <row r="297" spans="1:21" s="9" customFormat="1" ht="37.5" customHeight="1" x14ac:dyDescent="0.25">
      <c r="A297" s="428"/>
      <c r="B297" s="369"/>
      <c r="C297" s="369"/>
      <c r="D297" s="224" t="s">
        <v>1</v>
      </c>
      <c r="E297" s="146"/>
      <c r="F297" s="156">
        <f t="shared" si="94"/>
        <v>2775.9</v>
      </c>
      <c r="G297" s="212">
        <f t="shared" ref="G297:H297" si="99">G301</f>
        <v>2775.9</v>
      </c>
      <c r="H297" s="147">
        <f t="shared" si="99"/>
        <v>0</v>
      </c>
      <c r="I297" s="342">
        <f>I301</f>
        <v>0</v>
      </c>
      <c r="J297" s="342"/>
      <c r="K297" s="342"/>
      <c r="L297" s="342"/>
      <c r="M297" s="342"/>
      <c r="N297" s="147">
        <f t="shared" ref="N297:O297" si="100">N301</f>
        <v>0</v>
      </c>
      <c r="O297" s="147">
        <f t="shared" si="100"/>
        <v>0</v>
      </c>
      <c r="P297" s="345"/>
      <c r="T297" s="45"/>
      <c r="U297" s="45"/>
    </row>
    <row r="298" spans="1:21" s="9" customFormat="1" ht="56.25" customHeight="1" x14ac:dyDescent="0.25">
      <c r="A298" s="428"/>
      <c r="B298" s="369"/>
      <c r="C298" s="369"/>
      <c r="D298" s="224" t="s">
        <v>47</v>
      </c>
      <c r="E298" s="148">
        <f>E301</f>
        <v>0</v>
      </c>
      <c r="F298" s="156">
        <f t="shared" si="94"/>
        <v>277.58999999999997</v>
      </c>
      <c r="G298" s="148">
        <f t="shared" ref="G298:H298" si="101">G302</f>
        <v>277.58999999999997</v>
      </c>
      <c r="H298" s="148">
        <f t="shared" si="101"/>
        <v>0</v>
      </c>
      <c r="I298" s="349">
        <f>I302</f>
        <v>0</v>
      </c>
      <c r="J298" s="349"/>
      <c r="K298" s="349"/>
      <c r="L298" s="349"/>
      <c r="M298" s="349"/>
      <c r="N298" s="148">
        <f t="shared" ref="N298:O298" si="102">N302</f>
        <v>0</v>
      </c>
      <c r="O298" s="148">
        <f t="shared" si="102"/>
        <v>0</v>
      </c>
      <c r="P298" s="345"/>
      <c r="T298" s="45"/>
      <c r="U298" s="45"/>
    </row>
    <row r="299" spans="1:21" s="9" customFormat="1" ht="37.5" customHeight="1" x14ac:dyDescent="0.25">
      <c r="A299" s="428"/>
      <c r="B299" s="369"/>
      <c r="C299" s="369"/>
      <c r="D299" s="224" t="s">
        <v>87</v>
      </c>
      <c r="E299" s="148"/>
      <c r="F299" s="156">
        <f t="shared" si="94"/>
        <v>0</v>
      </c>
      <c r="G299" s="148">
        <f t="shared" ref="G299:H299" si="103">G303</f>
        <v>0</v>
      </c>
      <c r="H299" s="148">
        <f t="shared" si="103"/>
        <v>0</v>
      </c>
      <c r="I299" s="349">
        <f>I303</f>
        <v>0</v>
      </c>
      <c r="J299" s="349"/>
      <c r="K299" s="349"/>
      <c r="L299" s="349"/>
      <c r="M299" s="349"/>
      <c r="N299" s="148">
        <f t="shared" ref="N299:O299" si="104">N303</f>
        <v>0</v>
      </c>
      <c r="O299" s="148">
        <f t="shared" si="104"/>
        <v>0</v>
      </c>
      <c r="P299" s="345"/>
      <c r="T299" s="45"/>
      <c r="U299" s="45"/>
    </row>
    <row r="300" spans="1:21" s="9" customFormat="1" ht="37.5" customHeight="1" x14ac:dyDescent="0.25">
      <c r="A300" s="383" t="s">
        <v>54</v>
      </c>
      <c r="B300" s="392" t="s">
        <v>103</v>
      </c>
      <c r="C300" s="386" t="s">
        <v>45</v>
      </c>
      <c r="D300" s="225" t="s">
        <v>40</v>
      </c>
      <c r="E300" s="71"/>
      <c r="F300" s="156">
        <f t="shared" si="94"/>
        <v>0</v>
      </c>
      <c r="G300" s="213">
        <v>0</v>
      </c>
      <c r="H300" s="117">
        <v>0</v>
      </c>
      <c r="I300" s="347">
        <v>0</v>
      </c>
      <c r="J300" s="347"/>
      <c r="K300" s="347"/>
      <c r="L300" s="347"/>
      <c r="M300" s="347"/>
      <c r="N300" s="117">
        <v>0</v>
      </c>
      <c r="O300" s="117">
        <v>0</v>
      </c>
      <c r="P300" s="335" t="s">
        <v>3</v>
      </c>
      <c r="T300" s="45"/>
      <c r="U300" s="45"/>
    </row>
    <row r="301" spans="1:21" s="40" customFormat="1" ht="37.5" customHeight="1" x14ac:dyDescent="0.25">
      <c r="A301" s="383"/>
      <c r="B301" s="392"/>
      <c r="C301" s="386"/>
      <c r="D301" s="221" t="s">
        <v>1</v>
      </c>
      <c r="E301" s="130">
        <v>0</v>
      </c>
      <c r="F301" s="156">
        <f t="shared" si="94"/>
        <v>2775.9</v>
      </c>
      <c r="G301" s="130">
        <v>2775.9</v>
      </c>
      <c r="H301" s="130">
        <v>0</v>
      </c>
      <c r="I301" s="324">
        <v>0</v>
      </c>
      <c r="J301" s="324"/>
      <c r="K301" s="324"/>
      <c r="L301" s="324"/>
      <c r="M301" s="324"/>
      <c r="N301" s="130">
        <v>0</v>
      </c>
      <c r="O301" s="130">
        <v>0</v>
      </c>
      <c r="P301" s="335"/>
    </row>
    <row r="302" spans="1:21" s="40" customFormat="1" ht="56.25" customHeight="1" x14ac:dyDescent="0.25">
      <c r="A302" s="383"/>
      <c r="B302" s="392"/>
      <c r="C302" s="386"/>
      <c r="D302" s="221" t="s">
        <v>47</v>
      </c>
      <c r="E302" s="130">
        <v>0</v>
      </c>
      <c r="F302" s="156">
        <f t="shared" si="94"/>
        <v>277.58999999999997</v>
      </c>
      <c r="G302" s="130">
        <v>277.58999999999997</v>
      </c>
      <c r="H302" s="130">
        <v>0</v>
      </c>
      <c r="I302" s="324">
        <v>0</v>
      </c>
      <c r="J302" s="324"/>
      <c r="K302" s="324"/>
      <c r="L302" s="324"/>
      <c r="M302" s="324"/>
      <c r="N302" s="130">
        <v>0</v>
      </c>
      <c r="O302" s="130">
        <v>0</v>
      </c>
      <c r="P302" s="335"/>
      <c r="Q302" s="41"/>
    </row>
    <row r="303" spans="1:21" s="40" customFormat="1" ht="37.5" customHeight="1" x14ac:dyDescent="0.25">
      <c r="A303" s="383"/>
      <c r="B303" s="392"/>
      <c r="C303" s="386"/>
      <c r="D303" s="221" t="s">
        <v>87</v>
      </c>
      <c r="E303" s="130"/>
      <c r="F303" s="156">
        <f t="shared" si="94"/>
        <v>0</v>
      </c>
      <c r="G303" s="130">
        <v>0</v>
      </c>
      <c r="H303" s="130">
        <v>0</v>
      </c>
      <c r="I303" s="324">
        <v>0</v>
      </c>
      <c r="J303" s="324"/>
      <c r="K303" s="324"/>
      <c r="L303" s="324"/>
      <c r="M303" s="324"/>
      <c r="N303" s="130">
        <v>0</v>
      </c>
      <c r="O303" s="130">
        <v>0</v>
      </c>
      <c r="P303" s="335"/>
      <c r="Q303" s="41"/>
    </row>
    <row r="304" spans="1:21" s="40" customFormat="1" ht="39.75" customHeight="1" x14ac:dyDescent="0.25">
      <c r="A304" s="383"/>
      <c r="B304" s="431" t="s">
        <v>168</v>
      </c>
      <c r="C304" s="387" t="s">
        <v>116</v>
      </c>
      <c r="D304" s="340" t="s">
        <v>116</v>
      </c>
      <c r="E304" s="131"/>
      <c r="F304" s="338" t="s">
        <v>117</v>
      </c>
      <c r="G304" s="230" t="s">
        <v>247</v>
      </c>
      <c r="H304" s="230" t="s">
        <v>248</v>
      </c>
      <c r="I304" s="321" t="s">
        <v>123</v>
      </c>
      <c r="J304" s="316" t="s">
        <v>118</v>
      </c>
      <c r="K304" s="316"/>
      <c r="L304" s="316"/>
      <c r="M304" s="316"/>
      <c r="N304" s="132" t="s">
        <v>124</v>
      </c>
      <c r="O304" s="132" t="s">
        <v>125</v>
      </c>
      <c r="P304" s="335" t="s">
        <v>116</v>
      </c>
      <c r="Q304" s="41"/>
    </row>
    <row r="305" spans="1:21" s="40" customFormat="1" ht="39.75" customHeight="1" x14ac:dyDescent="0.25">
      <c r="A305" s="383"/>
      <c r="B305" s="431"/>
      <c r="C305" s="387"/>
      <c r="D305" s="340"/>
      <c r="E305" s="131"/>
      <c r="F305" s="338"/>
      <c r="G305" s="206"/>
      <c r="H305" s="131"/>
      <c r="I305" s="321"/>
      <c r="J305" s="194" t="s">
        <v>119</v>
      </c>
      <c r="K305" s="194" t="s">
        <v>120</v>
      </c>
      <c r="L305" s="194" t="s">
        <v>121</v>
      </c>
      <c r="M305" s="194" t="s">
        <v>122</v>
      </c>
      <c r="N305" s="131"/>
      <c r="O305" s="131"/>
      <c r="P305" s="335"/>
      <c r="Q305" s="41"/>
    </row>
    <row r="306" spans="1:21" s="40" customFormat="1" ht="51" customHeight="1" x14ac:dyDescent="0.25">
      <c r="A306" s="383"/>
      <c r="B306" s="431"/>
      <c r="C306" s="387"/>
      <c r="D306" s="340"/>
      <c r="E306" s="131"/>
      <c r="F306" s="157">
        <f>H306+G306+I306+N306+O306</f>
        <v>1</v>
      </c>
      <c r="G306" s="133">
        <v>1</v>
      </c>
      <c r="H306" s="133">
        <v>0</v>
      </c>
      <c r="I306" s="189">
        <v>0</v>
      </c>
      <c r="J306" s="189">
        <v>0</v>
      </c>
      <c r="K306" s="189">
        <v>0</v>
      </c>
      <c r="L306" s="189">
        <v>0</v>
      </c>
      <c r="M306" s="189">
        <v>0</v>
      </c>
      <c r="N306" s="133">
        <v>0</v>
      </c>
      <c r="O306" s="133">
        <v>0</v>
      </c>
      <c r="P306" s="335"/>
      <c r="Q306" s="41"/>
    </row>
    <row r="307" spans="1:21" s="9" customFormat="1" ht="18.75" customHeight="1" x14ac:dyDescent="0.25">
      <c r="A307" s="406" t="s">
        <v>11</v>
      </c>
      <c r="B307" s="360" t="s">
        <v>149</v>
      </c>
      <c r="C307" s="360" t="s">
        <v>270</v>
      </c>
      <c r="D307" s="219" t="s">
        <v>2</v>
      </c>
      <c r="E307" s="142" t="e">
        <f>E309+E310+E308</f>
        <v>#REF!</v>
      </c>
      <c r="F307" s="156">
        <f t="shared" ref="F307:F315" si="105">SUM(G307:O307)</f>
        <v>20520.5</v>
      </c>
      <c r="G307" s="205">
        <f t="shared" ref="G307:H307" si="106">G308+G309+G310+G311</f>
        <v>9771.2999999999993</v>
      </c>
      <c r="H307" s="142">
        <f t="shared" si="106"/>
        <v>10749.2</v>
      </c>
      <c r="I307" s="334">
        <f>I308+I309+I310+I311</f>
        <v>0</v>
      </c>
      <c r="J307" s="334"/>
      <c r="K307" s="334"/>
      <c r="L307" s="334"/>
      <c r="M307" s="334"/>
      <c r="N307" s="142">
        <f t="shared" ref="N307:O307" si="107">N308+N309+N310+N311</f>
        <v>0</v>
      </c>
      <c r="O307" s="142">
        <f t="shared" si="107"/>
        <v>0</v>
      </c>
      <c r="P307" s="333"/>
      <c r="Q307" s="109"/>
      <c r="R307" s="109"/>
      <c r="S307" s="109"/>
      <c r="T307" s="45"/>
      <c r="U307" s="45"/>
    </row>
    <row r="308" spans="1:21" s="9" customFormat="1" ht="36.75" customHeight="1" x14ac:dyDescent="0.25">
      <c r="A308" s="406"/>
      <c r="B308" s="360"/>
      <c r="C308" s="360"/>
      <c r="D308" s="219" t="s">
        <v>40</v>
      </c>
      <c r="E308" s="143">
        <f>E422</f>
        <v>0</v>
      </c>
      <c r="F308" s="156">
        <f t="shared" si="105"/>
        <v>15390.374980000001</v>
      </c>
      <c r="G308" s="204">
        <f t="shared" ref="G308:H308" si="108">G312</f>
        <v>7328.47498</v>
      </c>
      <c r="H308" s="143">
        <f t="shared" si="108"/>
        <v>8061.9</v>
      </c>
      <c r="I308" s="328">
        <f>I312</f>
        <v>0</v>
      </c>
      <c r="J308" s="328"/>
      <c r="K308" s="328"/>
      <c r="L308" s="328"/>
      <c r="M308" s="328"/>
      <c r="N308" s="143">
        <f t="shared" ref="N308:O311" si="109">N312</f>
        <v>0</v>
      </c>
      <c r="O308" s="143">
        <f t="shared" si="109"/>
        <v>0</v>
      </c>
      <c r="P308" s="333"/>
      <c r="Q308" s="109"/>
      <c r="R308" s="109"/>
      <c r="S308" s="109"/>
      <c r="T308" s="45"/>
      <c r="U308" s="45"/>
    </row>
    <row r="309" spans="1:21" s="9" customFormat="1" ht="39.75" customHeight="1" x14ac:dyDescent="0.25">
      <c r="A309" s="406"/>
      <c r="B309" s="360"/>
      <c r="C309" s="360"/>
      <c r="D309" s="219" t="s">
        <v>1</v>
      </c>
      <c r="E309" s="143" t="e">
        <f>#REF!+E312+E313+#REF!+#REF!+#REF!+E423+E428</f>
        <v>#REF!</v>
      </c>
      <c r="F309" s="156">
        <f t="shared" si="105"/>
        <v>5130.1250200000004</v>
      </c>
      <c r="G309" s="204">
        <f t="shared" ref="G309:H309" si="110">G313</f>
        <v>2442.8250200000002</v>
      </c>
      <c r="H309" s="143">
        <f t="shared" si="110"/>
        <v>2687.3</v>
      </c>
      <c r="I309" s="328">
        <f>I313</f>
        <v>0</v>
      </c>
      <c r="J309" s="328"/>
      <c r="K309" s="328"/>
      <c r="L309" s="328"/>
      <c r="M309" s="328"/>
      <c r="N309" s="143">
        <f t="shared" si="109"/>
        <v>0</v>
      </c>
      <c r="O309" s="143">
        <f t="shared" si="109"/>
        <v>0</v>
      </c>
      <c r="P309" s="333"/>
      <c r="Q309" s="109"/>
      <c r="R309" s="109"/>
      <c r="S309" s="109"/>
      <c r="T309" s="45"/>
      <c r="U309" s="45"/>
    </row>
    <row r="310" spans="1:21" s="9" customFormat="1" ht="58.5" customHeight="1" x14ac:dyDescent="0.25">
      <c r="A310" s="406"/>
      <c r="B310" s="360"/>
      <c r="C310" s="360"/>
      <c r="D310" s="219" t="s">
        <v>48</v>
      </c>
      <c r="E310" s="143" t="e">
        <f>#REF!+E407+#REF!+#REF!+#REF!+E424+E430</f>
        <v>#REF!</v>
      </c>
      <c r="F310" s="156">
        <f t="shared" si="105"/>
        <v>0</v>
      </c>
      <c r="G310" s="204">
        <f t="shared" ref="G310:H310" si="111">G314</f>
        <v>0</v>
      </c>
      <c r="H310" s="143">
        <f t="shared" si="111"/>
        <v>0</v>
      </c>
      <c r="I310" s="328">
        <f>I314</f>
        <v>0</v>
      </c>
      <c r="J310" s="328"/>
      <c r="K310" s="328"/>
      <c r="L310" s="328"/>
      <c r="M310" s="328"/>
      <c r="N310" s="143">
        <f t="shared" si="109"/>
        <v>0</v>
      </c>
      <c r="O310" s="143">
        <f t="shared" si="109"/>
        <v>0</v>
      </c>
      <c r="P310" s="333"/>
      <c r="Q310" s="109"/>
      <c r="R310" s="109"/>
      <c r="S310" s="109"/>
      <c r="T310" s="45"/>
      <c r="U310" s="45"/>
    </row>
    <row r="311" spans="1:21" s="9" customFormat="1" ht="34.5" x14ac:dyDescent="0.25">
      <c r="A311" s="406"/>
      <c r="B311" s="360"/>
      <c r="C311" s="360"/>
      <c r="D311" s="219" t="s">
        <v>87</v>
      </c>
      <c r="E311" s="143"/>
      <c r="F311" s="156">
        <f t="shared" si="105"/>
        <v>0</v>
      </c>
      <c r="G311" s="204">
        <f t="shared" ref="G311:H311" si="112">G315</f>
        <v>0</v>
      </c>
      <c r="H311" s="143">
        <f t="shared" si="112"/>
        <v>0</v>
      </c>
      <c r="I311" s="328">
        <f>I315</f>
        <v>0</v>
      </c>
      <c r="J311" s="328"/>
      <c r="K311" s="328"/>
      <c r="L311" s="328"/>
      <c r="M311" s="328"/>
      <c r="N311" s="143">
        <f t="shared" si="109"/>
        <v>0</v>
      </c>
      <c r="O311" s="143">
        <f t="shared" si="109"/>
        <v>0</v>
      </c>
      <c r="P311" s="333"/>
      <c r="Q311" s="109"/>
      <c r="R311" s="109"/>
      <c r="S311" s="109"/>
      <c r="T311" s="45"/>
      <c r="U311" s="45"/>
    </row>
    <row r="312" spans="1:21" s="40" customFormat="1" ht="97.5" customHeight="1" x14ac:dyDescent="0.25">
      <c r="A312" s="422" t="s">
        <v>105</v>
      </c>
      <c r="B312" s="447" t="s">
        <v>148</v>
      </c>
      <c r="C312" s="393" t="s">
        <v>270</v>
      </c>
      <c r="D312" s="223" t="s">
        <v>40</v>
      </c>
      <c r="E312" s="118">
        <v>200475</v>
      </c>
      <c r="F312" s="156">
        <f t="shared" si="105"/>
        <v>15390.374980000001</v>
      </c>
      <c r="G312" s="203">
        <v>7328.47498</v>
      </c>
      <c r="H312" s="118">
        <v>8061.9</v>
      </c>
      <c r="I312" s="330">
        <v>0</v>
      </c>
      <c r="J312" s="330"/>
      <c r="K312" s="330"/>
      <c r="L312" s="330"/>
      <c r="M312" s="330"/>
      <c r="N312" s="289">
        <v>0</v>
      </c>
      <c r="O312" s="289">
        <v>0</v>
      </c>
      <c r="P312" s="329" t="s">
        <v>3</v>
      </c>
      <c r="Q312" s="108"/>
      <c r="R312" s="108"/>
      <c r="S312" s="108"/>
    </row>
    <row r="313" spans="1:21" s="40" customFormat="1" ht="93" customHeight="1" x14ac:dyDescent="0.25">
      <c r="A313" s="422"/>
      <c r="B313" s="447"/>
      <c r="C313" s="393"/>
      <c r="D313" s="223" t="s">
        <v>1</v>
      </c>
      <c r="E313" s="118">
        <v>93</v>
      </c>
      <c r="F313" s="156">
        <f t="shared" si="105"/>
        <v>5130.1250200000004</v>
      </c>
      <c r="G313" s="203">
        <v>2442.8250200000002</v>
      </c>
      <c r="H313" s="118">
        <v>2687.3</v>
      </c>
      <c r="I313" s="330">
        <v>0</v>
      </c>
      <c r="J313" s="330"/>
      <c r="K313" s="330"/>
      <c r="L313" s="330"/>
      <c r="M313" s="330"/>
      <c r="N313" s="289">
        <v>0</v>
      </c>
      <c r="O313" s="289">
        <v>0</v>
      </c>
      <c r="P313" s="329"/>
      <c r="Q313" s="108"/>
      <c r="R313" s="108"/>
      <c r="S313" s="108"/>
    </row>
    <row r="314" spans="1:21" s="40" customFormat="1" ht="91.5" customHeight="1" x14ac:dyDescent="0.25">
      <c r="A314" s="422"/>
      <c r="B314" s="447"/>
      <c r="C314" s="393"/>
      <c r="D314" s="223" t="s">
        <v>47</v>
      </c>
      <c r="E314" s="118"/>
      <c r="F314" s="156">
        <f t="shared" si="105"/>
        <v>0</v>
      </c>
      <c r="G314" s="203">
        <v>0</v>
      </c>
      <c r="H314" s="118">
        <v>0</v>
      </c>
      <c r="I314" s="330">
        <v>0</v>
      </c>
      <c r="J314" s="330"/>
      <c r="K314" s="330"/>
      <c r="L314" s="330"/>
      <c r="M314" s="330"/>
      <c r="N314" s="118">
        <v>0</v>
      </c>
      <c r="O314" s="118">
        <v>0</v>
      </c>
      <c r="P314" s="329"/>
      <c r="Q314" s="108"/>
      <c r="R314" s="108"/>
      <c r="S314" s="108"/>
    </row>
    <row r="315" spans="1:21" s="40" customFormat="1" ht="88.5" customHeight="1" x14ac:dyDescent="0.25">
      <c r="A315" s="422"/>
      <c r="B315" s="447"/>
      <c r="C315" s="393"/>
      <c r="D315" s="223" t="s">
        <v>87</v>
      </c>
      <c r="E315" s="118"/>
      <c r="F315" s="156">
        <f t="shared" si="105"/>
        <v>0</v>
      </c>
      <c r="G315" s="203">
        <v>0</v>
      </c>
      <c r="H315" s="118">
        <v>0</v>
      </c>
      <c r="I315" s="330">
        <v>0</v>
      </c>
      <c r="J315" s="330"/>
      <c r="K315" s="330"/>
      <c r="L315" s="330"/>
      <c r="M315" s="330"/>
      <c r="N315" s="118">
        <v>0</v>
      </c>
      <c r="O315" s="118">
        <v>0</v>
      </c>
      <c r="P315" s="329"/>
      <c r="Q315" s="108"/>
      <c r="R315" s="108"/>
      <c r="S315" s="108"/>
    </row>
    <row r="316" spans="1:21" s="40" customFormat="1" ht="27.75" customHeight="1" x14ac:dyDescent="0.25">
      <c r="A316" s="422"/>
      <c r="B316" s="423" t="s">
        <v>215</v>
      </c>
      <c r="C316" s="387" t="s">
        <v>116</v>
      </c>
      <c r="D316" s="340" t="s">
        <v>116</v>
      </c>
      <c r="E316" s="131"/>
      <c r="F316" s="338" t="s">
        <v>117</v>
      </c>
      <c r="G316" s="230" t="s">
        <v>247</v>
      </c>
      <c r="H316" s="230" t="s">
        <v>248</v>
      </c>
      <c r="I316" s="321" t="s">
        <v>123</v>
      </c>
      <c r="J316" s="316" t="s">
        <v>118</v>
      </c>
      <c r="K316" s="316"/>
      <c r="L316" s="316"/>
      <c r="M316" s="316"/>
      <c r="N316" s="132" t="s">
        <v>124</v>
      </c>
      <c r="O316" s="132" t="s">
        <v>125</v>
      </c>
      <c r="P316" s="335" t="s">
        <v>116</v>
      </c>
      <c r="Q316" s="41"/>
    </row>
    <row r="317" spans="1:21" s="40" customFormat="1" ht="24" customHeight="1" x14ac:dyDescent="0.25">
      <c r="A317" s="422"/>
      <c r="B317" s="423"/>
      <c r="C317" s="387"/>
      <c r="D317" s="340"/>
      <c r="E317" s="131"/>
      <c r="F317" s="338"/>
      <c r="G317" s="206"/>
      <c r="H317" s="131"/>
      <c r="I317" s="321"/>
      <c r="J317" s="194" t="s">
        <v>119</v>
      </c>
      <c r="K317" s="194" t="s">
        <v>120</v>
      </c>
      <c r="L317" s="194" t="s">
        <v>121</v>
      </c>
      <c r="M317" s="194" t="s">
        <v>122</v>
      </c>
      <c r="N317" s="131"/>
      <c r="O317" s="131"/>
      <c r="P317" s="335"/>
      <c r="Q317" s="41"/>
    </row>
    <row r="318" spans="1:21" s="40" customFormat="1" ht="28.5" customHeight="1" x14ac:dyDescent="0.25">
      <c r="A318" s="422"/>
      <c r="B318" s="423"/>
      <c r="C318" s="387"/>
      <c r="D318" s="340"/>
      <c r="E318" s="131"/>
      <c r="F318" s="157">
        <v>23</v>
      </c>
      <c r="G318" s="133">
        <v>23</v>
      </c>
      <c r="H318" s="133">
        <v>23</v>
      </c>
      <c r="I318" s="189">
        <v>0</v>
      </c>
      <c r="J318" s="189">
        <v>0</v>
      </c>
      <c r="K318" s="189">
        <v>0</v>
      </c>
      <c r="L318" s="189">
        <v>0</v>
      </c>
      <c r="M318" s="189">
        <v>0</v>
      </c>
      <c r="N318" s="189">
        <v>0</v>
      </c>
      <c r="O318" s="189">
        <v>0</v>
      </c>
      <c r="P318" s="335"/>
      <c r="Q318" s="41"/>
    </row>
    <row r="319" spans="1:21" s="9" customFormat="1" ht="18.75" customHeight="1" x14ac:dyDescent="0.25">
      <c r="A319" s="406" t="s">
        <v>12</v>
      </c>
      <c r="B319" s="360" t="s">
        <v>244</v>
      </c>
      <c r="C319" s="360" t="s">
        <v>270</v>
      </c>
      <c r="D319" s="219" t="s">
        <v>2</v>
      </c>
      <c r="E319" s="142" t="e">
        <f>E320+E321+E322</f>
        <v>#REF!</v>
      </c>
      <c r="F319" s="156">
        <f t="shared" ref="F319:F326" si="113">SUM(G319:O319)</f>
        <v>31080.206989999999</v>
      </c>
      <c r="G319" s="205">
        <f>G320+G321+G322+G323</f>
        <v>15328.57841</v>
      </c>
      <c r="H319" s="142">
        <f>H320+H321+H322+H323</f>
        <v>15751.628580000001</v>
      </c>
      <c r="I319" s="334">
        <f>I320+I321+I322+I323</f>
        <v>0</v>
      </c>
      <c r="J319" s="334"/>
      <c r="K319" s="334"/>
      <c r="L319" s="334"/>
      <c r="M319" s="334"/>
      <c r="N319" s="142">
        <f t="shared" ref="N319:O319" si="114">N320+N321+N322+N323</f>
        <v>0</v>
      </c>
      <c r="O319" s="142">
        <f t="shared" si="114"/>
        <v>0</v>
      </c>
      <c r="P319" s="333"/>
      <c r="T319" s="45"/>
      <c r="U319" s="45"/>
    </row>
    <row r="320" spans="1:21" s="9" customFormat="1" ht="37.5" customHeight="1" x14ac:dyDescent="0.25">
      <c r="A320" s="406"/>
      <c r="B320" s="360"/>
      <c r="C320" s="360"/>
      <c r="D320" s="219" t="s">
        <v>40</v>
      </c>
      <c r="E320" s="143" t="e">
        <f>#REF!+E338</f>
        <v>#REF!</v>
      </c>
      <c r="F320" s="156">
        <f t="shared" si="113"/>
        <v>18351.37095</v>
      </c>
      <c r="G320" s="204">
        <f>G324+G331+G338</f>
        <v>7557.4963900000002</v>
      </c>
      <c r="H320" s="252">
        <f>H324+H331+H338</f>
        <v>10793.87456</v>
      </c>
      <c r="I320" s="328">
        <f>I324+I331+I338</f>
        <v>0</v>
      </c>
      <c r="J320" s="328"/>
      <c r="K320" s="328"/>
      <c r="L320" s="328"/>
      <c r="M320" s="328"/>
      <c r="N320" s="143">
        <f>N324+N331+N338</f>
        <v>0</v>
      </c>
      <c r="O320" s="252">
        <f>O324+O331+O338</f>
        <v>0</v>
      </c>
      <c r="P320" s="333"/>
      <c r="T320" s="45"/>
      <c r="U320" s="45"/>
    </row>
    <row r="321" spans="1:21" s="9" customFormat="1" ht="39.75" customHeight="1" x14ac:dyDescent="0.25">
      <c r="A321" s="406"/>
      <c r="B321" s="360"/>
      <c r="C321" s="360"/>
      <c r="D321" s="219" t="s">
        <v>1</v>
      </c>
      <c r="E321" s="143" t="e">
        <f>#REF!+E339+E332+#REF!+#REF!</f>
        <v>#REF!</v>
      </c>
      <c r="F321" s="156">
        <f t="shared" si="113"/>
        <v>6117.1236699999999</v>
      </c>
      <c r="G321" s="204">
        <f>G325+G332+G339</f>
        <v>2519.1654699999999</v>
      </c>
      <c r="H321" s="252">
        <f>H325+H332+H339</f>
        <v>3597.9582</v>
      </c>
      <c r="I321" s="328">
        <f t="shared" ref="I321:I323" si="115">I325+I332+I339</f>
        <v>0</v>
      </c>
      <c r="J321" s="328"/>
      <c r="K321" s="328"/>
      <c r="L321" s="328"/>
      <c r="M321" s="328"/>
      <c r="N321" s="252">
        <f t="shared" ref="N321:O321" si="116">N325+N332+N339</f>
        <v>0</v>
      </c>
      <c r="O321" s="252">
        <f t="shared" si="116"/>
        <v>0</v>
      </c>
      <c r="P321" s="333"/>
      <c r="T321" s="45"/>
      <c r="U321" s="45"/>
    </row>
    <row r="322" spans="1:21" s="9" customFormat="1" ht="58.5" customHeight="1" x14ac:dyDescent="0.25">
      <c r="A322" s="406"/>
      <c r="B322" s="360"/>
      <c r="C322" s="360"/>
      <c r="D322" s="219" t="s">
        <v>48</v>
      </c>
      <c r="E322" s="143" t="e">
        <f>#REF!+E340+E333+#REF!+#REF!+#REF!</f>
        <v>#REF!</v>
      </c>
      <c r="F322" s="156">
        <f t="shared" si="113"/>
        <v>6611.7123699999993</v>
      </c>
      <c r="G322" s="252">
        <f t="shared" ref="G322:H322" si="117">G326+G333+G340</f>
        <v>5251.9165499999999</v>
      </c>
      <c r="H322" s="252">
        <f t="shared" si="117"/>
        <v>1359.7958199999998</v>
      </c>
      <c r="I322" s="328">
        <f t="shared" si="115"/>
        <v>0</v>
      </c>
      <c r="J322" s="328"/>
      <c r="K322" s="328"/>
      <c r="L322" s="328"/>
      <c r="M322" s="328"/>
      <c r="N322" s="252">
        <f t="shared" ref="N322:O322" si="118">N326+N333+N340</f>
        <v>0</v>
      </c>
      <c r="O322" s="252">
        <f t="shared" si="118"/>
        <v>0</v>
      </c>
      <c r="P322" s="333"/>
      <c r="T322" s="45"/>
      <c r="U322" s="45"/>
    </row>
    <row r="323" spans="1:21" s="9" customFormat="1" ht="34.5" x14ac:dyDescent="0.25">
      <c r="A323" s="406"/>
      <c r="B323" s="360"/>
      <c r="C323" s="360"/>
      <c r="D323" s="219" t="s">
        <v>87</v>
      </c>
      <c r="E323" s="143"/>
      <c r="F323" s="156">
        <f t="shared" si="113"/>
        <v>0</v>
      </c>
      <c r="G323" s="252">
        <f t="shared" ref="G323:H323" si="119">G327+G334+G341</f>
        <v>0</v>
      </c>
      <c r="H323" s="252">
        <f t="shared" si="119"/>
        <v>0</v>
      </c>
      <c r="I323" s="328">
        <f t="shared" si="115"/>
        <v>0</v>
      </c>
      <c r="J323" s="328"/>
      <c r="K323" s="328"/>
      <c r="L323" s="328"/>
      <c r="M323" s="328"/>
      <c r="N323" s="252">
        <f t="shared" ref="N323:O323" si="120">N327+N334+N341</f>
        <v>0</v>
      </c>
      <c r="O323" s="252">
        <f t="shared" si="120"/>
        <v>0</v>
      </c>
      <c r="P323" s="333"/>
      <c r="T323" s="45"/>
      <c r="U323" s="45"/>
    </row>
    <row r="324" spans="1:21" s="40" customFormat="1" ht="36.75" customHeight="1" x14ac:dyDescent="0.25">
      <c r="A324" s="444" t="s">
        <v>106</v>
      </c>
      <c r="B324" s="430" t="s">
        <v>142</v>
      </c>
      <c r="C324" s="393" t="s">
        <v>270</v>
      </c>
      <c r="D324" s="222" t="s">
        <v>40</v>
      </c>
      <c r="E324" s="118">
        <v>2407.6675399999999</v>
      </c>
      <c r="F324" s="156">
        <f t="shared" si="113"/>
        <v>8995.4685600000012</v>
      </c>
      <c r="G324" s="203">
        <v>7557.4963900000002</v>
      </c>
      <c r="H324" s="118">
        <v>1437.97217</v>
      </c>
      <c r="I324" s="330">
        <v>0</v>
      </c>
      <c r="J324" s="330"/>
      <c r="K324" s="330"/>
      <c r="L324" s="330"/>
      <c r="M324" s="330"/>
      <c r="N324" s="118">
        <v>0</v>
      </c>
      <c r="O324" s="118">
        <v>0</v>
      </c>
      <c r="P324" s="329" t="s">
        <v>3</v>
      </c>
    </row>
    <row r="325" spans="1:21" s="40" customFormat="1" ht="34.5" x14ac:dyDescent="0.25">
      <c r="A325" s="445"/>
      <c r="B325" s="430"/>
      <c r="C325" s="393"/>
      <c r="D325" s="222" t="s">
        <v>1</v>
      </c>
      <c r="E325" s="118">
        <v>802.55584999999996</v>
      </c>
      <c r="F325" s="156">
        <f t="shared" si="113"/>
        <v>2998.4895299999998</v>
      </c>
      <c r="G325" s="203">
        <v>2519.1654699999999</v>
      </c>
      <c r="H325" s="118">
        <v>479.32405999999997</v>
      </c>
      <c r="I325" s="330">
        <v>0</v>
      </c>
      <c r="J325" s="330"/>
      <c r="K325" s="330"/>
      <c r="L325" s="330"/>
      <c r="M325" s="330"/>
      <c r="N325" s="118">
        <v>0</v>
      </c>
      <c r="O325" s="118">
        <v>0</v>
      </c>
      <c r="P325" s="329"/>
    </row>
    <row r="326" spans="1:21" s="40" customFormat="1" ht="58.5" customHeight="1" x14ac:dyDescent="0.25">
      <c r="A326" s="445"/>
      <c r="B326" s="430"/>
      <c r="C326" s="393"/>
      <c r="D326" s="222" t="s">
        <v>49</v>
      </c>
      <c r="E326" s="118">
        <v>80.255589999999998</v>
      </c>
      <c r="F326" s="156">
        <f t="shared" si="113"/>
        <v>299.84895</v>
      </c>
      <c r="G326" s="203">
        <v>251.91655</v>
      </c>
      <c r="H326" s="118">
        <v>47.932400000000001</v>
      </c>
      <c r="I326" s="330">
        <v>0</v>
      </c>
      <c r="J326" s="330"/>
      <c r="K326" s="330"/>
      <c r="L326" s="330"/>
      <c r="M326" s="330"/>
      <c r="N326" s="118">
        <v>0</v>
      </c>
      <c r="O326" s="118">
        <v>0</v>
      </c>
      <c r="P326" s="329"/>
    </row>
    <row r="327" spans="1:21" s="40" customFormat="1" ht="34.5" x14ac:dyDescent="0.25">
      <c r="A327" s="445"/>
      <c r="B327" s="430"/>
      <c r="C327" s="393"/>
      <c r="D327" s="222" t="s">
        <v>87</v>
      </c>
      <c r="E327" s="118"/>
      <c r="F327" s="156">
        <f t="shared" ref="F327" si="121">SUM(H327:O327)</f>
        <v>0</v>
      </c>
      <c r="G327" s="203">
        <v>0</v>
      </c>
      <c r="H327" s="118">
        <v>0</v>
      </c>
      <c r="I327" s="330">
        <v>0</v>
      </c>
      <c r="J327" s="330"/>
      <c r="K327" s="330"/>
      <c r="L327" s="330"/>
      <c r="M327" s="330"/>
      <c r="N327" s="118">
        <v>0</v>
      </c>
      <c r="O327" s="118">
        <v>0</v>
      </c>
      <c r="P327" s="329"/>
    </row>
    <row r="328" spans="1:21" s="40" customFormat="1" ht="26.25" customHeight="1" x14ac:dyDescent="0.25">
      <c r="A328" s="445"/>
      <c r="B328" s="423" t="s">
        <v>169</v>
      </c>
      <c r="C328" s="387" t="s">
        <v>116</v>
      </c>
      <c r="D328" s="340" t="s">
        <v>116</v>
      </c>
      <c r="E328" s="131"/>
      <c r="F328" s="338" t="s">
        <v>117</v>
      </c>
      <c r="G328" s="230" t="s">
        <v>247</v>
      </c>
      <c r="H328" s="230" t="s">
        <v>248</v>
      </c>
      <c r="I328" s="321" t="s">
        <v>123</v>
      </c>
      <c r="J328" s="316" t="s">
        <v>118</v>
      </c>
      <c r="K328" s="316"/>
      <c r="L328" s="316"/>
      <c r="M328" s="316"/>
      <c r="N328" s="132" t="s">
        <v>124</v>
      </c>
      <c r="O328" s="132" t="s">
        <v>125</v>
      </c>
      <c r="P328" s="335" t="s">
        <v>116</v>
      </c>
      <c r="Q328" s="41"/>
    </row>
    <row r="329" spans="1:21" s="40" customFormat="1" ht="26.25" customHeight="1" x14ac:dyDescent="0.25">
      <c r="A329" s="445"/>
      <c r="B329" s="423"/>
      <c r="C329" s="387"/>
      <c r="D329" s="340"/>
      <c r="E329" s="131"/>
      <c r="F329" s="338"/>
      <c r="G329" s="206"/>
      <c r="H329" s="131"/>
      <c r="I329" s="321"/>
      <c r="J329" s="194" t="s">
        <v>119</v>
      </c>
      <c r="K329" s="194" t="s">
        <v>120</v>
      </c>
      <c r="L329" s="194" t="s">
        <v>121</v>
      </c>
      <c r="M329" s="194" t="s">
        <v>122</v>
      </c>
      <c r="N329" s="131"/>
      <c r="O329" s="131"/>
      <c r="P329" s="335"/>
      <c r="Q329" s="41"/>
    </row>
    <row r="330" spans="1:21" s="40" customFormat="1" ht="33" customHeight="1" x14ac:dyDescent="0.25">
      <c r="A330" s="446"/>
      <c r="B330" s="423"/>
      <c r="C330" s="387"/>
      <c r="D330" s="340"/>
      <c r="E330" s="131"/>
      <c r="F330" s="190">
        <f>I330+H330+G330+N330+O330</f>
        <v>8</v>
      </c>
      <c r="G330" s="189">
        <v>5</v>
      </c>
      <c r="H330" s="189">
        <v>3</v>
      </c>
      <c r="I330" s="189">
        <v>0</v>
      </c>
      <c r="J330" s="189">
        <v>0</v>
      </c>
      <c r="K330" s="189">
        <v>0</v>
      </c>
      <c r="L330" s="189">
        <v>0</v>
      </c>
      <c r="M330" s="189">
        <v>0</v>
      </c>
      <c r="N330" s="133">
        <v>0</v>
      </c>
      <c r="O330" s="133">
        <v>0</v>
      </c>
      <c r="P330" s="335"/>
      <c r="Q330" s="41"/>
    </row>
    <row r="331" spans="1:21" s="40" customFormat="1" ht="38.25" customHeight="1" x14ac:dyDescent="0.25">
      <c r="A331" s="422" t="s">
        <v>222</v>
      </c>
      <c r="B331" s="430" t="s">
        <v>104</v>
      </c>
      <c r="C331" s="393" t="s">
        <v>270</v>
      </c>
      <c r="D331" s="222" t="s">
        <v>40</v>
      </c>
      <c r="E331" s="118"/>
      <c r="F331" s="156">
        <f t="shared" ref="F331:F334" si="122">SUM(G331:O331)</f>
        <v>0</v>
      </c>
      <c r="G331" s="203">
        <v>0</v>
      </c>
      <c r="H331" s="118">
        <v>0</v>
      </c>
      <c r="I331" s="330">
        <v>0</v>
      </c>
      <c r="J331" s="330"/>
      <c r="K331" s="330"/>
      <c r="L331" s="330"/>
      <c r="M331" s="330"/>
      <c r="N331" s="118">
        <v>0</v>
      </c>
      <c r="O331" s="118">
        <v>0</v>
      </c>
      <c r="P331" s="336" t="s">
        <v>3</v>
      </c>
    </row>
    <row r="332" spans="1:21" s="40" customFormat="1" ht="37.5" customHeight="1" x14ac:dyDescent="0.25">
      <c r="A332" s="422"/>
      <c r="B332" s="430"/>
      <c r="C332" s="393"/>
      <c r="D332" s="222" t="s">
        <v>1</v>
      </c>
      <c r="E332" s="136">
        <v>497</v>
      </c>
      <c r="F332" s="156">
        <f t="shared" si="122"/>
        <v>0</v>
      </c>
      <c r="G332" s="210">
        <v>0</v>
      </c>
      <c r="H332" s="136">
        <v>0</v>
      </c>
      <c r="I332" s="325">
        <v>0</v>
      </c>
      <c r="J332" s="325"/>
      <c r="K332" s="325"/>
      <c r="L332" s="325"/>
      <c r="M332" s="325"/>
      <c r="N332" s="136">
        <v>0</v>
      </c>
      <c r="O332" s="136">
        <v>0</v>
      </c>
      <c r="P332" s="336"/>
    </row>
    <row r="333" spans="1:21" s="40" customFormat="1" ht="51.75" x14ac:dyDescent="0.25">
      <c r="A333" s="422"/>
      <c r="B333" s="430"/>
      <c r="C333" s="393"/>
      <c r="D333" s="222" t="s">
        <v>49</v>
      </c>
      <c r="E333" s="136">
        <v>1488.3896299999999</v>
      </c>
      <c r="F333" s="156">
        <f t="shared" si="122"/>
        <v>6000</v>
      </c>
      <c r="G333" s="210">
        <v>5000</v>
      </c>
      <c r="H333" s="136">
        <v>1000</v>
      </c>
      <c r="I333" s="325">
        <v>0</v>
      </c>
      <c r="J333" s="325"/>
      <c r="K333" s="325"/>
      <c r="L333" s="325"/>
      <c r="M333" s="325"/>
      <c r="N333" s="136">
        <v>0</v>
      </c>
      <c r="O333" s="136">
        <v>0</v>
      </c>
      <c r="P333" s="336"/>
    </row>
    <row r="334" spans="1:21" s="40" customFormat="1" ht="34.5" x14ac:dyDescent="0.25">
      <c r="A334" s="422"/>
      <c r="B334" s="430"/>
      <c r="C334" s="393"/>
      <c r="D334" s="222" t="s">
        <v>87</v>
      </c>
      <c r="E334" s="136"/>
      <c r="F334" s="156">
        <f t="shared" si="122"/>
        <v>0</v>
      </c>
      <c r="G334" s="210">
        <v>0</v>
      </c>
      <c r="H334" s="136">
        <v>0</v>
      </c>
      <c r="I334" s="325">
        <v>0</v>
      </c>
      <c r="J334" s="325"/>
      <c r="K334" s="325"/>
      <c r="L334" s="325"/>
      <c r="M334" s="325"/>
      <c r="N334" s="136">
        <v>0</v>
      </c>
      <c r="O334" s="136">
        <v>0</v>
      </c>
      <c r="P334" s="336"/>
    </row>
    <row r="335" spans="1:21" s="40" customFormat="1" ht="27" customHeight="1" x14ac:dyDescent="0.25">
      <c r="A335" s="422"/>
      <c r="B335" s="423" t="s">
        <v>170</v>
      </c>
      <c r="C335" s="387" t="s">
        <v>116</v>
      </c>
      <c r="D335" s="340" t="s">
        <v>116</v>
      </c>
      <c r="E335" s="131"/>
      <c r="F335" s="338" t="s">
        <v>117</v>
      </c>
      <c r="G335" s="230" t="s">
        <v>247</v>
      </c>
      <c r="H335" s="230" t="s">
        <v>248</v>
      </c>
      <c r="I335" s="321" t="s">
        <v>123</v>
      </c>
      <c r="J335" s="316" t="s">
        <v>118</v>
      </c>
      <c r="K335" s="316"/>
      <c r="L335" s="316"/>
      <c r="M335" s="316"/>
      <c r="N335" s="132" t="s">
        <v>124</v>
      </c>
      <c r="O335" s="132" t="s">
        <v>125</v>
      </c>
      <c r="P335" s="335" t="s">
        <v>116</v>
      </c>
      <c r="Q335" s="41"/>
    </row>
    <row r="336" spans="1:21" s="40" customFormat="1" ht="23.25" customHeight="1" x14ac:dyDescent="0.25">
      <c r="A336" s="422"/>
      <c r="B336" s="423"/>
      <c r="C336" s="387"/>
      <c r="D336" s="340"/>
      <c r="E336" s="131"/>
      <c r="F336" s="338"/>
      <c r="G336" s="206"/>
      <c r="H336" s="131"/>
      <c r="I336" s="321"/>
      <c r="J336" s="194" t="s">
        <v>119</v>
      </c>
      <c r="K336" s="194" t="s">
        <v>120</v>
      </c>
      <c r="L336" s="194" t="s">
        <v>121</v>
      </c>
      <c r="M336" s="194" t="s">
        <v>122</v>
      </c>
      <c r="N336" s="131"/>
      <c r="O336" s="131"/>
      <c r="P336" s="335"/>
      <c r="Q336" s="41"/>
    </row>
    <row r="337" spans="1:20" s="40" customFormat="1" ht="27.75" customHeight="1" x14ac:dyDescent="0.25">
      <c r="A337" s="422"/>
      <c r="B337" s="423"/>
      <c r="C337" s="387"/>
      <c r="D337" s="340"/>
      <c r="E337" s="131"/>
      <c r="F337" s="190">
        <f>I337+H337+G337+N337+O337</f>
        <v>8</v>
      </c>
      <c r="G337" s="189">
        <v>5</v>
      </c>
      <c r="H337" s="189">
        <v>3</v>
      </c>
      <c r="I337" s="189">
        <v>0</v>
      </c>
      <c r="J337" s="189">
        <v>0</v>
      </c>
      <c r="K337" s="189">
        <v>0</v>
      </c>
      <c r="L337" s="189">
        <v>0</v>
      </c>
      <c r="M337" s="189">
        <v>0</v>
      </c>
      <c r="N337" s="133">
        <v>0</v>
      </c>
      <c r="O337" s="133">
        <v>0</v>
      </c>
      <c r="P337" s="335"/>
      <c r="Q337" s="41"/>
    </row>
    <row r="338" spans="1:20" s="40" customFormat="1" ht="55.5" customHeight="1" x14ac:dyDescent="0.25">
      <c r="A338" s="422" t="s">
        <v>223</v>
      </c>
      <c r="B338" s="430" t="s">
        <v>137</v>
      </c>
      <c r="C338" s="393" t="s">
        <v>46</v>
      </c>
      <c r="D338" s="222" t="s">
        <v>40</v>
      </c>
      <c r="E338" s="118">
        <v>3107.4</v>
      </c>
      <c r="F338" s="156">
        <f t="shared" ref="F338:F341" si="123">SUM(G338:O338)</f>
        <v>9355.9023899999993</v>
      </c>
      <c r="G338" s="203">
        <v>0</v>
      </c>
      <c r="H338" s="118">
        <v>9355.9023899999993</v>
      </c>
      <c r="I338" s="330">
        <v>0</v>
      </c>
      <c r="J338" s="330"/>
      <c r="K338" s="330"/>
      <c r="L338" s="330"/>
      <c r="M338" s="330"/>
      <c r="N338" s="118">
        <v>0</v>
      </c>
      <c r="O338" s="118">
        <v>0</v>
      </c>
      <c r="P338" s="329" t="s">
        <v>3</v>
      </c>
    </row>
    <row r="339" spans="1:20" s="40" customFormat="1" ht="55.5" customHeight="1" x14ac:dyDescent="0.25">
      <c r="A339" s="422"/>
      <c r="B339" s="430"/>
      <c r="C339" s="393"/>
      <c r="D339" s="222" t="s">
        <v>1</v>
      </c>
      <c r="E339" s="118">
        <v>1035.8</v>
      </c>
      <c r="F339" s="156">
        <f t="shared" si="123"/>
        <v>3118.6341400000001</v>
      </c>
      <c r="G339" s="203">
        <v>0</v>
      </c>
      <c r="H339" s="118">
        <v>3118.6341400000001</v>
      </c>
      <c r="I339" s="330">
        <v>0</v>
      </c>
      <c r="J339" s="330"/>
      <c r="K339" s="330"/>
      <c r="L339" s="330"/>
      <c r="M339" s="330"/>
      <c r="N339" s="118">
        <v>0</v>
      </c>
      <c r="O339" s="118">
        <v>0</v>
      </c>
      <c r="P339" s="329"/>
    </row>
    <row r="340" spans="1:20" s="40" customFormat="1" ht="55.5" customHeight="1" x14ac:dyDescent="0.25">
      <c r="A340" s="422"/>
      <c r="B340" s="430"/>
      <c r="C340" s="393"/>
      <c r="D340" s="222" t="s">
        <v>49</v>
      </c>
      <c r="E340" s="118">
        <v>103.58</v>
      </c>
      <c r="F340" s="156">
        <f t="shared" si="123"/>
        <v>311.86342000000002</v>
      </c>
      <c r="G340" s="203">
        <v>0</v>
      </c>
      <c r="H340" s="118">
        <v>311.86342000000002</v>
      </c>
      <c r="I340" s="330">
        <v>0</v>
      </c>
      <c r="J340" s="330"/>
      <c r="K340" s="330"/>
      <c r="L340" s="330"/>
      <c r="M340" s="330"/>
      <c r="N340" s="118">
        <v>0</v>
      </c>
      <c r="O340" s="118">
        <v>0</v>
      </c>
      <c r="P340" s="329"/>
    </row>
    <row r="341" spans="1:20" s="40" customFormat="1" ht="55.5" customHeight="1" x14ac:dyDescent="0.25">
      <c r="A341" s="422"/>
      <c r="B341" s="430"/>
      <c r="C341" s="393"/>
      <c r="D341" s="222" t="s">
        <v>87</v>
      </c>
      <c r="E341" s="118"/>
      <c r="F341" s="156">
        <f t="shared" si="123"/>
        <v>0</v>
      </c>
      <c r="G341" s="203">
        <v>0</v>
      </c>
      <c r="H341" s="118">
        <v>0</v>
      </c>
      <c r="I341" s="330">
        <v>0</v>
      </c>
      <c r="J341" s="330"/>
      <c r="K341" s="330"/>
      <c r="L341" s="330"/>
      <c r="M341" s="330"/>
      <c r="N341" s="118">
        <v>0</v>
      </c>
      <c r="O341" s="118">
        <v>0</v>
      </c>
      <c r="P341" s="329"/>
    </row>
    <row r="342" spans="1:20" s="40" customFormat="1" ht="23.25" customHeight="1" x14ac:dyDescent="0.25">
      <c r="A342" s="422"/>
      <c r="B342" s="423" t="s">
        <v>171</v>
      </c>
      <c r="C342" s="387" t="s">
        <v>116</v>
      </c>
      <c r="D342" s="340" t="s">
        <v>116</v>
      </c>
      <c r="E342" s="131"/>
      <c r="F342" s="338" t="s">
        <v>117</v>
      </c>
      <c r="G342" s="230" t="s">
        <v>247</v>
      </c>
      <c r="H342" s="230" t="s">
        <v>248</v>
      </c>
      <c r="I342" s="321" t="s">
        <v>123</v>
      </c>
      <c r="J342" s="316" t="s">
        <v>118</v>
      </c>
      <c r="K342" s="316"/>
      <c r="L342" s="316"/>
      <c r="M342" s="316"/>
      <c r="N342" s="132" t="s">
        <v>124</v>
      </c>
      <c r="O342" s="132" t="s">
        <v>125</v>
      </c>
      <c r="P342" s="335" t="s">
        <v>116</v>
      </c>
      <c r="Q342" s="41"/>
    </row>
    <row r="343" spans="1:20" s="40" customFormat="1" ht="23.25" customHeight="1" x14ac:dyDescent="0.25">
      <c r="A343" s="422"/>
      <c r="B343" s="423"/>
      <c r="C343" s="387"/>
      <c r="D343" s="340"/>
      <c r="E343" s="131"/>
      <c r="F343" s="338"/>
      <c r="G343" s="206"/>
      <c r="H343" s="131"/>
      <c r="I343" s="321"/>
      <c r="J343" s="194" t="s">
        <v>119</v>
      </c>
      <c r="K343" s="194" t="s">
        <v>120</v>
      </c>
      <c r="L343" s="194" t="s">
        <v>121</v>
      </c>
      <c r="M343" s="194" t="s">
        <v>122</v>
      </c>
      <c r="N343" s="131"/>
      <c r="O343" s="131"/>
      <c r="P343" s="335"/>
      <c r="Q343" s="41"/>
    </row>
    <row r="344" spans="1:20" s="40" customFormat="1" ht="27.75" customHeight="1" x14ac:dyDescent="0.25">
      <c r="A344" s="422"/>
      <c r="B344" s="423"/>
      <c r="C344" s="387"/>
      <c r="D344" s="340"/>
      <c r="E344" s="131"/>
      <c r="F344" s="157">
        <f>I344+H344+G344+N344+O344</f>
        <v>3</v>
      </c>
      <c r="G344" s="133">
        <v>0</v>
      </c>
      <c r="H344" s="133">
        <v>3</v>
      </c>
      <c r="I344" s="189">
        <v>0</v>
      </c>
      <c r="J344" s="189">
        <v>0</v>
      </c>
      <c r="K344" s="189">
        <v>0</v>
      </c>
      <c r="L344" s="189">
        <v>0</v>
      </c>
      <c r="M344" s="189">
        <v>0</v>
      </c>
      <c r="N344" s="133">
        <v>0</v>
      </c>
      <c r="O344" s="133">
        <v>0</v>
      </c>
      <c r="P344" s="335"/>
      <c r="Q344" s="41"/>
    </row>
    <row r="345" spans="1:20" s="9" customFormat="1" ht="18.75" customHeight="1" x14ac:dyDescent="0.25">
      <c r="A345" s="442" t="s">
        <v>224</v>
      </c>
      <c r="B345" s="443" t="s">
        <v>245</v>
      </c>
      <c r="C345" s="394" t="s">
        <v>270</v>
      </c>
      <c r="D345" s="226" t="s">
        <v>2</v>
      </c>
      <c r="E345" s="150" t="e">
        <f>E347+E348+E346</f>
        <v>#REF!</v>
      </c>
      <c r="F345" s="156">
        <f t="shared" ref="F345:F353" si="124">SUM(G345:O345)</f>
        <v>132135</v>
      </c>
      <c r="G345" s="209">
        <f t="shared" ref="G345:H345" si="125">G346+G347+G348+G349</f>
        <v>69708</v>
      </c>
      <c r="H345" s="150">
        <f t="shared" si="125"/>
        <v>62427</v>
      </c>
      <c r="I345" s="339">
        <f>I346+I347+I348+I349</f>
        <v>0</v>
      </c>
      <c r="J345" s="339"/>
      <c r="K345" s="339"/>
      <c r="L345" s="339"/>
      <c r="M345" s="339"/>
      <c r="N345" s="150">
        <f t="shared" ref="N345:O345" si="126">N346+N347+N348+N349</f>
        <v>0</v>
      </c>
      <c r="O345" s="150">
        <f t="shared" si="126"/>
        <v>0</v>
      </c>
      <c r="P345" s="337"/>
      <c r="T345" s="45"/>
    </row>
    <row r="346" spans="1:20" s="9" customFormat="1" ht="39" customHeight="1" x14ac:dyDescent="0.25">
      <c r="A346" s="442"/>
      <c r="B346" s="443"/>
      <c r="C346" s="394"/>
      <c r="D346" s="227" t="s">
        <v>40</v>
      </c>
      <c r="E346" s="152" t="e">
        <f>E395</f>
        <v>#REF!</v>
      </c>
      <c r="F346" s="156">
        <f t="shared" si="124"/>
        <v>0</v>
      </c>
      <c r="G346" s="207">
        <f>G350</f>
        <v>0</v>
      </c>
      <c r="H346" s="253">
        <f>H350</f>
        <v>0</v>
      </c>
      <c r="I346" s="331">
        <f>I350</f>
        <v>0</v>
      </c>
      <c r="J346" s="331"/>
      <c r="K346" s="331"/>
      <c r="L346" s="331"/>
      <c r="M346" s="331"/>
      <c r="N346" s="152">
        <f>N350</f>
        <v>0</v>
      </c>
      <c r="O346" s="253">
        <f>O350</f>
        <v>0</v>
      </c>
      <c r="P346" s="337"/>
      <c r="T346" s="45"/>
    </row>
    <row r="347" spans="1:20" s="9" customFormat="1" ht="36.75" customHeight="1" x14ac:dyDescent="0.25">
      <c r="A347" s="442"/>
      <c r="B347" s="443"/>
      <c r="C347" s="394"/>
      <c r="D347" s="227" t="s">
        <v>1</v>
      </c>
      <c r="E347" s="152" t="e">
        <f>E351+E396</f>
        <v>#REF!</v>
      </c>
      <c r="F347" s="156">
        <f t="shared" si="124"/>
        <v>81615</v>
      </c>
      <c r="G347" s="253">
        <f t="shared" ref="G347:I347" si="127">G351</f>
        <v>42661</v>
      </c>
      <c r="H347" s="253">
        <f t="shared" si="127"/>
        <v>38954</v>
      </c>
      <c r="I347" s="331">
        <f t="shared" si="127"/>
        <v>0</v>
      </c>
      <c r="J347" s="331"/>
      <c r="K347" s="331"/>
      <c r="L347" s="331"/>
      <c r="M347" s="331"/>
      <c r="N347" s="253">
        <f t="shared" ref="N347:O347" si="128">N351</f>
        <v>0</v>
      </c>
      <c r="O347" s="253">
        <f t="shared" si="128"/>
        <v>0</v>
      </c>
      <c r="P347" s="337"/>
      <c r="T347" s="45"/>
    </row>
    <row r="348" spans="1:20" s="9" customFormat="1" ht="57" customHeight="1" x14ac:dyDescent="0.25">
      <c r="A348" s="442"/>
      <c r="B348" s="443"/>
      <c r="C348" s="394"/>
      <c r="D348" s="227" t="s">
        <v>47</v>
      </c>
      <c r="E348" s="145" t="e">
        <f>E352+E397</f>
        <v>#REF!</v>
      </c>
      <c r="F348" s="156">
        <f t="shared" si="124"/>
        <v>50520</v>
      </c>
      <c r="G348" s="253">
        <f t="shared" ref="G348:I348" si="129">G352</f>
        <v>27047</v>
      </c>
      <c r="H348" s="253">
        <f t="shared" si="129"/>
        <v>23473</v>
      </c>
      <c r="I348" s="331">
        <f t="shared" si="129"/>
        <v>0</v>
      </c>
      <c r="J348" s="331"/>
      <c r="K348" s="331"/>
      <c r="L348" s="331"/>
      <c r="M348" s="331"/>
      <c r="N348" s="253">
        <f t="shared" ref="N348:O348" si="130">N352</f>
        <v>0</v>
      </c>
      <c r="O348" s="253">
        <f t="shared" si="130"/>
        <v>0</v>
      </c>
      <c r="P348" s="337"/>
      <c r="T348" s="45"/>
    </row>
    <row r="349" spans="1:20" s="9" customFormat="1" ht="34.5" x14ac:dyDescent="0.25">
      <c r="A349" s="442"/>
      <c r="B349" s="443"/>
      <c r="C349" s="394"/>
      <c r="D349" s="227" t="s">
        <v>87</v>
      </c>
      <c r="E349" s="145"/>
      <c r="F349" s="156">
        <f t="shared" si="124"/>
        <v>0</v>
      </c>
      <c r="G349" s="253">
        <f t="shared" ref="G349:I349" si="131">G353</f>
        <v>0</v>
      </c>
      <c r="H349" s="253">
        <f t="shared" si="131"/>
        <v>0</v>
      </c>
      <c r="I349" s="331">
        <f t="shared" si="131"/>
        <v>0</v>
      </c>
      <c r="J349" s="331"/>
      <c r="K349" s="331"/>
      <c r="L349" s="331"/>
      <c r="M349" s="331"/>
      <c r="N349" s="253">
        <f t="shared" ref="N349:O349" si="132">N353</f>
        <v>0</v>
      </c>
      <c r="O349" s="253">
        <f t="shared" si="132"/>
        <v>0</v>
      </c>
      <c r="P349" s="337"/>
      <c r="T349" s="45"/>
    </row>
    <row r="350" spans="1:20" s="9" customFormat="1" ht="46.5" customHeight="1" x14ac:dyDescent="0.25">
      <c r="A350" s="383" t="s">
        <v>225</v>
      </c>
      <c r="B350" s="392" t="s">
        <v>107</v>
      </c>
      <c r="C350" s="386" t="s">
        <v>270</v>
      </c>
      <c r="D350" s="223" t="s">
        <v>40</v>
      </c>
      <c r="E350" s="122"/>
      <c r="F350" s="156">
        <f t="shared" si="124"/>
        <v>0</v>
      </c>
      <c r="G350" s="122">
        <v>0</v>
      </c>
      <c r="H350" s="122">
        <v>0</v>
      </c>
      <c r="I350" s="385">
        <v>0</v>
      </c>
      <c r="J350" s="385"/>
      <c r="K350" s="385"/>
      <c r="L350" s="385"/>
      <c r="M350" s="385"/>
      <c r="N350" s="122">
        <v>0</v>
      </c>
      <c r="O350" s="122">
        <v>0</v>
      </c>
      <c r="P350" s="341" t="s">
        <v>3</v>
      </c>
      <c r="T350" s="45"/>
    </row>
    <row r="351" spans="1:20" s="40" customFormat="1" ht="42" customHeight="1" x14ac:dyDescent="0.25">
      <c r="A351" s="383"/>
      <c r="B351" s="392"/>
      <c r="C351" s="386"/>
      <c r="D351" s="221" t="s">
        <v>1</v>
      </c>
      <c r="E351" s="130">
        <v>34122</v>
      </c>
      <c r="F351" s="156">
        <f t="shared" si="124"/>
        <v>81615</v>
      </c>
      <c r="G351" s="130">
        <v>42661</v>
      </c>
      <c r="H351" s="130">
        <v>38954</v>
      </c>
      <c r="I351" s="324">
        <v>0</v>
      </c>
      <c r="J351" s="324"/>
      <c r="K351" s="324"/>
      <c r="L351" s="324"/>
      <c r="M351" s="324"/>
      <c r="N351" s="291">
        <v>0</v>
      </c>
      <c r="O351" s="291">
        <v>0</v>
      </c>
      <c r="P351" s="341"/>
    </row>
    <row r="352" spans="1:20" s="40" customFormat="1" ht="51.75" x14ac:dyDescent="0.25">
      <c r="A352" s="383"/>
      <c r="B352" s="392"/>
      <c r="C352" s="386"/>
      <c r="D352" s="221" t="s">
        <v>47</v>
      </c>
      <c r="E352" s="130">
        <v>20473</v>
      </c>
      <c r="F352" s="156">
        <f t="shared" si="124"/>
        <v>50520</v>
      </c>
      <c r="G352" s="130">
        <v>27047</v>
      </c>
      <c r="H352" s="130">
        <v>23473</v>
      </c>
      <c r="I352" s="324">
        <v>0</v>
      </c>
      <c r="J352" s="324"/>
      <c r="K352" s="324"/>
      <c r="L352" s="324"/>
      <c r="M352" s="324"/>
      <c r="N352" s="291">
        <v>0</v>
      </c>
      <c r="O352" s="291">
        <v>0</v>
      </c>
      <c r="P352" s="341"/>
    </row>
    <row r="353" spans="1:20" s="40" customFormat="1" ht="55.5" customHeight="1" x14ac:dyDescent="0.25">
      <c r="A353" s="383"/>
      <c r="B353" s="392"/>
      <c r="C353" s="386"/>
      <c r="D353" s="221" t="s">
        <v>87</v>
      </c>
      <c r="E353" s="130"/>
      <c r="F353" s="156">
        <f t="shared" si="124"/>
        <v>0</v>
      </c>
      <c r="G353" s="130">
        <v>0</v>
      </c>
      <c r="H353" s="130">
        <v>0</v>
      </c>
      <c r="I353" s="324">
        <v>0</v>
      </c>
      <c r="J353" s="324"/>
      <c r="K353" s="324"/>
      <c r="L353" s="324"/>
      <c r="M353" s="324"/>
      <c r="N353" s="130">
        <v>0</v>
      </c>
      <c r="O353" s="130">
        <v>0</v>
      </c>
      <c r="P353" s="341"/>
    </row>
    <row r="354" spans="1:20" s="40" customFormat="1" ht="90.75" customHeight="1" x14ac:dyDescent="0.25">
      <c r="A354" s="383"/>
      <c r="B354" s="384" t="s">
        <v>172</v>
      </c>
      <c r="C354" s="387" t="s">
        <v>116</v>
      </c>
      <c r="D354" s="340" t="s">
        <v>116</v>
      </c>
      <c r="E354" s="131"/>
      <c r="F354" s="338" t="s">
        <v>117</v>
      </c>
      <c r="G354" s="230" t="s">
        <v>247</v>
      </c>
      <c r="H354" s="230" t="s">
        <v>248</v>
      </c>
      <c r="I354" s="321" t="s">
        <v>123</v>
      </c>
      <c r="J354" s="316" t="s">
        <v>118</v>
      </c>
      <c r="K354" s="316"/>
      <c r="L354" s="316"/>
      <c r="M354" s="316"/>
      <c r="N354" s="132" t="s">
        <v>124</v>
      </c>
      <c r="O354" s="132" t="s">
        <v>125</v>
      </c>
      <c r="P354" s="335" t="s">
        <v>116</v>
      </c>
      <c r="Q354" s="41"/>
    </row>
    <row r="355" spans="1:20" s="40" customFormat="1" ht="66" customHeight="1" x14ac:dyDescent="0.25">
      <c r="A355" s="383"/>
      <c r="B355" s="384"/>
      <c r="C355" s="387"/>
      <c r="D355" s="340"/>
      <c r="E355" s="131"/>
      <c r="F355" s="338"/>
      <c r="G355" s="206"/>
      <c r="H355" s="131"/>
      <c r="I355" s="321"/>
      <c r="J355" s="194" t="s">
        <v>119</v>
      </c>
      <c r="K355" s="194" t="s">
        <v>120</v>
      </c>
      <c r="L355" s="194" t="s">
        <v>121</v>
      </c>
      <c r="M355" s="194" t="s">
        <v>122</v>
      </c>
      <c r="N355" s="131"/>
      <c r="O355" s="131"/>
      <c r="P355" s="335"/>
      <c r="Q355" s="41"/>
    </row>
    <row r="356" spans="1:20" s="40" customFormat="1" ht="67.5" customHeight="1" x14ac:dyDescent="0.25">
      <c r="A356" s="383"/>
      <c r="B356" s="384"/>
      <c r="C356" s="387"/>
      <c r="D356" s="340"/>
      <c r="E356" s="131"/>
      <c r="F356" s="157">
        <v>77</v>
      </c>
      <c r="G356" s="133">
        <v>77</v>
      </c>
      <c r="H356" s="133">
        <v>77</v>
      </c>
      <c r="I356" s="189">
        <v>0</v>
      </c>
      <c r="J356" s="189">
        <v>0</v>
      </c>
      <c r="K356" s="189">
        <v>0</v>
      </c>
      <c r="L356" s="189">
        <v>0</v>
      </c>
      <c r="M356" s="189">
        <v>0</v>
      </c>
      <c r="N356" s="189">
        <v>0</v>
      </c>
      <c r="O356" s="189">
        <v>0</v>
      </c>
      <c r="P356" s="335"/>
      <c r="Q356" s="41"/>
    </row>
    <row r="357" spans="1:20" s="302" customFormat="1" ht="18.75" customHeight="1" x14ac:dyDescent="0.25">
      <c r="A357" s="388" t="s">
        <v>238</v>
      </c>
      <c r="B357" s="389" t="s">
        <v>251</v>
      </c>
      <c r="C357" s="390" t="s">
        <v>82</v>
      </c>
      <c r="D357" s="311" t="s">
        <v>2</v>
      </c>
      <c r="E357" s="295">
        <f>E359+E360+E358</f>
        <v>54595</v>
      </c>
      <c r="F357" s="310">
        <f t="shared" ref="F357:F367" si="133">SUM(G357:O357)</f>
        <v>9604.7956399999985</v>
      </c>
      <c r="G357" s="295">
        <f t="shared" ref="G357:H357" si="134">G358+G359+G360+G361</f>
        <v>0</v>
      </c>
      <c r="H357" s="295">
        <f t="shared" si="134"/>
        <v>0</v>
      </c>
      <c r="I357" s="339">
        <f>I358+I359+I360+I361</f>
        <v>9604.7956399999985</v>
      </c>
      <c r="J357" s="339"/>
      <c r="K357" s="339"/>
      <c r="L357" s="339"/>
      <c r="M357" s="339"/>
      <c r="N357" s="295">
        <f t="shared" ref="N357:O357" si="135">N358+N359+N360+N361</f>
        <v>0</v>
      </c>
      <c r="O357" s="295">
        <f t="shared" si="135"/>
        <v>0</v>
      </c>
      <c r="P357" s="327"/>
      <c r="T357" s="307"/>
    </row>
    <row r="358" spans="1:20" s="302" customFormat="1" ht="39" customHeight="1" x14ac:dyDescent="0.25">
      <c r="A358" s="388"/>
      <c r="B358" s="389"/>
      <c r="C358" s="390"/>
      <c r="D358" s="312" t="s">
        <v>40</v>
      </c>
      <c r="E358" s="294">
        <f>E407</f>
        <v>0</v>
      </c>
      <c r="F358" s="310">
        <f t="shared" si="133"/>
        <v>243.39564000000018</v>
      </c>
      <c r="G358" s="294">
        <f>G362</f>
        <v>0</v>
      </c>
      <c r="H358" s="294">
        <f>H362</f>
        <v>0</v>
      </c>
      <c r="I358" s="331">
        <f>I362</f>
        <v>243.39564000000018</v>
      </c>
      <c r="J358" s="331"/>
      <c r="K358" s="331"/>
      <c r="L358" s="331"/>
      <c r="M358" s="331"/>
      <c r="N358" s="294">
        <f>N362</f>
        <v>0</v>
      </c>
      <c r="O358" s="294">
        <f>O362</f>
        <v>0</v>
      </c>
      <c r="P358" s="327"/>
      <c r="T358" s="307"/>
    </row>
    <row r="359" spans="1:20" s="302" customFormat="1" ht="36.75" customHeight="1" x14ac:dyDescent="0.25">
      <c r="A359" s="388"/>
      <c r="B359" s="389"/>
      <c r="C359" s="390"/>
      <c r="D359" s="312" t="s">
        <v>1</v>
      </c>
      <c r="E359" s="294">
        <f>E363+E408</f>
        <v>34122</v>
      </c>
      <c r="F359" s="310">
        <f t="shared" si="133"/>
        <v>6927.4436099999994</v>
      </c>
      <c r="G359" s="294">
        <f t="shared" ref="G359:I359" si="136">G363</f>
        <v>0</v>
      </c>
      <c r="H359" s="294">
        <f t="shared" si="136"/>
        <v>0</v>
      </c>
      <c r="I359" s="331">
        <f t="shared" si="136"/>
        <v>6927.4436099999994</v>
      </c>
      <c r="J359" s="331"/>
      <c r="K359" s="331"/>
      <c r="L359" s="331"/>
      <c r="M359" s="331"/>
      <c r="N359" s="294">
        <f t="shared" ref="N359:O359" si="137">N363</f>
        <v>0</v>
      </c>
      <c r="O359" s="294">
        <f t="shared" si="137"/>
        <v>0</v>
      </c>
      <c r="P359" s="327"/>
      <c r="T359" s="307"/>
    </row>
    <row r="360" spans="1:20" s="302" customFormat="1" ht="57" customHeight="1" x14ac:dyDescent="0.25">
      <c r="A360" s="388"/>
      <c r="B360" s="389"/>
      <c r="C360" s="390"/>
      <c r="D360" s="312" t="s">
        <v>47</v>
      </c>
      <c r="E360" s="293">
        <f>E364+E409</f>
        <v>20473</v>
      </c>
      <c r="F360" s="310">
        <f t="shared" si="133"/>
        <v>2433.9563899999998</v>
      </c>
      <c r="G360" s="294">
        <f t="shared" ref="G360:I360" si="138">G364</f>
        <v>0</v>
      </c>
      <c r="H360" s="294">
        <f t="shared" si="138"/>
        <v>0</v>
      </c>
      <c r="I360" s="331">
        <f t="shared" si="138"/>
        <v>2433.9563899999998</v>
      </c>
      <c r="J360" s="331"/>
      <c r="K360" s="331"/>
      <c r="L360" s="331"/>
      <c r="M360" s="331"/>
      <c r="N360" s="293">
        <f t="shared" ref="N360:O360" si="139">N364</f>
        <v>0</v>
      </c>
      <c r="O360" s="293">
        <f t="shared" si="139"/>
        <v>0</v>
      </c>
      <c r="P360" s="327"/>
      <c r="T360" s="307"/>
    </row>
    <row r="361" spans="1:20" s="302" customFormat="1" ht="26.1" customHeight="1" x14ac:dyDescent="0.25">
      <c r="A361" s="388"/>
      <c r="B361" s="389"/>
      <c r="C361" s="390"/>
      <c r="D361" s="312" t="s">
        <v>87</v>
      </c>
      <c r="E361" s="293"/>
      <c r="F361" s="310">
        <f t="shared" si="133"/>
        <v>0</v>
      </c>
      <c r="G361" s="294">
        <f t="shared" ref="G361:I361" si="140">G365</f>
        <v>0</v>
      </c>
      <c r="H361" s="294">
        <f t="shared" si="140"/>
        <v>0</v>
      </c>
      <c r="I361" s="331">
        <f t="shared" si="140"/>
        <v>0</v>
      </c>
      <c r="J361" s="331"/>
      <c r="K361" s="331"/>
      <c r="L361" s="331"/>
      <c r="M361" s="331"/>
      <c r="N361" s="293">
        <f t="shared" ref="N361:O361" si="141">N365</f>
        <v>0</v>
      </c>
      <c r="O361" s="293">
        <f t="shared" si="141"/>
        <v>0</v>
      </c>
      <c r="P361" s="327"/>
      <c r="T361" s="307"/>
    </row>
    <row r="362" spans="1:20" s="302" customFormat="1" ht="36" customHeight="1" x14ac:dyDescent="0.25">
      <c r="A362" s="354" t="s">
        <v>239</v>
      </c>
      <c r="B362" s="355" t="s">
        <v>252</v>
      </c>
      <c r="C362" s="356" t="s">
        <v>82</v>
      </c>
      <c r="D362" s="305" t="s">
        <v>40</v>
      </c>
      <c r="E362" s="296"/>
      <c r="F362" s="310">
        <f t="shared" si="133"/>
        <v>243.39564000000018</v>
      </c>
      <c r="G362" s="296">
        <v>0</v>
      </c>
      <c r="H362" s="296">
        <v>0</v>
      </c>
      <c r="I362" s="357">
        <f>2434-2190.60436</f>
        <v>243.39564000000018</v>
      </c>
      <c r="J362" s="357"/>
      <c r="K362" s="357"/>
      <c r="L362" s="357"/>
      <c r="M362" s="357"/>
      <c r="N362" s="313">
        <v>0</v>
      </c>
      <c r="O362" s="313">
        <v>0</v>
      </c>
      <c r="P362" s="323" t="s">
        <v>3</v>
      </c>
      <c r="T362" s="307"/>
    </row>
    <row r="363" spans="1:20" s="84" customFormat="1" ht="34.5" x14ac:dyDescent="0.25">
      <c r="A363" s="354"/>
      <c r="B363" s="355"/>
      <c r="C363" s="356"/>
      <c r="D363" s="301" t="s">
        <v>1</v>
      </c>
      <c r="E363" s="291">
        <v>34122</v>
      </c>
      <c r="F363" s="310">
        <f t="shared" si="133"/>
        <v>6927.4436099999994</v>
      </c>
      <c r="G363" s="291">
        <v>0</v>
      </c>
      <c r="H363" s="291">
        <v>0</v>
      </c>
      <c r="I363" s="358">
        <f>6927.4+0.04361</f>
        <v>6927.4436099999994</v>
      </c>
      <c r="J363" s="358"/>
      <c r="K363" s="358"/>
      <c r="L363" s="358"/>
      <c r="M363" s="358"/>
      <c r="N363" s="291">
        <v>0</v>
      </c>
      <c r="O363" s="291">
        <v>0</v>
      </c>
      <c r="P363" s="323"/>
    </row>
    <row r="364" spans="1:20" s="84" customFormat="1" ht="51.75" x14ac:dyDescent="0.25">
      <c r="A364" s="354"/>
      <c r="B364" s="355"/>
      <c r="C364" s="356"/>
      <c r="D364" s="301" t="s">
        <v>47</v>
      </c>
      <c r="E364" s="291">
        <v>20473</v>
      </c>
      <c r="F364" s="310">
        <f t="shared" si="133"/>
        <v>2433.9563899999998</v>
      </c>
      <c r="G364" s="291">
        <v>0</v>
      </c>
      <c r="H364" s="291">
        <v>0</v>
      </c>
      <c r="I364" s="359">
        <f>2434-0.04361</f>
        <v>2433.9563899999998</v>
      </c>
      <c r="J364" s="359"/>
      <c r="K364" s="359"/>
      <c r="L364" s="359"/>
      <c r="M364" s="359"/>
      <c r="N364" s="314">
        <v>0</v>
      </c>
      <c r="O364" s="314">
        <v>0</v>
      </c>
      <c r="P364" s="323"/>
    </row>
    <row r="365" spans="1:20" s="84" customFormat="1" ht="29.1" customHeight="1" x14ac:dyDescent="0.25">
      <c r="A365" s="354"/>
      <c r="B365" s="355"/>
      <c r="C365" s="356"/>
      <c r="D365" s="301" t="s">
        <v>87</v>
      </c>
      <c r="E365" s="291"/>
      <c r="F365" s="310">
        <f t="shared" si="133"/>
        <v>0</v>
      </c>
      <c r="G365" s="291">
        <v>0</v>
      </c>
      <c r="H365" s="291">
        <v>0</v>
      </c>
      <c r="I365" s="324">
        <v>0</v>
      </c>
      <c r="J365" s="324"/>
      <c r="K365" s="324"/>
      <c r="L365" s="324"/>
      <c r="M365" s="324"/>
      <c r="N365" s="291">
        <v>0</v>
      </c>
      <c r="O365" s="291">
        <v>0</v>
      </c>
      <c r="P365" s="323"/>
    </row>
    <row r="366" spans="1:20" s="84" customFormat="1" ht="26.1" customHeight="1" x14ac:dyDescent="0.25">
      <c r="A366" s="354"/>
      <c r="B366" s="317" t="s">
        <v>253</v>
      </c>
      <c r="C366" s="318" t="s">
        <v>116</v>
      </c>
      <c r="D366" s="319" t="s">
        <v>116</v>
      </c>
      <c r="E366" s="288"/>
      <c r="F366" s="320">
        <f t="shared" si="133"/>
        <v>0</v>
      </c>
      <c r="G366" s="287" t="s">
        <v>220</v>
      </c>
      <c r="H366" s="287" t="s">
        <v>221</v>
      </c>
      <c r="I366" s="321" t="s">
        <v>123</v>
      </c>
      <c r="J366" s="316" t="s">
        <v>118</v>
      </c>
      <c r="K366" s="316"/>
      <c r="L366" s="316"/>
      <c r="M366" s="316"/>
      <c r="N366" s="287" t="s">
        <v>124</v>
      </c>
      <c r="O366" s="287" t="s">
        <v>125</v>
      </c>
      <c r="P366" s="322" t="s">
        <v>116</v>
      </c>
      <c r="Q366" s="88"/>
    </row>
    <row r="367" spans="1:20" s="84" customFormat="1" ht="26.1" customHeight="1" x14ac:dyDescent="0.25">
      <c r="A367" s="354"/>
      <c r="B367" s="317"/>
      <c r="C367" s="318"/>
      <c r="D367" s="319"/>
      <c r="E367" s="288"/>
      <c r="F367" s="320">
        <f t="shared" si="133"/>
        <v>0</v>
      </c>
      <c r="G367" s="288"/>
      <c r="H367" s="288"/>
      <c r="I367" s="321"/>
      <c r="J367" s="288" t="s">
        <v>119</v>
      </c>
      <c r="K367" s="288" t="s">
        <v>120</v>
      </c>
      <c r="L367" s="288" t="s">
        <v>121</v>
      </c>
      <c r="M367" s="288" t="s">
        <v>122</v>
      </c>
      <c r="N367" s="288"/>
      <c r="O367" s="288"/>
      <c r="P367" s="322"/>
      <c r="Q367" s="88"/>
    </row>
    <row r="368" spans="1:20" s="84" customFormat="1" ht="26.1" customHeight="1" x14ac:dyDescent="0.25">
      <c r="A368" s="354"/>
      <c r="B368" s="317"/>
      <c r="C368" s="318"/>
      <c r="D368" s="319"/>
      <c r="E368" s="288"/>
      <c r="F368" s="190">
        <f>I368</f>
        <v>19</v>
      </c>
      <c r="G368" s="189">
        <v>0</v>
      </c>
      <c r="H368" s="189">
        <v>0</v>
      </c>
      <c r="I368" s="189">
        <v>19</v>
      </c>
      <c r="J368" s="189">
        <v>0</v>
      </c>
      <c r="K368" s="189">
        <v>0</v>
      </c>
      <c r="L368" s="189">
        <v>0</v>
      </c>
      <c r="M368" s="189">
        <v>19</v>
      </c>
      <c r="N368" s="189">
        <v>0</v>
      </c>
      <c r="O368" s="189">
        <v>0</v>
      </c>
      <c r="P368" s="322"/>
      <c r="Q368" s="88"/>
    </row>
    <row r="369" spans="1:20" s="302" customFormat="1" ht="18.75" customHeight="1" x14ac:dyDescent="0.25">
      <c r="A369" s="388" t="s">
        <v>258</v>
      </c>
      <c r="B369" s="389" t="s">
        <v>243</v>
      </c>
      <c r="C369" s="390" t="s">
        <v>268</v>
      </c>
      <c r="D369" s="311" t="s">
        <v>2</v>
      </c>
      <c r="E369" s="295">
        <f>E371+E372+E370</f>
        <v>54595</v>
      </c>
      <c r="F369" s="310">
        <f t="shared" ref="F369:F402" si="142">SUM(G369:O369)</f>
        <v>841921.67999999993</v>
      </c>
      <c r="G369" s="295">
        <f t="shared" ref="G369:H369" si="143">G370+G371+G372+G373</f>
        <v>0</v>
      </c>
      <c r="H369" s="295">
        <f t="shared" si="143"/>
        <v>0</v>
      </c>
      <c r="I369" s="339">
        <f>I370+I371+I372+I373</f>
        <v>280429.56</v>
      </c>
      <c r="J369" s="339"/>
      <c r="K369" s="339"/>
      <c r="L369" s="339"/>
      <c r="M369" s="339"/>
      <c r="N369" s="295">
        <f t="shared" ref="N369:O369" si="144">N370+N371+N372+N373</f>
        <v>280626.56</v>
      </c>
      <c r="O369" s="295">
        <f t="shared" si="144"/>
        <v>280865.56</v>
      </c>
      <c r="P369" s="327"/>
      <c r="T369" s="307"/>
    </row>
    <row r="370" spans="1:20" s="302" customFormat="1" ht="39" customHeight="1" x14ac:dyDescent="0.25">
      <c r="A370" s="388"/>
      <c r="B370" s="389"/>
      <c r="C370" s="390"/>
      <c r="D370" s="312" t="s">
        <v>40</v>
      </c>
      <c r="E370" s="294">
        <f>E426</f>
        <v>0</v>
      </c>
      <c r="F370" s="310">
        <f t="shared" si="142"/>
        <v>829991.22</v>
      </c>
      <c r="G370" s="294">
        <f t="shared" ref="G370:I373" si="145">G374+G388</f>
        <v>0</v>
      </c>
      <c r="H370" s="294">
        <f t="shared" si="145"/>
        <v>0</v>
      </c>
      <c r="I370" s="331">
        <f>I374+I388+I381</f>
        <v>277042.5</v>
      </c>
      <c r="J370" s="331"/>
      <c r="K370" s="331"/>
      <c r="L370" s="331"/>
      <c r="M370" s="331"/>
      <c r="N370" s="294">
        <f>N374+N388+N381</f>
        <v>276659.89</v>
      </c>
      <c r="O370" s="294">
        <f>O374+O388+O381</f>
        <v>276288.83</v>
      </c>
      <c r="P370" s="327"/>
      <c r="T370" s="307"/>
    </row>
    <row r="371" spans="1:20" s="302" customFormat="1" ht="36.75" customHeight="1" x14ac:dyDescent="0.25">
      <c r="A371" s="388"/>
      <c r="B371" s="389"/>
      <c r="C371" s="390"/>
      <c r="D371" s="312" t="s">
        <v>1</v>
      </c>
      <c r="E371" s="294">
        <f>E375+E427</f>
        <v>34122</v>
      </c>
      <c r="F371" s="310">
        <f t="shared" si="142"/>
        <v>11930.46</v>
      </c>
      <c r="G371" s="294">
        <f t="shared" si="145"/>
        <v>0</v>
      </c>
      <c r="H371" s="294">
        <f t="shared" si="145"/>
        <v>0</v>
      </c>
      <c r="I371" s="331">
        <f t="shared" si="145"/>
        <v>3387.06</v>
      </c>
      <c r="J371" s="331"/>
      <c r="K371" s="331"/>
      <c r="L371" s="331"/>
      <c r="M371" s="331"/>
      <c r="N371" s="294">
        <f t="shared" ref="N371:O371" si="146">N375+N389+N382</f>
        <v>3966.67</v>
      </c>
      <c r="O371" s="294">
        <f t="shared" si="146"/>
        <v>4576.7299999999996</v>
      </c>
      <c r="P371" s="327"/>
      <c r="T371" s="307"/>
    </row>
    <row r="372" spans="1:20" s="302" customFormat="1" ht="57" customHeight="1" x14ac:dyDescent="0.25">
      <c r="A372" s="388"/>
      <c r="B372" s="389"/>
      <c r="C372" s="390"/>
      <c r="D372" s="312" t="s">
        <v>47</v>
      </c>
      <c r="E372" s="293">
        <f>E376+E428</f>
        <v>20473</v>
      </c>
      <c r="F372" s="310">
        <f t="shared" si="142"/>
        <v>0</v>
      </c>
      <c r="G372" s="293">
        <f t="shared" si="145"/>
        <v>0</v>
      </c>
      <c r="H372" s="293">
        <f t="shared" si="145"/>
        <v>0</v>
      </c>
      <c r="I372" s="332">
        <f t="shared" si="145"/>
        <v>0</v>
      </c>
      <c r="J372" s="332"/>
      <c r="K372" s="332"/>
      <c r="L372" s="332"/>
      <c r="M372" s="332"/>
      <c r="N372" s="294">
        <f t="shared" ref="N372:O372" si="147">N376+N390+N383</f>
        <v>0</v>
      </c>
      <c r="O372" s="294">
        <f t="shared" si="147"/>
        <v>0</v>
      </c>
      <c r="P372" s="327"/>
      <c r="T372" s="307"/>
    </row>
    <row r="373" spans="1:20" s="302" customFormat="1" ht="29.1" customHeight="1" x14ac:dyDescent="0.25">
      <c r="A373" s="388"/>
      <c r="B373" s="389"/>
      <c r="C373" s="390"/>
      <c r="D373" s="312" t="s">
        <v>87</v>
      </c>
      <c r="E373" s="293"/>
      <c r="F373" s="310">
        <f t="shared" si="142"/>
        <v>0</v>
      </c>
      <c r="G373" s="293">
        <f t="shared" si="145"/>
        <v>0</v>
      </c>
      <c r="H373" s="293">
        <f t="shared" si="145"/>
        <v>0</v>
      </c>
      <c r="I373" s="332">
        <f t="shared" si="145"/>
        <v>0</v>
      </c>
      <c r="J373" s="332"/>
      <c r="K373" s="332"/>
      <c r="L373" s="332"/>
      <c r="M373" s="332"/>
      <c r="N373" s="294">
        <f t="shared" ref="N373:O373" si="148">N377+N391+N384</f>
        <v>0</v>
      </c>
      <c r="O373" s="294">
        <f t="shared" si="148"/>
        <v>0</v>
      </c>
      <c r="P373" s="327"/>
      <c r="T373" s="307"/>
    </row>
    <row r="374" spans="1:20" s="302" customFormat="1" ht="36" customHeight="1" x14ac:dyDescent="0.25">
      <c r="A374" s="354" t="s">
        <v>259</v>
      </c>
      <c r="B374" s="355" t="s">
        <v>240</v>
      </c>
      <c r="C374" s="356" t="s">
        <v>268</v>
      </c>
      <c r="D374" s="305" t="s">
        <v>40</v>
      </c>
      <c r="E374" s="296"/>
      <c r="F374" s="310">
        <f t="shared" si="142"/>
        <v>27777.54</v>
      </c>
      <c r="G374" s="296">
        <v>0</v>
      </c>
      <c r="H374" s="296">
        <v>0</v>
      </c>
      <c r="I374" s="391">
        <v>9637.94</v>
      </c>
      <c r="J374" s="391"/>
      <c r="K374" s="391"/>
      <c r="L374" s="391"/>
      <c r="M374" s="391"/>
      <c r="N374" s="313">
        <v>9255.33</v>
      </c>
      <c r="O374" s="313">
        <v>8884.27</v>
      </c>
      <c r="P374" s="323" t="s">
        <v>266</v>
      </c>
      <c r="T374" s="307"/>
    </row>
    <row r="375" spans="1:20" s="84" customFormat="1" ht="34.5" x14ac:dyDescent="0.25">
      <c r="A375" s="354"/>
      <c r="B375" s="355"/>
      <c r="C375" s="356"/>
      <c r="D375" s="301" t="s">
        <v>1</v>
      </c>
      <c r="E375" s="291">
        <v>34122</v>
      </c>
      <c r="F375" s="310">
        <f t="shared" si="142"/>
        <v>11930.46</v>
      </c>
      <c r="G375" s="291">
        <v>0</v>
      </c>
      <c r="H375" s="291">
        <v>0</v>
      </c>
      <c r="I375" s="324">
        <v>3387.06</v>
      </c>
      <c r="J375" s="324"/>
      <c r="K375" s="324"/>
      <c r="L375" s="324"/>
      <c r="M375" s="324"/>
      <c r="N375" s="291">
        <v>3966.67</v>
      </c>
      <c r="O375" s="291">
        <v>4576.7299999999996</v>
      </c>
      <c r="P375" s="323"/>
    </row>
    <row r="376" spans="1:20" s="84" customFormat="1" ht="51.75" x14ac:dyDescent="0.25">
      <c r="A376" s="354"/>
      <c r="B376" s="355"/>
      <c r="C376" s="356"/>
      <c r="D376" s="301" t="s">
        <v>47</v>
      </c>
      <c r="E376" s="291">
        <v>20473</v>
      </c>
      <c r="F376" s="310">
        <f t="shared" si="142"/>
        <v>0</v>
      </c>
      <c r="G376" s="291">
        <v>0</v>
      </c>
      <c r="H376" s="291">
        <v>0</v>
      </c>
      <c r="I376" s="326">
        <v>0</v>
      </c>
      <c r="J376" s="326"/>
      <c r="K376" s="326"/>
      <c r="L376" s="326"/>
      <c r="M376" s="326"/>
      <c r="N376" s="314">
        <v>0</v>
      </c>
      <c r="O376" s="314">
        <v>0</v>
      </c>
      <c r="P376" s="323"/>
    </row>
    <row r="377" spans="1:20" s="84" customFormat="1" ht="29.1" customHeight="1" x14ac:dyDescent="0.25">
      <c r="A377" s="354"/>
      <c r="B377" s="355"/>
      <c r="C377" s="356"/>
      <c r="D377" s="301" t="s">
        <v>87</v>
      </c>
      <c r="E377" s="291"/>
      <c r="F377" s="310">
        <f t="shared" si="142"/>
        <v>0</v>
      </c>
      <c r="G377" s="291">
        <v>0</v>
      </c>
      <c r="H377" s="291">
        <v>0</v>
      </c>
      <c r="I377" s="324">
        <v>0</v>
      </c>
      <c r="J377" s="324"/>
      <c r="K377" s="324"/>
      <c r="L377" s="324"/>
      <c r="M377" s="324"/>
      <c r="N377" s="291">
        <v>0</v>
      </c>
      <c r="O377" s="291">
        <v>0</v>
      </c>
      <c r="P377" s="323"/>
    </row>
    <row r="378" spans="1:20" s="84" customFormat="1" ht="26.1" customHeight="1" x14ac:dyDescent="0.25">
      <c r="A378" s="354"/>
      <c r="B378" s="317" t="s">
        <v>254</v>
      </c>
      <c r="C378" s="318" t="s">
        <v>116</v>
      </c>
      <c r="D378" s="319" t="s">
        <v>116</v>
      </c>
      <c r="E378" s="288"/>
      <c r="F378" s="320">
        <f t="shared" si="142"/>
        <v>0</v>
      </c>
      <c r="G378" s="287" t="s">
        <v>220</v>
      </c>
      <c r="H378" s="287" t="s">
        <v>221</v>
      </c>
      <c r="I378" s="321" t="s">
        <v>123</v>
      </c>
      <c r="J378" s="316" t="s">
        <v>118</v>
      </c>
      <c r="K378" s="316"/>
      <c r="L378" s="316"/>
      <c r="M378" s="316"/>
      <c r="N378" s="287" t="s">
        <v>124</v>
      </c>
      <c r="O378" s="287" t="s">
        <v>125</v>
      </c>
      <c r="P378" s="322" t="s">
        <v>116</v>
      </c>
      <c r="Q378" s="88"/>
    </row>
    <row r="379" spans="1:20" s="84" customFormat="1" ht="33" customHeight="1" x14ac:dyDescent="0.25">
      <c r="A379" s="354"/>
      <c r="B379" s="317"/>
      <c r="C379" s="318"/>
      <c r="D379" s="319"/>
      <c r="E379" s="288"/>
      <c r="F379" s="320">
        <f t="shared" si="142"/>
        <v>0</v>
      </c>
      <c r="G379" s="288"/>
      <c r="H379" s="288"/>
      <c r="I379" s="321"/>
      <c r="J379" s="288" t="s">
        <v>119</v>
      </c>
      <c r="K379" s="288" t="s">
        <v>120</v>
      </c>
      <c r="L379" s="288" t="s">
        <v>121</v>
      </c>
      <c r="M379" s="288" t="s">
        <v>122</v>
      </c>
      <c r="N379" s="288"/>
      <c r="O379" s="288"/>
      <c r="P379" s="322"/>
      <c r="Q379" s="88"/>
    </row>
    <row r="380" spans="1:20" s="84" customFormat="1" ht="37.5" customHeight="1" x14ac:dyDescent="0.25">
      <c r="A380" s="354"/>
      <c r="B380" s="317"/>
      <c r="C380" s="318"/>
      <c r="D380" s="319"/>
      <c r="E380" s="288"/>
      <c r="F380" s="190">
        <f>I380</f>
        <v>31</v>
      </c>
      <c r="G380" s="189">
        <v>0</v>
      </c>
      <c r="H380" s="189">
        <v>0</v>
      </c>
      <c r="I380" s="189">
        <v>31</v>
      </c>
      <c r="J380" s="189">
        <v>31</v>
      </c>
      <c r="K380" s="189">
        <v>31</v>
      </c>
      <c r="L380" s="189">
        <v>31</v>
      </c>
      <c r="M380" s="189">
        <v>31</v>
      </c>
      <c r="N380" s="189">
        <v>31</v>
      </c>
      <c r="O380" s="189">
        <v>31</v>
      </c>
      <c r="P380" s="322"/>
      <c r="Q380" s="88"/>
    </row>
    <row r="381" spans="1:20" s="84" customFormat="1" ht="36.75" customHeight="1" x14ac:dyDescent="0.25">
      <c r="A381" s="354" t="s">
        <v>260</v>
      </c>
      <c r="B381" s="355" t="s">
        <v>241</v>
      </c>
      <c r="C381" s="356" t="s">
        <v>268</v>
      </c>
      <c r="D381" s="301" t="s">
        <v>40</v>
      </c>
      <c r="E381" s="291">
        <v>0</v>
      </c>
      <c r="F381" s="315">
        <f t="shared" ref="F381:F386" si="149">SUM(G381:O381)</f>
        <v>793308</v>
      </c>
      <c r="G381" s="291">
        <v>0</v>
      </c>
      <c r="H381" s="291">
        <v>0</v>
      </c>
      <c r="I381" s="324">
        <v>264436</v>
      </c>
      <c r="J381" s="324"/>
      <c r="K381" s="324"/>
      <c r="L381" s="324"/>
      <c r="M381" s="324"/>
      <c r="N381" s="291">
        <v>264436</v>
      </c>
      <c r="O381" s="291">
        <v>264436</v>
      </c>
      <c r="P381" s="323" t="s">
        <v>266</v>
      </c>
    </row>
    <row r="382" spans="1:20" s="84" customFormat="1" ht="34.5" x14ac:dyDescent="0.25">
      <c r="A382" s="354"/>
      <c r="B382" s="355"/>
      <c r="C382" s="356"/>
      <c r="D382" s="301" t="s">
        <v>1</v>
      </c>
      <c r="E382" s="291">
        <v>0</v>
      </c>
      <c r="F382" s="315">
        <f t="shared" si="149"/>
        <v>0</v>
      </c>
      <c r="G382" s="291">
        <v>0</v>
      </c>
      <c r="H382" s="291">
        <v>0</v>
      </c>
      <c r="I382" s="324">
        <v>0</v>
      </c>
      <c r="J382" s="324"/>
      <c r="K382" s="324"/>
      <c r="L382" s="324"/>
      <c r="M382" s="324"/>
      <c r="N382" s="291">
        <v>0</v>
      </c>
      <c r="O382" s="291">
        <v>0</v>
      </c>
      <c r="P382" s="323"/>
    </row>
    <row r="383" spans="1:20" s="84" customFormat="1" ht="51.75" x14ac:dyDescent="0.25">
      <c r="A383" s="354"/>
      <c r="B383" s="355"/>
      <c r="C383" s="356"/>
      <c r="D383" s="301" t="s">
        <v>47</v>
      </c>
      <c r="E383" s="291">
        <v>0</v>
      </c>
      <c r="F383" s="315">
        <f t="shared" si="149"/>
        <v>0</v>
      </c>
      <c r="G383" s="291">
        <v>0</v>
      </c>
      <c r="H383" s="291">
        <v>0</v>
      </c>
      <c r="I383" s="324">
        <v>0</v>
      </c>
      <c r="J383" s="324"/>
      <c r="K383" s="324"/>
      <c r="L383" s="324"/>
      <c r="M383" s="324"/>
      <c r="N383" s="291">
        <v>0</v>
      </c>
      <c r="O383" s="291">
        <v>0</v>
      </c>
      <c r="P383" s="323"/>
    </row>
    <row r="384" spans="1:20" s="84" customFormat="1" ht="34.5" x14ac:dyDescent="0.25">
      <c r="A384" s="354"/>
      <c r="B384" s="355"/>
      <c r="C384" s="356"/>
      <c r="D384" s="301" t="s">
        <v>87</v>
      </c>
      <c r="E384" s="291"/>
      <c r="F384" s="315">
        <f t="shared" si="149"/>
        <v>0</v>
      </c>
      <c r="G384" s="291">
        <v>0</v>
      </c>
      <c r="H384" s="291">
        <v>0</v>
      </c>
      <c r="I384" s="324">
        <v>0</v>
      </c>
      <c r="J384" s="324"/>
      <c r="K384" s="324"/>
      <c r="L384" s="324"/>
      <c r="M384" s="324"/>
      <c r="N384" s="291">
        <v>0</v>
      </c>
      <c r="O384" s="291">
        <v>0</v>
      </c>
      <c r="P384" s="323"/>
    </row>
    <row r="385" spans="1:21" s="84" customFormat="1" ht="39.75" customHeight="1" x14ac:dyDescent="0.25">
      <c r="A385" s="354"/>
      <c r="B385" s="317" t="s">
        <v>255</v>
      </c>
      <c r="C385" s="318" t="s">
        <v>116</v>
      </c>
      <c r="D385" s="319" t="s">
        <v>116</v>
      </c>
      <c r="E385" s="288"/>
      <c r="F385" s="320">
        <f t="shared" si="149"/>
        <v>0</v>
      </c>
      <c r="G385" s="287" t="s">
        <v>220</v>
      </c>
      <c r="H385" s="287" t="s">
        <v>221</v>
      </c>
      <c r="I385" s="321" t="s">
        <v>123</v>
      </c>
      <c r="J385" s="316" t="s">
        <v>118</v>
      </c>
      <c r="K385" s="316"/>
      <c r="L385" s="316"/>
      <c r="M385" s="316"/>
      <c r="N385" s="287" t="s">
        <v>124</v>
      </c>
      <c r="O385" s="287" t="s">
        <v>125</v>
      </c>
      <c r="P385" s="322" t="s">
        <v>116</v>
      </c>
      <c r="Q385" s="88"/>
    </row>
    <row r="386" spans="1:21" s="84" customFormat="1" ht="33.950000000000003" customHeight="1" x14ac:dyDescent="0.25">
      <c r="A386" s="354"/>
      <c r="B386" s="317"/>
      <c r="C386" s="318"/>
      <c r="D386" s="319"/>
      <c r="E386" s="288"/>
      <c r="F386" s="320">
        <f t="shared" si="149"/>
        <v>0</v>
      </c>
      <c r="G386" s="288"/>
      <c r="H386" s="288"/>
      <c r="I386" s="321"/>
      <c r="J386" s="288" t="s">
        <v>119</v>
      </c>
      <c r="K386" s="288" t="s">
        <v>120</v>
      </c>
      <c r="L386" s="288" t="s">
        <v>121</v>
      </c>
      <c r="M386" s="288" t="s">
        <v>122</v>
      </c>
      <c r="N386" s="288"/>
      <c r="O386" s="288"/>
      <c r="P386" s="322"/>
      <c r="Q386" s="88"/>
    </row>
    <row r="387" spans="1:21" s="84" customFormat="1" ht="41.1" customHeight="1" x14ac:dyDescent="0.25">
      <c r="A387" s="354"/>
      <c r="B387" s="317"/>
      <c r="C387" s="318"/>
      <c r="D387" s="319"/>
      <c r="E387" s="288"/>
      <c r="F387" s="190">
        <f>I387</f>
        <v>2115</v>
      </c>
      <c r="G387" s="189">
        <v>0</v>
      </c>
      <c r="H387" s="189">
        <v>0</v>
      </c>
      <c r="I387" s="189">
        <v>2115</v>
      </c>
      <c r="J387" s="189">
        <v>2115</v>
      </c>
      <c r="K387" s="189">
        <v>2115</v>
      </c>
      <c r="L387" s="189">
        <v>2115</v>
      </c>
      <c r="M387" s="189">
        <v>2115</v>
      </c>
      <c r="N387" s="189">
        <v>2115</v>
      </c>
      <c r="O387" s="189">
        <v>2115</v>
      </c>
      <c r="P387" s="322"/>
      <c r="Q387" s="88"/>
    </row>
    <row r="388" spans="1:21" s="84" customFormat="1" ht="36.75" customHeight="1" x14ac:dyDescent="0.25">
      <c r="A388" s="354" t="s">
        <v>261</v>
      </c>
      <c r="B388" s="355" t="s">
        <v>256</v>
      </c>
      <c r="C388" s="356" t="s">
        <v>268</v>
      </c>
      <c r="D388" s="301" t="s">
        <v>40</v>
      </c>
      <c r="E388" s="291">
        <v>0</v>
      </c>
      <c r="F388" s="315">
        <f t="shared" si="142"/>
        <v>8905.68</v>
      </c>
      <c r="G388" s="291">
        <v>0</v>
      </c>
      <c r="H388" s="291">
        <v>0</v>
      </c>
      <c r="I388" s="324">
        <v>2968.56</v>
      </c>
      <c r="J388" s="324"/>
      <c r="K388" s="324"/>
      <c r="L388" s="324"/>
      <c r="M388" s="324"/>
      <c r="N388" s="291">
        <v>2968.56</v>
      </c>
      <c r="O388" s="291">
        <v>2968.56</v>
      </c>
      <c r="P388" s="323" t="s">
        <v>266</v>
      </c>
    </row>
    <row r="389" spans="1:21" s="84" customFormat="1" ht="34.5" x14ac:dyDescent="0.25">
      <c r="A389" s="354"/>
      <c r="B389" s="355"/>
      <c r="C389" s="356"/>
      <c r="D389" s="301" t="s">
        <v>1</v>
      </c>
      <c r="E389" s="291">
        <v>0</v>
      </c>
      <c r="F389" s="315">
        <f t="shared" si="142"/>
        <v>0</v>
      </c>
      <c r="G389" s="291">
        <v>0</v>
      </c>
      <c r="H389" s="291">
        <v>0</v>
      </c>
      <c r="I389" s="324">
        <v>0</v>
      </c>
      <c r="J389" s="324"/>
      <c r="K389" s="324"/>
      <c r="L389" s="324"/>
      <c r="M389" s="324"/>
      <c r="N389" s="291">
        <v>0</v>
      </c>
      <c r="O389" s="291">
        <v>0</v>
      </c>
      <c r="P389" s="323"/>
    </row>
    <row r="390" spans="1:21" s="84" customFormat="1" ht="51.75" x14ac:dyDescent="0.25">
      <c r="A390" s="354"/>
      <c r="B390" s="355"/>
      <c r="C390" s="356"/>
      <c r="D390" s="301" t="s">
        <v>47</v>
      </c>
      <c r="E390" s="291">
        <v>0</v>
      </c>
      <c r="F390" s="315">
        <f t="shared" si="142"/>
        <v>0</v>
      </c>
      <c r="G390" s="291">
        <v>0</v>
      </c>
      <c r="H390" s="291">
        <v>0</v>
      </c>
      <c r="I390" s="324">
        <v>0</v>
      </c>
      <c r="J390" s="324"/>
      <c r="K390" s="324"/>
      <c r="L390" s="324"/>
      <c r="M390" s="324"/>
      <c r="N390" s="291">
        <v>0</v>
      </c>
      <c r="O390" s="291">
        <v>0</v>
      </c>
      <c r="P390" s="323"/>
    </row>
    <row r="391" spans="1:21" s="84" customFormat="1" ht="33.950000000000003" customHeight="1" x14ac:dyDescent="0.25">
      <c r="A391" s="354"/>
      <c r="B391" s="355"/>
      <c r="C391" s="356"/>
      <c r="D391" s="301" t="s">
        <v>87</v>
      </c>
      <c r="E391" s="291"/>
      <c r="F391" s="315">
        <f t="shared" si="142"/>
        <v>0</v>
      </c>
      <c r="G391" s="291">
        <v>0</v>
      </c>
      <c r="H391" s="291">
        <v>0</v>
      </c>
      <c r="I391" s="324">
        <v>0</v>
      </c>
      <c r="J391" s="324"/>
      <c r="K391" s="324"/>
      <c r="L391" s="324"/>
      <c r="M391" s="324"/>
      <c r="N391" s="291">
        <v>0</v>
      </c>
      <c r="O391" s="291">
        <v>0</v>
      </c>
      <c r="P391" s="323"/>
    </row>
    <row r="392" spans="1:21" s="84" customFormat="1" ht="39.75" customHeight="1" x14ac:dyDescent="0.25">
      <c r="A392" s="354"/>
      <c r="B392" s="317" t="s">
        <v>257</v>
      </c>
      <c r="C392" s="318" t="s">
        <v>116</v>
      </c>
      <c r="D392" s="319" t="s">
        <v>116</v>
      </c>
      <c r="E392" s="288"/>
      <c r="F392" s="320">
        <f t="shared" si="142"/>
        <v>0</v>
      </c>
      <c r="G392" s="287" t="s">
        <v>220</v>
      </c>
      <c r="H392" s="287" t="s">
        <v>221</v>
      </c>
      <c r="I392" s="321" t="s">
        <v>123</v>
      </c>
      <c r="J392" s="316" t="s">
        <v>118</v>
      </c>
      <c r="K392" s="316"/>
      <c r="L392" s="316"/>
      <c r="M392" s="316"/>
      <c r="N392" s="287" t="s">
        <v>124</v>
      </c>
      <c r="O392" s="287" t="s">
        <v>125</v>
      </c>
      <c r="P392" s="322" t="s">
        <v>116</v>
      </c>
      <c r="Q392" s="88"/>
    </row>
    <row r="393" spans="1:21" s="84" customFormat="1" ht="32.1" customHeight="1" x14ac:dyDescent="0.25">
      <c r="A393" s="354"/>
      <c r="B393" s="317"/>
      <c r="C393" s="318"/>
      <c r="D393" s="319"/>
      <c r="E393" s="288"/>
      <c r="F393" s="320">
        <f t="shared" si="142"/>
        <v>0</v>
      </c>
      <c r="G393" s="288"/>
      <c r="H393" s="288"/>
      <c r="I393" s="321"/>
      <c r="J393" s="288" t="s">
        <v>119</v>
      </c>
      <c r="K393" s="288" t="s">
        <v>120</v>
      </c>
      <c r="L393" s="288" t="s">
        <v>121</v>
      </c>
      <c r="M393" s="288" t="s">
        <v>122</v>
      </c>
      <c r="N393" s="288"/>
      <c r="O393" s="288"/>
      <c r="P393" s="322"/>
      <c r="Q393" s="88"/>
    </row>
    <row r="394" spans="1:21" s="84" customFormat="1" ht="38.1" customHeight="1" x14ac:dyDescent="0.25">
      <c r="A394" s="354"/>
      <c r="B394" s="317"/>
      <c r="C394" s="318"/>
      <c r="D394" s="319"/>
      <c r="E394" s="288"/>
      <c r="F394" s="190">
        <f>I394</f>
        <v>38</v>
      </c>
      <c r="G394" s="189">
        <v>0</v>
      </c>
      <c r="H394" s="189">
        <v>0</v>
      </c>
      <c r="I394" s="189">
        <v>38</v>
      </c>
      <c r="J394" s="189">
        <v>38</v>
      </c>
      <c r="K394" s="189">
        <v>38</v>
      </c>
      <c r="L394" s="189">
        <v>38</v>
      </c>
      <c r="M394" s="189">
        <v>38</v>
      </c>
      <c r="N394" s="189">
        <v>38</v>
      </c>
      <c r="O394" s="189">
        <v>38</v>
      </c>
      <c r="P394" s="322"/>
      <c r="Q394" s="88"/>
    </row>
    <row r="395" spans="1:21" s="9" customFormat="1" ht="39" customHeight="1" x14ac:dyDescent="0.25">
      <c r="A395" s="380" t="s">
        <v>182</v>
      </c>
      <c r="B395" s="381"/>
      <c r="C395" s="381"/>
      <c r="D395" s="381"/>
      <c r="E395" s="153" t="e">
        <f>E396+E397+E398+E401+E402</f>
        <v>#REF!</v>
      </c>
      <c r="F395" s="158">
        <f t="shared" si="142"/>
        <v>66883243.225490004</v>
      </c>
      <c r="G395" s="153">
        <f t="shared" ref="G395:H395" si="150">G396+G397+G398+G400</f>
        <v>12260123.436870003</v>
      </c>
      <c r="H395" s="153">
        <f t="shared" si="150"/>
        <v>12632199.85434</v>
      </c>
      <c r="I395" s="378">
        <f>I396+I397+I398+I400</f>
        <v>13994801.35292</v>
      </c>
      <c r="J395" s="378"/>
      <c r="K395" s="378"/>
      <c r="L395" s="378"/>
      <c r="M395" s="378"/>
      <c r="N395" s="153">
        <f t="shared" ref="N395:O395" si="151">N396+N397+N398+N400</f>
        <v>14001460.455680002</v>
      </c>
      <c r="O395" s="153">
        <f t="shared" si="151"/>
        <v>13994658.125680003</v>
      </c>
      <c r="P395" s="154"/>
      <c r="T395" s="45"/>
      <c r="U395" s="45"/>
    </row>
    <row r="396" spans="1:21" ht="21" x14ac:dyDescent="0.35">
      <c r="A396" s="382" t="s">
        <v>40</v>
      </c>
      <c r="B396" s="382"/>
      <c r="C396" s="382"/>
      <c r="D396" s="382"/>
      <c r="E396" s="48" t="e">
        <f>E320</f>
        <v>#REF!</v>
      </c>
      <c r="F396" s="158">
        <f t="shared" si="142"/>
        <v>2243406.4350700001</v>
      </c>
      <c r="G396" s="48">
        <f>G17+G149+G203+G234+G246+G296+G320+G346+G222+G308+G358+G370</f>
        <v>397968.84916999994</v>
      </c>
      <c r="H396" s="48">
        <f>H17+H149+H203+H234+H246+H296+H320+H346+H222+H308+H358+H370</f>
        <v>452366.90026000002</v>
      </c>
      <c r="I396" s="330">
        <f>I17+I149+I203+I234+I246+I296+I320+I346+I308+I370+I358+I222</f>
        <v>476817.81564000004</v>
      </c>
      <c r="J396" s="330"/>
      <c r="K396" s="330"/>
      <c r="L396" s="330"/>
      <c r="M396" s="330"/>
      <c r="N396" s="48">
        <f>N17+N149+N203+N234+N246+N296+N320+N346+N312+N222+N308+N358+N370</f>
        <v>463826.65</v>
      </c>
      <c r="O396" s="48">
        <f>O17+O149+O203+O234+O246+O296+O320+O346+O312+O222+O308+O358+O370</f>
        <v>452426.22000000003</v>
      </c>
      <c r="P396" s="12"/>
      <c r="Q396" s="270">
        <f>I19</f>
        <v>4395408.4563100003</v>
      </c>
      <c r="R396" s="270">
        <f>I151</f>
        <v>63229.54</v>
      </c>
      <c r="T396" s="46"/>
      <c r="U396" s="46"/>
    </row>
    <row r="397" spans="1:21" ht="21" x14ac:dyDescent="0.35">
      <c r="A397" s="382" t="s">
        <v>1</v>
      </c>
      <c r="B397" s="382"/>
      <c r="C397" s="382"/>
      <c r="D397" s="382"/>
      <c r="E397" s="48" t="e">
        <f>E18+#REF!+E150+E321+#REF!</f>
        <v>#REF!</v>
      </c>
      <c r="F397" s="158">
        <f t="shared" si="142"/>
        <v>40661725.331220001</v>
      </c>
      <c r="G397" s="48">
        <f t="shared" ref="G397:H397" si="152">G18+G150+G204+G235+G247+G297+G321+G347+G223+G309+G359+G371</f>
        <v>7623266.1103000017</v>
      </c>
      <c r="H397" s="48">
        <f t="shared" si="152"/>
        <v>7789874.7873100005</v>
      </c>
      <c r="I397" s="330">
        <f t="shared" ref="I397:I398" si="153">I18+I150+I204+I235+I247+I297+I321+I347+I309+I371+I359+I223</f>
        <v>8421925.383609999</v>
      </c>
      <c r="J397" s="330"/>
      <c r="K397" s="330"/>
      <c r="L397" s="330"/>
      <c r="M397" s="330"/>
      <c r="N397" s="48">
        <f t="shared" ref="N397:O398" si="154">N18+N150+N204+N235+N247+N297+N321+N347+N313+N223+N309+N359+N371</f>
        <v>8410709.4100000001</v>
      </c>
      <c r="O397" s="48">
        <f t="shared" si="154"/>
        <v>8415949.6400000006</v>
      </c>
      <c r="P397" s="12"/>
      <c r="Q397" s="270">
        <f>I205</f>
        <v>7897.2744899999998</v>
      </c>
      <c r="R397" s="270">
        <f>I360</f>
        <v>2433.9563899999998</v>
      </c>
      <c r="T397" s="46"/>
      <c r="U397" s="46"/>
    </row>
    <row r="398" spans="1:21" ht="21" x14ac:dyDescent="0.35">
      <c r="A398" s="382" t="s">
        <v>48</v>
      </c>
      <c r="B398" s="382"/>
      <c r="C398" s="382"/>
      <c r="D398" s="382"/>
      <c r="E398" s="48" t="e">
        <f>E19+E151+E205+E322+#REF!</f>
        <v>#REF!</v>
      </c>
      <c r="F398" s="158">
        <f t="shared" si="142"/>
        <v>20954065.592580002</v>
      </c>
      <c r="G398" s="48">
        <f t="shared" ref="G398:H398" si="155">G19+G151+G205+G236+G248+G298+G322+G348+G224+G310+G360+G372</f>
        <v>3745756.7187200002</v>
      </c>
      <c r="H398" s="48">
        <f t="shared" si="155"/>
        <v>3740310.8382699997</v>
      </c>
      <c r="I398" s="330">
        <f t="shared" si="153"/>
        <v>4468969.22719</v>
      </c>
      <c r="J398" s="330"/>
      <c r="K398" s="330"/>
      <c r="L398" s="330"/>
      <c r="M398" s="330"/>
      <c r="N398" s="48">
        <f t="shared" si="154"/>
        <v>4499835.4692000011</v>
      </c>
      <c r="O398" s="48">
        <f t="shared" si="154"/>
        <v>4499193.3392000012</v>
      </c>
      <c r="P398" s="89"/>
      <c r="Q398" s="270">
        <f>I398</f>
        <v>4468969.22719</v>
      </c>
      <c r="T398" s="46"/>
      <c r="U398" s="46"/>
    </row>
    <row r="399" spans="1:21" ht="18.75" x14ac:dyDescent="0.3">
      <c r="A399" s="452" t="s">
        <v>59</v>
      </c>
      <c r="B399" s="452"/>
      <c r="C399" s="452"/>
      <c r="D399" s="452"/>
      <c r="E399" s="93">
        <f>E99</f>
        <v>0</v>
      </c>
      <c r="F399" s="158">
        <f t="shared" si="142"/>
        <v>2798298</v>
      </c>
      <c r="G399" s="93">
        <f>G20</f>
        <v>413035</v>
      </c>
      <c r="H399" s="93">
        <f>H20</f>
        <v>493052</v>
      </c>
      <c r="I399" s="362">
        <f>I20</f>
        <v>630737</v>
      </c>
      <c r="J399" s="362"/>
      <c r="K399" s="362"/>
      <c r="L399" s="362"/>
      <c r="M399" s="362"/>
      <c r="N399" s="93">
        <f>N20</f>
        <v>630737</v>
      </c>
      <c r="O399" s="93">
        <f>O20</f>
        <v>630737</v>
      </c>
      <c r="P399" s="6"/>
      <c r="T399" s="46"/>
      <c r="U399" s="46"/>
    </row>
    <row r="400" spans="1:21" ht="18.75" x14ac:dyDescent="0.3">
      <c r="A400" s="453" t="s">
        <v>87</v>
      </c>
      <c r="B400" s="453"/>
      <c r="C400" s="453"/>
      <c r="D400" s="453"/>
      <c r="E400" s="44"/>
      <c r="F400" s="158">
        <f t="shared" si="142"/>
        <v>3024045.8666199995</v>
      </c>
      <c r="G400" s="44">
        <f>G21+G152+G206+G237+G249+G299+G323+G349</f>
        <v>493131.75868000003</v>
      </c>
      <c r="H400" s="44">
        <f>H21+H152+H206+H237+H249+H299+H323+H349</f>
        <v>649647.32850000006</v>
      </c>
      <c r="I400" s="379">
        <f>I21+I152+I206+I237+I249+I299+I323+I349+I311</f>
        <v>627088.92647999991</v>
      </c>
      <c r="J400" s="379"/>
      <c r="K400" s="379"/>
      <c r="L400" s="379"/>
      <c r="M400" s="379"/>
      <c r="N400" s="44">
        <f>N21+N152+N206+N237+N249+N299+N323+N349</f>
        <v>627088.92647999991</v>
      </c>
      <c r="O400" s="44">
        <f>O21+O152+O206+O237+O249+O299+O323+O349</f>
        <v>627088.92647999991</v>
      </c>
      <c r="P400" s="6"/>
      <c r="T400" s="46"/>
      <c r="U400" s="46"/>
    </row>
    <row r="401" spans="1:21" ht="18.75" x14ac:dyDescent="0.3">
      <c r="A401" s="452" t="s">
        <v>88</v>
      </c>
      <c r="B401" s="452"/>
      <c r="C401" s="452"/>
      <c r="D401" s="452"/>
      <c r="E401" s="93">
        <f>E22</f>
        <v>262352.43170000002</v>
      </c>
      <c r="F401" s="158">
        <f t="shared" si="142"/>
        <v>2902166.7026199996</v>
      </c>
      <c r="G401" s="93">
        <f t="shared" ref="G401:I402" si="156">G22</f>
        <v>469940.35668000003</v>
      </c>
      <c r="H401" s="93">
        <f t="shared" si="156"/>
        <v>625121.01850000001</v>
      </c>
      <c r="I401" s="362">
        <f t="shared" si="156"/>
        <v>602368.44247999997</v>
      </c>
      <c r="J401" s="362"/>
      <c r="K401" s="362"/>
      <c r="L401" s="362"/>
      <c r="M401" s="362"/>
      <c r="N401" s="93">
        <f>N22</f>
        <v>602368.44247999997</v>
      </c>
      <c r="O401" s="93">
        <f>O22</f>
        <v>602368.44247999997</v>
      </c>
      <c r="P401" s="6"/>
      <c r="T401" s="46"/>
      <c r="U401" s="46"/>
    </row>
    <row r="402" spans="1:21" ht="18.75" x14ac:dyDescent="0.3">
      <c r="A402" s="452" t="s">
        <v>89</v>
      </c>
      <c r="B402" s="452"/>
      <c r="C402" s="452"/>
      <c r="D402" s="452"/>
      <c r="E402" s="93">
        <f>E23</f>
        <v>8751.5480000000007</v>
      </c>
      <c r="F402" s="158">
        <f t="shared" si="142"/>
        <v>121879.16399999999</v>
      </c>
      <c r="G402" s="93">
        <f t="shared" si="156"/>
        <v>23191.402000000002</v>
      </c>
      <c r="H402" s="93">
        <f t="shared" si="156"/>
        <v>24526.31</v>
      </c>
      <c r="I402" s="362">
        <f t="shared" si="156"/>
        <v>24720.484</v>
      </c>
      <c r="J402" s="362"/>
      <c r="K402" s="362"/>
      <c r="L402" s="362"/>
      <c r="M402" s="362"/>
      <c r="N402" s="93">
        <f>N23</f>
        <v>24720.484</v>
      </c>
      <c r="O402" s="93">
        <f>O23</f>
        <v>24720.484</v>
      </c>
      <c r="P402" s="6"/>
      <c r="T402" s="46"/>
      <c r="U402" s="46"/>
    </row>
    <row r="403" spans="1:21" ht="17.25" x14ac:dyDescent="0.25">
      <c r="A403" s="74"/>
      <c r="B403" s="74"/>
      <c r="C403" s="74"/>
      <c r="D403" s="228"/>
      <c r="E403" s="75"/>
      <c r="F403" s="159"/>
      <c r="G403" s="76"/>
      <c r="H403" s="76"/>
      <c r="I403" s="75"/>
      <c r="J403" s="75"/>
      <c r="K403" s="75"/>
      <c r="L403" s="75"/>
      <c r="M403" s="75"/>
      <c r="N403" s="77"/>
      <c r="O403" s="77"/>
      <c r="P403" s="78"/>
      <c r="T403" s="46"/>
      <c r="U403" s="46"/>
    </row>
    <row r="404" spans="1:21" ht="18.75" x14ac:dyDescent="0.3">
      <c r="B404" s="450" t="s">
        <v>19</v>
      </c>
      <c r="C404" s="451"/>
      <c r="D404" s="451"/>
      <c r="E404" s="80" t="e">
        <f>#REF!</f>
        <v>#REF!</v>
      </c>
      <c r="F404" s="160">
        <f>SUM(I404:O404)</f>
        <v>0</v>
      </c>
      <c r="G404" s="80">
        <v>0</v>
      </c>
      <c r="H404" s="80">
        <v>0</v>
      </c>
      <c r="I404" s="375">
        <v>0</v>
      </c>
      <c r="J404" s="376"/>
      <c r="K404" s="376"/>
      <c r="L404" s="376"/>
      <c r="M404" s="377"/>
      <c r="N404" s="80">
        <v>0</v>
      </c>
      <c r="O404" s="80">
        <v>0</v>
      </c>
      <c r="P404" s="81"/>
      <c r="T404" s="46"/>
      <c r="U404" s="46"/>
    </row>
    <row r="405" spans="1:21" ht="18.75" x14ac:dyDescent="0.3">
      <c r="B405" s="450" t="s">
        <v>21</v>
      </c>
      <c r="C405" s="451"/>
      <c r="D405" s="451"/>
      <c r="E405" s="80" t="e">
        <f>#REF!</f>
        <v>#REF!</v>
      </c>
      <c r="F405" s="160">
        <f>SUM(I405:O405)</f>
        <v>425618.27789999999</v>
      </c>
      <c r="G405" s="80">
        <f>150+19342+145735.24</f>
        <v>165227.24</v>
      </c>
      <c r="H405" s="80">
        <f>150+19342+145735.24</f>
        <v>165227.24</v>
      </c>
      <c r="I405" s="375">
        <v>95163.797900000005</v>
      </c>
      <c r="J405" s="376"/>
      <c r="K405" s="376"/>
      <c r="L405" s="376"/>
      <c r="M405" s="377"/>
      <c r="N405" s="80">
        <v>165227.24</v>
      </c>
      <c r="O405" s="80">
        <v>165227.24</v>
      </c>
      <c r="T405" s="46"/>
      <c r="U405" s="46"/>
    </row>
    <row r="406" spans="1:21" ht="18.75" x14ac:dyDescent="0.3">
      <c r="B406" s="448" t="s">
        <v>20</v>
      </c>
      <c r="C406" s="449"/>
      <c r="D406" s="449"/>
      <c r="E406" s="82" t="e">
        <f>SUM(E404:E405)</f>
        <v>#REF!</v>
      </c>
      <c r="F406" s="160">
        <f t="shared" ref="F406:O406" si="157">SUM(F404:F405)</f>
        <v>425618.27789999999</v>
      </c>
      <c r="G406" s="82">
        <f t="shared" ref="G406" si="158">SUM(G404:G405)</f>
        <v>165227.24</v>
      </c>
      <c r="H406" s="82">
        <f t="shared" si="157"/>
        <v>165227.24</v>
      </c>
      <c r="I406" s="372">
        <f t="shared" ref="I406" si="159">SUM(I404:I405)</f>
        <v>95163.797900000005</v>
      </c>
      <c r="J406" s="373"/>
      <c r="K406" s="373"/>
      <c r="L406" s="373"/>
      <c r="M406" s="374"/>
      <c r="N406" s="82">
        <f t="shared" si="157"/>
        <v>165227.24</v>
      </c>
      <c r="O406" s="82">
        <f t="shared" si="157"/>
        <v>165227.24</v>
      </c>
      <c r="T406" s="46"/>
      <c r="U406" s="46"/>
    </row>
    <row r="407" spans="1:21" ht="18.75" x14ac:dyDescent="0.3">
      <c r="B407" s="450" t="s">
        <v>61</v>
      </c>
      <c r="C407" s="451"/>
      <c r="D407" s="451"/>
      <c r="E407" s="80">
        <v>0</v>
      </c>
      <c r="F407" s="160">
        <f t="shared" ref="F407:F416" si="160">SUM(I407:O407)</f>
        <v>0</v>
      </c>
      <c r="G407" s="80">
        <v>0</v>
      </c>
      <c r="H407" s="80">
        <v>0</v>
      </c>
      <c r="I407" s="375">
        <v>0</v>
      </c>
      <c r="J407" s="376"/>
      <c r="K407" s="376"/>
      <c r="L407" s="376"/>
      <c r="M407" s="377"/>
      <c r="N407" s="80">
        <v>0</v>
      </c>
      <c r="O407" s="80">
        <v>0</v>
      </c>
      <c r="P407" s="83"/>
      <c r="T407" s="46"/>
      <c r="U407" s="46"/>
    </row>
    <row r="408" spans="1:21" ht="18.75" x14ac:dyDescent="0.3">
      <c r="B408" s="450" t="s">
        <v>62</v>
      </c>
      <c r="C408" s="451"/>
      <c r="D408" s="451"/>
      <c r="E408" s="80">
        <v>0</v>
      </c>
      <c r="F408" s="160">
        <f t="shared" si="160"/>
        <v>20700</v>
      </c>
      <c r="G408" s="80">
        <v>6900</v>
      </c>
      <c r="H408" s="80">
        <v>6900</v>
      </c>
      <c r="I408" s="375">
        <v>6900</v>
      </c>
      <c r="J408" s="376"/>
      <c r="K408" s="376"/>
      <c r="L408" s="376"/>
      <c r="M408" s="377"/>
      <c r="N408" s="80">
        <v>6900</v>
      </c>
      <c r="O408" s="80">
        <v>6900</v>
      </c>
      <c r="P408" s="83"/>
      <c r="T408" s="46"/>
      <c r="U408" s="46"/>
    </row>
    <row r="409" spans="1:21" ht="18.75" x14ac:dyDescent="0.3">
      <c r="B409" s="448" t="s">
        <v>63</v>
      </c>
      <c r="C409" s="449"/>
      <c r="D409" s="449"/>
      <c r="E409" s="82">
        <f>SUM(E407:E408)</f>
        <v>0</v>
      </c>
      <c r="F409" s="160">
        <f t="shared" si="160"/>
        <v>20700</v>
      </c>
      <c r="G409" s="82">
        <f>SUM(G407:G408)</f>
        <v>6900</v>
      </c>
      <c r="H409" s="82">
        <f>SUM(H407:H408)</f>
        <v>6900</v>
      </c>
      <c r="I409" s="372">
        <f>SUM(I407:I408)</f>
        <v>6900</v>
      </c>
      <c r="J409" s="373"/>
      <c r="K409" s="373"/>
      <c r="L409" s="373"/>
      <c r="M409" s="374"/>
      <c r="N409" s="82">
        <f>SUM(N407:N408)</f>
        <v>6900</v>
      </c>
      <c r="O409" s="82">
        <f>SUM(O407:O408)</f>
        <v>6900</v>
      </c>
      <c r="P409" s="83"/>
      <c r="T409" s="46"/>
      <c r="U409" s="46"/>
    </row>
    <row r="410" spans="1:21" ht="18.75" x14ac:dyDescent="0.3">
      <c r="B410" s="450" t="s">
        <v>43</v>
      </c>
      <c r="C410" s="451"/>
      <c r="D410" s="451"/>
      <c r="E410" s="80" t="e">
        <f>E396</f>
        <v>#REF!</v>
      </c>
      <c r="F410" s="160">
        <f t="shared" si="160"/>
        <v>1393070.68564</v>
      </c>
      <c r="G410" s="80">
        <f>G396</f>
        <v>397968.84916999994</v>
      </c>
      <c r="H410" s="80">
        <f>H396</f>
        <v>452366.90026000002</v>
      </c>
      <c r="I410" s="375">
        <f>I396</f>
        <v>476817.81564000004</v>
      </c>
      <c r="J410" s="376"/>
      <c r="K410" s="376"/>
      <c r="L410" s="376"/>
      <c r="M410" s="377"/>
      <c r="N410" s="80">
        <f>N396</f>
        <v>463826.65</v>
      </c>
      <c r="O410" s="80">
        <f>O396</f>
        <v>452426.22000000003</v>
      </c>
      <c r="T410" s="46"/>
      <c r="U410" s="46"/>
    </row>
    <row r="411" spans="1:21" ht="18.75" x14ac:dyDescent="0.3">
      <c r="B411" s="450" t="s">
        <v>23</v>
      </c>
      <c r="C411" s="451"/>
      <c r="D411" s="451"/>
      <c r="E411" s="80" t="e">
        <f>E397-E404-E408</f>
        <v>#REF!</v>
      </c>
      <c r="F411" s="160">
        <f t="shared" si="160"/>
        <v>25227884.43361</v>
      </c>
      <c r="G411" s="80">
        <f>G397-G404-G408</f>
        <v>7616366.1103000017</v>
      </c>
      <c r="H411" s="80">
        <f>H397-H404-H408</f>
        <v>7782974.7873100005</v>
      </c>
      <c r="I411" s="375">
        <f>I397-I404-I408</f>
        <v>8415025.383609999</v>
      </c>
      <c r="J411" s="376"/>
      <c r="K411" s="376"/>
      <c r="L411" s="376"/>
      <c r="M411" s="377"/>
      <c r="N411" s="80">
        <f>N397-N404-N408</f>
        <v>8403809.4100000001</v>
      </c>
      <c r="O411" s="80">
        <f>O397-O404-O408</f>
        <v>8409049.6400000006</v>
      </c>
      <c r="T411" s="46"/>
      <c r="U411" s="46"/>
    </row>
    <row r="412" spans="1:21" ht="18.75" x14ac:dyDescent="0.3">
      <c r="B412" s="450" t="s">
        <v>22</v>
      </c>
      <c r="C412" s="451"/>
      <c r="D412" s="451"/>
      <c r="E412" s="80" t="e">
        <f>E398-E405-E407</f>
        <v>#REF!</v>
      </c>
      <c r="F412" s="160">
        <f t="shared" si="160"/>
        <v>13042379.757690003</v>
      </c>
      <c r="G412" s="80">
        <f>G398-G405-G407</f>
        <v>3580529.47872</v>
      </c>
      <c r="H412" s="80">
        <f>H398-H405-H407</f>
        <v>3575083.59827</v>
      </c>
      <c r="I412" s="375">
        <f>I398-I405-I407</f>
        <v>4373805.4292900003</v>
      </c>
      <c r="J412" s="376"/>
      <c r="K412" s="376"/>
      <c r="L412" s="376"/>
      <c r="M412" s="377"/>
      <c r="N412" s="80">
        <f>N398-N405-N407</f>
        <v>4334608.2292000009</v>
      </c>
      <c r="O412" s="80">
        <f>O398-O405-O407</f>
        <v>4333966.099200001</v>
      </c>
      <c r="T412" s="46"/>
      <c r="U412" s="46"/>
    </row>
    <row r="413" spans="1:21" ht="18.75" x14ac:dyDescent="0.3">
      <c r="B413" s="450" t="s">
        <v>87</v>
      </c>
      <c r="C413" s="451"/>
      <c r="D413" s="454"/>
      <c r="E413" s="80"/>
      <c r="F413" s="160">
        <f t="shared" si="160"/>
        <v>1881266.7794400002</v>
      </c>
      <c r="G413" s="80">
        <f t="shared" ref="G413:H413" si="161">G414+G415</f>
        <v>493131.75868000003</v>
      </c>
      <c r="H413" s="80">
        <f t="shared" si="161"/>
        <v>649647.32850000006</v>
      </c>
      <c r="I413" s="375">
        <f>I414+I415</f>
        <v>627088.92648000002</v>
      </c>
      <c r="J413" s="376"/>
      <c r="K413" s="376"/>
      <c r="L413" s="376"/>
      <c r="M413" s="377"/>
      <c r="N413" s="80">
        <f t="shared" ref="N413:O413" si="162">N414+N415</f>
        <v>627088.92648000002</v>
      </c>
      <c r="O413" s="80">
        <f t="shared" si="162"/>
        <v>627088.92648000002</v>
      </c>
      <c r="T413" s="46"/>
      <c r="U413" s="46"/>
    </row>
    <row r="414" spans="1:21" ht="18.75" x14ac:dyDescent="0.3">
      <c r="B414" s="450" t="s">
        <v>88</v>
      </c>
      <c r="C414" s="451"/>
      <c r="D414" s="451"/>
      <c r="E414" s="80">
        <f>E401</f>
        <v>262352.43170000002</v>
      </c>
      <c r="F414" s="160">
        <f t="shared" si="160"/>
        <v>1807105.3274399999</v>
      </c>
      <c r="G414" s="80">
        <f t="shared" ref="G414:H415" si="163">G401</f>
        <v>469940.35668000003</v>
      </c>
      <c r="H414" s="80">
        <f t="shared" si="163"/>
        <v>625121.01850000001</v>
      </c>
      <c r="I414" s="375">
        <f>I401</f>
        <v>602368.44247999997</v>
      </c>
      <c r="J414" s="376"/>
      <c r="K414" s="376"/>
      <c r="L414" s="376"/>
      <c r="M414" s="377"/>
      <c r="N414" s="80">
        <f t="shared" ref="N414:O415" si="164">N401</f>
        <v>602368.44247999997</v>
      </c>
      <c r="O414" s="80">
        <f t="shared" si="164"/>
        <v>602368.44247999997</v>
      </c>
      <c r="T414" s="46"/>
      <c r="U414" s="46"/>
    </row>
    <row r="415" spans="1:21" ht="18.75" x14ac:dyDescent="0.3">
      <c r="B415" s="450" t="s">
        <v>89</v>
      </c>
      <c r="C415" s="451"/>
      <c r="D415" s="451"/>
      <c r="E415" s="80">
        <f>E402</f>
        <v>8751.5480000000007</v>
      </c>
      <c r="F415" s="160">
        <f t="shared" si="160"/>
        <v>74161.452000000005</v>
      </c>
      <c r="G415" s="80">
        <f t="shared" si="163"/>
        <v>23191.402000000002</v>
      </c>
      <c r="H415" s="80">
        <f t="shared" si="163"/>
        <v>24526.31</v>
      </c>
      <c r="I415" s="375">
        <f>I402</f>
        <v>24720.484</v>
      </c>
      <c r="J415" s="376"/>
      <c r="K415" s="376"/>
      <c r="L415" s="376"/>
      <c r="M415" s="377"/>
      <c r="N415" s="80">
        <f t="shared" si="164"/>
        <v>24720.484</v>
      </c>
      <c r="O415" s="80">
        <f t="shared" si="164"/>
        <v>24720.484</v>
      </c>
      <c r="T415" s="46"/>
      <c r="U415" s="46"/>
    </row>
    <row r="416" spans="1:21" ht="18.75" x14ac:dyDescent="0.3">
      <c r="B416" s="448" t="s">
        <v>24</v>
      </c>
      <c r="C416" s="449"/>
      <c r="D416" s="449"/>
      <c r="E416" s="82" t="e">
        <f t="shared" ref="E416" si="165">SUM(E410:E415)</f>
        <v>#REF!</v>
      </c>
      <c r="F416" s="160">
        <f t="shared" si="160"/>
        <v>41544601.656380005</v>
      </c>
      <c r="G416" s="82">
        <f t="shared" ref="G416:H416" si="166">G410+G411+G412+G413</f>
        <v>12087996.196870003</v>
      </c>
      <c r="H416" s="82">
        <f t="shared" si="166"/>
        <v>12460072.614340002</v>
      </c>
      <c r="I416" s="372">
        <f>I410+I411+I412+I413</f>
        <v>13892737.555020001</v>
      </c>
      <c r="J416" s="373"/>
      <c r="K416" s="373"/>
      <c r="L416" s="373"/>
      <c r="M416" s="374"/>
      <c r="N416" s="82">
        <f t="shared" ref="N416:O416" si="167">N410+N411+N412+N413</f>
        <v>13829333.215680001</v>
      </c>
      <c r="O416" s="82">
        <f t="shared" si="167"/>
        <v>13822530.885680003</v>
      </c>
      <c r="T416" s="46"/>
      <c r="U416" s="46"/>
    </row>
    <row r="417" spans="6:15" x14ac:dyDescent="0.3">
      <c r="F417" s="161"/>
    </row>
    <row r="418" spans="6:15" x14ac:dyDescent="0.3">
      <c r="F418" s="162"/>
      <c r="G418" s="81"/>
      <c r="H418" s="81"/>
      <c r="I418" s="81"/>
      <c r="J418" s="81"/>
      <c r="K418" s="81"/>
      <c r="L418" s="81"/>
      <c r="M418" s="81"/>
      <c r="N418" s="81"/>
      <c r="O418" s="81"/>
    </row>
    <row r="419" spans="6:15" x14ac:dyDescent="0.3">
      <c r="G419" s="85"/>
      <c r="H419" s="85"/>
      <c r="N419" s="87"/>
      <c r="O419" s="87"/>
    </row>
    <row r="420" spans="6:15" x14ac:dyDescent="0.3">
      <c r="G420" s="85"/>
      <c r="H420" s="85"/>
      <c r="I420" s="81"/>
      <c r="J420" s="81"/>
      <c r="K420" s="81"/>
      <c r="L420" s="81"/>
      <c r="M420" s="81"/>
    </row>
    <row r="421" spans="6:15" x14ac:dyDescent="0.3">
      <c r="G421" s="85"/>
      <c r="H421" s="85"/>
    </row>
    <row r="422" spans="6:15" x14ac:dyDescent="0.3">
      <c r="G422" s="86"/>
      <c r="H422" s="86"/>
      <c r="N422" s="86"/>
    </row>
    <row r="423" spans="6:15" x14ac:dyDescent="0.3">
      <c r="G423" s="86"/>
      <c r="H423" s="86"/>
    </row>
    <row r="425" spans="6:15" x14ac:dyDescent="0.3">
      <c r="G425" s="88"/>
      <c r="H425" s="88"/>
    </row>
    <row r="426" spans="6:15" x14ac:dyDescent="0.3">
      <c r="G426" s="88"/>
      <c r="H426" s="88"/>
    </row>
    <row r="427" spans="6:15" x14ac:dyDescent="0.3">
      <c r="G427" s="88"/>
      <c r="H427" s="88"/>
    </row>
  </sheetData>
  <autoFilter ref="A13:U402">
    <filterColumn colId="8" showButton="0"/>
    <filterColumn colId="9" showButton="0"/>
    <filterColumn colId="10" showButton="0"/>
    <filterColumn colId="11" showButton="0"/>
  </autoFilter>
  <mergeCells count="842">
    <mergeCell ref="I31:M31"/>
    <mergeCell ref="H11:O12"/>
    <mergeCell ref="F70:F71"/>
    <mergeCell ref="I26:M26"/>
    <mergeCell ref="J28:M28"/>
    <mergeCell ref="P77:P79"/>
    <mergeCell ref="A202:A206"/>
    <mergeCell ref="A188:A194"/>
    <mergeCell ref="A148:A152"/>
    <mergeCell ref="C103:C105"/>
    <mergeCell ref="A120:A126"/>
    <mergeCell ref="A127:A133"/>
    <mergeCell ref="A134:A140"/>
    <mergeCell ref="A113:A119"/>
    <mergeCell ref="A73:A79"/>
    <mergeCell ref="B73:B76"/>
    <mergeCell ref="C73:C76"/>
    <mergeCell ref="I73:M73"/>
    <mergeCell ref="B80:B85"/>
    <mergeCell ref="B103:B105"/>
    <mergeCell ref="C117:C119"/>
    <mergeCell ref="B110:B112"/>
    <mergeCell ref="I153:M153"/>
    <mergeCell ref="I160:M160"/>
    <mergeCell ref="I151:M151"/>
    <mergeCell ref="J164:M164"/>
    <mergeCell ref="I148:M148"/>
    <mergeCell ref="I32:M32"/>
    <mergeCell ref="I233:M233"/>
    <mergeCell ref="I226:M226"/>
    <mergeCell ref="I161:M161"/>
    <mergeCell ref="I164:I165"/>
    <mergeCell ref="F93:F94"/>
    <mergeCell ref="F218:F219"/>
    <mergeCell ref="I218:I219"/>
    <mergeCell ref="I223:M223"/>
    <mergeCell ref="I224:M224"/>
    <mergeCell ref="I216:M216"/>
    <mergeCell ref="I228:M228"/>
    <mergeCell ref="I229:M229"/>
    <mergeCell ref="I227:M227"/>
    <mergeCell ref="D199:D201"/>
    <mergeCell ref="F185:F186"/>
    <mergeCell ref="J218:M218"/>
    <mergeCell ref="I215:M215"/>
    <mergeCell ref="I163:M163"/>
    <mergeCell ref="A181:A187"/>
    <mergeCell ref="A141:A147"/>
    <mergeCell ref="C195:C198"/>
    <mergeCell ref="D110:D112"/>
    <mergeCell ref="A106:A112"/>
    <mergeCell ref="A167:A173"/>
    <mergeCell ref="D117:D119"/>
    <mergeCell ref="B117:B119"/>
    <mergeCell ref="C113:C116"/>
    <mergeCell ref="B157:B159"/>
    <mergeCell ref="B113:B116"/>
    <mergeCell ref="A153:A159"/>
    <mergeCell ref="A160:A166"/>
    <mergeCell ref="C167:C170"/>
    <mergeCell ref="C174:C177"/>
    <mergeCell ref="C185:C187"/>
    <mergeCell ref="D185:D187"/>
    <mergeCell ref="B148:B152"/>
    <mergeCell ref="B153:B156"/>
    <mergeCell ref="C164:C166"/>
    <mergeCell ref="B192:B194"/>
    <mergeCell ref="D145:D147"/>
    <mergeCell ref="A52:A58"/>
    <mergeCell ref="B96:B102"/>
    <mergeCell ref="I46:M46"/>
    <mergeCell ref="B49:B51"/>
    <mergeCell ref="B45:B48"/>
    <mergeCell ref="B89:B92"/>
    <mergeCell ref="B59:B62"/>
    <mergeCell ref="I62:M62"/>
    <mergeCell ref="F56:F57"/>
    <mergeCell ref="F49:F50"/>
    <mergeCell ref="C59:C62"/>
    <mergeCell ref="I97:M97"/>
    <mergeCell ref="I89:M89"/>
    <mergeCell ref="J93:M93"/>
    <mergeCell ref="I81:M81"/>
    <mergeCell ref="I60:M60"/>
    <mergeCell ref="I83:M83"/>
    <mergeCell ref="I82:M82"/>
    <mergeCell ref="D93:D95"/>
    <mergeCell ref="J157:M157"/>
    <mergeCell ref="F145:F146"/>
    <mergeCell ref="C96:C102"/>
    <mergeCell ref="A80:A88"/>
    <mergeCell ref="A66:A72"/>
    <mergeCell ref="F63:F64"/>
    <mergeCell ref="F124:F125"/>
    <mergeCell ref="C89:C92"/>
    <mergeCell ref="B70:B72"/>
    <mergeCell ref="I135:M135"/>
    <mergeCell ref="I136:M136"/>
    <mergeCell ref="C70:C72"/>
    <mergeCell ref="D70:D72"/>
    <mergeCell ref="F117:F118"/>
    <mergeCell ref="F103:F104"/>
    <mergeCell ref="I98:M98"/>
    <mergeCell ref="F77:F78"/>
    <mergeCell ref="I93:I94"/>
    <mergeCell ref="I92:M92"/>
    <mergeCell ref="I91:M91"/>
    <mergeCell ref="I96:M96"/>
    <mergeCell ref="I120:M120"/>
    <mergeCell ref="I116:M116"/>
    <mergeCell ref="J103:M103"/>
    <mergeCell ref="F86:F87"/>
    <mergeCell ref="I127:M127"/>
    <mergeCell ref="B106:B109"/>
    <mergeCell ref="C106:C109"/>
    <mergeCell ref="I103:I104"/>
    <mergeCell ref="I99:M99"/>
    <mergeCell ref="I178:I179"/>
    <mergeCell ref="I192:I193"/>
    <mergeCell ref="J192:M192"/>
    <mergeCell ref="I185:I186"/>
    <mergeCell ref="I217:M217"/>
    <mergeCell ref="I197:M197"/>
    <mergeCell ref="I198:M198"/>
    <mergeCell ref="I188:M188"/>
    <mergeCell ref="I195:M195"/>
    <mergeCell ref="I196:M196"/>
    <mergeCell ref="I211:I212"/>
    <mergeCell ref="F192:F193"/>
    <mergeCell ref="I189:M189"/>
    <mergeCell ref="I190:M190"/>
    <mergeCell ref="J185:M185"/>
    <mergeCell ref="F199:F200"/>
    <mergeCell ref="I202:M202"/>
    <mergeCell ref="I206:M206"/>
    <mergeCell ref="F211:F212"/>
    <mergeCell ref="B160:B163"/>
    <mergeCell ref="F242:F243"/>
    <mergeCell ref="D230:D232"/>
    <mergeCell ref="I236:M236"/>
    <mergeCell ref="C245:C249"/>
    <mergeCell ref="I247:M247"/>
    <mergeCell ref="I248:M248"/>
    <mergeCell ref="I240:M240"/>
    <mergeCell ref="I239:M239"/>
    <mergeCell ref="D242:D244"/>
    <mergeCell ref="I235:M235"/>
    <mergeCell ref="I234:M234"/>
    <mergeCell ref="I237:M237"/>
    <mergeCell ref="I242:I243"/>
    <mergeCell ref="I241:M241"/>
    <mergeCell ref="F230:F231"/>
    <mergeCell ref="I230:I231"/>
    <mergeCell ref="J230:M230"/>
    <mergeCell ref="I238:M238"/>
    <mergeCell ref="B416:D416"/>
    <mergeCell ref="A398:D398"/>
    <mergeCell ref="A397:D397"/>
    <mergeCell ref="B414:D414"/>
    <mergeCell ref="B415:D415"/>
    <mergeCell ref="B405:D405"/>
    <mergeCell ref="B404:D404"/>
    <mergeCell ref="B406:D406"/>
    <mergeCell ref="A402:D402"/>
    <mergeCell ref="A401:D401"/>
    <mergeCell ref="B412:D412"/>
    <mergeCell ref="B411:D411"/>
    <mergeCell ref="B407:D407"/>
    <mergeCell ref="B408:D408"/>
    <mergeCell ref="B409:D409"/>
    <mergeCell ref="A399:D399"/>
    <mergeCell ref="A400:D400"/>
    <mergeCell ref="B413:D413"/>
    <mergeCell ref="B410:D410"/>
    <mergeCell ref="B319:B323"/>
    <mergeCell ref="A304:A306"/>
    <mergeCell ref="A281:A287"/>
    <mergeCell ref="A307:A311"/>
    <mergeCell ref="A312:A318"/>
    <mergeCell ref="A300:A303"/>
    <mergeCell ref="B312:B315"/>
    <mergeCell ref="B307:B311"/>
    <mergeCell ref="D211:D213"/>
    <mergeCell ref="D218:D220"/>
    <mergeCell ref="A319:A323"/>
    <mergeCell ref="C242:C244"/>
    <mergeCell ref="C233:C237"/>
    <mergeCell ref="C238:C241"/>
    <mergeCell ref="B267:B270"/>
    <mergeCell ref="B274:B277"/>
    <mergeCell ref="B271:B273"/>
    <mergeCell ref="B278:B280"/>
    <mergeCell ref="B281:B284"/>
    <mergeCell ref="B295:B299"/>
    <mergeCell ref="A288:A294"/>
    <mergeCell ref="B292:B294"/>
    <mergeCell ref="B316:B318"/>
    <mergeCell ref="A295:A299"/>
    <mergeCell ref="C324:C327"/>
    <mergeCell ref="A345:A349"/>
    <mergeCell ref="B331:B334"/>
    <mergeCell ref="B328:B330"/>
    <mergeCell ref="B335:B337"/>
    <mergeCell ref="A331:A337"/>
    <mergeCell ref="B345:B349"/>
    <mergeCell ref="A324:A330"/>
    <mergeCell ref="C335:C337"/>
    <mergeCell ref="C338:C341"/>
    <mergeCell ref="C331:C334"/>
    <mergeCell ref="B342:B344"/>
    <mergeCell ref="B324:B327"/>
    <mergeCell ref="B338:B341"/>
    <mergeCell ref="A338:A344"/>
    <mergeCell ref="C342:C344"/>
    <mergeCell ref="C328:C330"/>
    <mergeCell ref="B288:B291"/>
    <mergeCell ref="B285:B287"/>
    <mergeCell ref="B300:B303"/>
    <mergeCell ref="B304:B306"/>
    <mergeCell ref="D192:D194"/>
    <mergeCell ref="C278:C280"/>
    <mergeCell ref="C285:C287"/>
    <mergeCell ref="C230:C232"/>
    <mergeCell ref="A195:A201"/>
    <mergeCell ref="A214:A217"/>
    <mergeCell ref="A218:A220"/>
    <mergeCell ref="B254:B256"/>
    <mergeCell ref="B250:B253"/>
    <mergeCell ref="A245:A249"/>
    <mergeCell ref="B218:B220"/>
    <mergeCell ref="B264:B266"/>
    <mergeCell ref="B226:B229"/>
    <mergeCell ref="B230:B232"/>
    <mergeCell ref="B260:B263"/>
    <mergeCell ref="A226:A232"/>
    <mergeCell ref="A267:A273"/>
    <mergeCell ref="A274:A280"/>
    <mergeCell ref="A250:A259"/>
    <mergeCell ref="B257:B259"/>
    <mergeCell ref="C221:C225"/>
    <mergeCell ref="C254:C256"/>
    <mergeCell ref="A207:A213"/>
    <mergeCell ref="A260:A266"/>
    <mergeCell ref="B238:B241"/>
    <mergeCell ref="B242:B244"/>
    <mergeCell ref="B233:B237"/>
    <mergeCell ref="B245:B249"/>
    <mergeCell ref="A238:A244"/>
    <mergeCell ref="B221:B225"/>
    <mergeCell ref="A221:A225"/>
    <mergeCell ref="A233:A237"/>
    <mergeCell ref="B214:B217"/>
    <mergeCell ref="C211:C213"/>
    <mergeCell ref="C214:C217"/>
    <mergeCell ref="B207:B210"/>
    <mergeCell ref="B211:B213"/>
    <mergeCell ref="C226:C229"/>
    <mergeCell ref="C250:C253"/>
    <mergeCell ref="C218:C220"/>
    <mergeCell ref="B164:B166"/>
    <mergeCell ref="B167:B170"/>
    <mergeCell ref="D178:D180"/>
    <mergeCell ref="C160:C163"/>
    <mergeCell ref="B56:B58"/>
    <mergeCell ref="C66:C69"/>
    <mergeCell ref="B93:B95"/>
    <mergeCell ref="C93:C95"/>
    <mergeCell ref="D103:D105"/>
    <mergeCell ref="D77:D79"/>
    <mergeCell ref="C157:C159"/>
    <mergeCell ref="B63:B65"/>
    <mergeCell ref="B120:B123"/>
    <mergeCell ref="C120:C123"/>
    <mergeCell ref="B138:B140"/>
    <mergeCell ref="C138:C140"/>
    <mergeCell ref="D138:D140"/>
    <mergeCell ref="B124:B126"/>
    <mergeCell ref="C80:C85"/>
    <mergeCell ref="C110:C112"/>
    <mergeCell ref="C178:C180"/>
    <mergeCell ref="B127:B130"/>
    <mergeCell ref="C127:C130"/>
    <mergeCell ref="D63:D65"/>
    <mergeCell ref="A31:A34"/>
    <mergeCell ref="B66:B69"/>
    <mergeCell ref="B31:B34"/>
    <mergeCell ref="C38:C41"/>
    <mergeCell ref="B42:B44"/>
    <mergeCell ref="D49:D51"/>
    <mergeCell ref="C63:C65"/>
    <mergeCell ref="B171:B173"/>
    <mergeCell ref="B174:B177"/>
    <mergeCell ref="A35:A37"/>
    <mergeCell ref="A45:A51"/>
    <mergeCell ref="B38:B41"/>
    <mergeCell ref="C52:C55"/>
    <mergeCell ref="A38:A44"/>
    <mergeCell ref="C45:C48"/>
    <mergeCell ref="C49:C51"/>
    <mergeCell ref="A59:A65"/>
    <mergeCell ref="A89:A95"/>
    <mergeCell ref="B52:B55"/>
    <mergeCell ref="A174:A180"/>
    <mergeCell ref="A96:A105"/>
    <mergeCell ref="C31:C34"/>
    <mergeCell ref="D157:D159"/>
    <mergeCell ref="C148:C152"/>
    <mergeCell ref="P31:P34"/>
    <mergeCell ref="D35:D37"/>
    <mergeCell ref="I35:I36"/>
    <mergeCell ref="J35:M35"/>
    <mergeCell ref="I33:M33"/>
    <mergeCell ref="I34:M34"/>
    <mergeCell ref="P145:P147"/>
    <mergeCell ref="P148:P152"/>
    <mergeCell ref="P124:P126"/>
    <mergeCell ref="I141:M141"/>
    <mergeCell ref="P141:P144"/>
    <mergeCell ref="I142:M142"/>
    <mergeCell ref="I143:M143"/>
    <mergeCell ref="P52:P55"/>
    <mergeCell ref="I67:M67"/>
    <mergeCell ref="I68:M68"/>
    <mergeCell ref="I69:M69"/>
    <mergeCell ref="I63:I64"/>
    <mergeCell ref="J63:M63"/>
    <mergeCell ref="I66:M66"/>
    <mergeCell ref="P59:P62"/>
    <mergeCell ref="I86:I87"/>
    <mergeCell ref="J86:M86"/>
    <mergeCell ref="P89:P92"/>
    <mergeCell ref="P35:P37"/>
    <mergeCell ref="P86:P88"/>
    <mergeCell ref="P80:P85"/>
    <mergeCell ref="I55:M55"/>
    <mergeCell ref="I54:M54"/>
    <mergeCell ref="P73:P76"/>
    <mergeCell ref="I74:M74"/>
    <mergeCell ref="I75:M75"/>
    <mergeCell ref="I76:M76"/>
    <mergeCell ref="I40:M40"/>
    <mergeCell ref="I38:M38"/>
    <mergeCell ref="I49:I50"/>
    <mergeCell ref="J49:M49"/>
    <mergeCell ref="I61:M61"/>
    <mergeCell ref="I77:I78"/>
    <mergeCell ref="J77:M77"/>
    <mergeCell ref="P38:P41"/>
    <mergeCell ref="I39:M39"/>
    <mergeCell ref="P70:P72"/>
    <mergeCell ref="I70:I71"/>
    <mergeCell ref="J70:M70"/>
    <mergeCell ref="I56:I57"/>
    <mergeCell ref="P66:P69"/>
    <mergeCell ref="I85:M85"/>
    <mergeCell ref="D11:D13"/>
    <mergeCell ref="B35:B37"/>
    <mergeCell ref="C35:C37"/>
    <mergeCell ref="F35:F36"/>
    <mergeCell ref="C171:C173"/>
    <mergeCell ref="D171:D173"/>
    <mergeCell ref="D164:D166"/>
    <mergeCell ref="B134:B137"/>
    <mergeCell ref="C134:C137"/>
    <mergeCell ref="F157:F158"/>
    <mergeCell ref="F164:F165"/>
    <mergeCell ref="C141:C144"/>
    <mergeCell ref="B145:B147"/>
    <mergeCell ref="C145:C147"/>
    <mergeCell ref="B77:B79"/>
    <mergeCell ref="C77:C79"/>
    <mergeCell ref="F110:F111"/>
    <mergeCell ref="C153:C156"/>
    <mergeCell ref="C124:C126"/>
    <mergeCell ref="D124:D126"/>
    <mergeCell ref="B141:B144"/>
    <mergeCell ref="B86:B88"/>
    <mergeCell ref="D86:D88"/>
    <mergeCell ref="C56:C58"/>
    <mergeCell ref="A16:A23"/>
    <mergeCell ref="B16:B23"/>
    <mergeCell ref="C16:C23"/>
    <mergeCell ref="A24:A30"/>
    <mergeCell ref="F28:F29"/>
    <mergeCell ref="I28:I29"/>
    <mergeCell ref="I25:M25"/>
    <mergeCell ref="I24:M24"/>
    <mergeCell ref="I27:M27"/>
    <mergeCell ref="C28:C30"/>
    <mergeCell ref="D28:D30"/>
    <mergeCell ref="B28:B30"/>
    <mergeCell ref="E6:M6"/>
    <mergeCell ref="C24:C27"/>
    <mergeCell ref="B24:B27"/>
    <mergeCell ref="P24:P27"/>
    <mergeCell ref="P11:P13"/>
    <mergeCell ref="B11:B13"/>
    <mergeCell ref="N6:P6"/>
    <mergeCell ref="B9:O9"/>
    <mergeCell ref="I18:M18"/>
    <mergeCell ref="E11:E13"/>
    <mergeCell ref="P16:P23"/>
    <mergeCell ref="I13:M13"/>
    <mergeCell ref="I21:M21"/>
    <mergeCell ref="I17:M17"/>
    <mergeCell ref="I16:M16"/>
    <mergeCell ref="I14:M14"/>
    <mergeCell ref="I23:M23"/>
    <mergeCell ref="I22:M22"/>
    <mergeCell ref="A15:P15"/>
    <mergeCell ref="C11:C13"/>
    <mergeCell ref="I20:M20"/>
    <mergeCell ref="I19:M19"/>
    <mergeCell ref="A11:A13"/>
    <mergeCell ref="F11:F13"/>
    <mergeCell ref="C42:C44"/>
    <mergeCell ref="D42:D44"/>
    <mergeCell ref="F42:F43"/>
    <mergeCell ref="I42:I43"/>
    <mergeCell ref="J42:M42"/>
    <mergeCell ref="P42:P44"/>
    <mergeCell ref="I48:M48"/>
    <mergeCell ref="I47:M47"/>
    <mergeCell ref="P45:P48"/>
    <mergeCell ref="P49:P51"/>
    <mergeCell ref="I100:M100"/>
    <mergeCell ref="I101:M101"/>
    <mergeCell ref="I102:M102"/>
    <mergeCell ref="P56:P58"/>
    <mergeCell ref="I59:M59"/>
    <mergeCell ref="I52:M52"/>
    <mergeCell ref="P93:P95"/>
    <mergeCell ref="P63:P65"/>
    <mergeCell ref="I53:M53"/>
    <mergeCell ref="J56:M56"/>
    <mergeCell ref="I80:M80"/>
    <mergeCell ref="P96:P102"/>
    <mergeCell ref="I90:M90"/>
    <mergeCell ref="I84:M84"/>
    <mergeCell ref="P307:P311"/>
    <mergeCell ref="J316:M316"/>
    <mergeCell ref="I307:M307"/>
    <mergeCell ref="P28:P30"/>
    <mergeCell ref="I45:M45"/>
    <mergeCell ref="I41:M41"/>
    <mergeCell ref="C86:C88"/>
    <mergeCell ref="D56:D58"/>
    <mergeCell ref="I325:M325"/>
    <mergeCell ref="I322:M322"/>
    <mergeCell ref="I323:M323"/>
    <mergeCell ref="I298:M298"/>
    <mergeCell ref="I299:M299"/>
    <mergeCell ref="C257:C259"/>
    <mergeCell ref="F271:F272"/>
    <mergeCell ref="C260:C263"/>
    <mergeCell ref="D285:D287"/>
    <mergeCell ref="C271:C273"/>
    <mergeCell ref="C274:C277"/>
    <mergeCell ref="C312:C315"/>
    <mergeCell ref="C267:C270"/>
    <mergeCell ref="F304:F305"/>
    <mergeCell ref="C264:C266"/>
    <mergeCell ref="C295:C299"/>
    <mergeCell ref="I335:I336"/>
    <mergeCell ref="I340:M340"/>
    <mergeCell ref="I339:M339"/>
    <mergeCell ref="I326:M326"/>
    <mergeCell ref="I328:I329"/>
    <mergeCell ref="I338:M338"/>
    <mergeCell ref="P257:P259"/>
    <mergeCell ref="P278:P280"/>
    <mergeCell ref="P274:P277"/>
    <mergeCell ref="P264:P266"/>
    <mergeCell ref="P267:P270"/>
    <mergeCell ref="I260:M260"/>
    <mergeCell ref="I257:I258"/>
    <mergeCell ref="J257:M257"/>
    <mergeCell ref="I275:M275"/>
    <mergeCell ref="I271:I272"/>
    <mergeCell ref="I264:I265"/>
    <mergeCell ref="J264:M264"/>
    <mergeCell ref="I276:M276"/>
    <mergeCell ref="I268:M268"/>
    <mergeCell ref="J278:M278"/>
    <mergeCell ref="I295:M295"/>
    <mergeCell ref="P295:P299"/>
    <mergeCell ref="I300:M300"/>
    <mergeCell ref="D257:D259"/>
    <mergeCell ref="D271:D273"/>
    <mergeCell ref="D278:D280"/>
    <mergeCell ref="C307:C311"/>
    <mergeCell ref="C281:C284"/>
    <mergeCell ref="C300:C303"/>
    <mergeCell ref="D304:D306"/>
    <mergeCell ref="F264:F265"/>
    <mergeCell ref="C304:C306"/>
    <mergeCell ref="F285:F286"/>
    <mergeCell ref="F257:F258"/>
    <mergeCell ref="F278:F279"/>
    <mergeCell ref="A381:A387"/>
    <mergeCell ref="B381:B384"/>
    <mergeCell ref="C381:C384"/>
    <mergeCell ref="I381:M381"/>
    <mergeCell ref="D342:D344"/>
    <mergeCell ref="F342:F343"/>
    <mergeCell ref="D254:D256"/>
    <mergeCell ref="D264:D266"/>
    <mergeCell ref="C292:C294"/>
    <mergeCell ref="D292:D294"/>
    <mergeCell ref="C316:C318"/>
    <mergeCell ref="D316:D318"/>
    <mergeCell ref="F335:F336"/>
    <mergeCell ref="D335:D337"/>
    <mergeCell ref="F328:F329"/>
    <mergeCell ref="C288:C291"/>
    <mergeCell ref="F254:F255"/>
    <mergeCell ref="F292:F293"/>
    <mergeCell ref="F316:F317"/>
    <mergeCell ref="I278:I279"/>
    <mergeCell ref="I358:M358"/>
    <mergeCell ref="I359:M359"/>
    <mergeCell ref="A357:A361"/>
    <mergeCell ref="C345:C349"/>
    <mergeCell ref="A395:D395"/>
    <mergeCell ref="A396:D396"/>
    <mergeCell ref="A350:A356"/>
    <mergeCell ref="B354:B356"/>
    <mergeCell ref="I350:M350"/>
    <mergeCell ref="I351:M351"/>
    <mergeCell ref="C350:C353"/>
    <mergeCell ref="C354:C356"/>
    <mergeCell ref="A369:A373"/>
    <mergeCell ref="B369:B373"/>
    <mergeCell ref="C369:C373"/>
    <mergeCell ref="I369:M369"/>
    <mergeCell ref="I374:M374"/>
    <mergeCell ref="B350:B353"/>
    <mergeCell ref="I378:I379"/>
    <mergeCell ref="J378:M378"/>
    <mergeCell ref="B374:B377"/>
    <mergeCell ref="C374:C377"/>
    <mergeCell ref="A374:A380"/>
    <mergeCell ref="B357:B361"/>
    <mergeCell ref="C357:C361"/>
    <mergeCell ref="I357:M357"/>
    <mergeCell ref="I371:M371"/>
    <mergeCell ref="I372:M372"/>
    <mergeCell ref="I416:M416"/>
    <mergeCell ref="I415:M415"/>
    <mergeCell ref="I414:M414"/>
    <mergeCell ref="I413:M413"/>
    <mergeCell ref="I412:M412"/>
    <mergeCell ref="I411:M411"/>
    <mergeCell ref="I410:M410"/>
    <mergeCell ref="I409:M409"/>
    <mergeCell ref="I395:M395"/>
    <mergeCell ref="I396:M396"/>
    <mergeCell ref="I397:M397"/>
    <mergeCell ref="I398:M398"/>
    <mergeCell ref="I399:M399"/>
    <mergeCell ref="I400:M400"/>
    <mergeCell ref="I401:M401"/>
    <mergeCell ref="I402:M402"/>
    <mergeCell ref="I408:M408"/>
    <mergeCell ref="I405:M405"/>
    <mergeCell ref="I404:M404"/>
    <mergeCell ref="I407:M407"/>
    <mergeCell ref="I406:M406"/>
    <mergeCell ref="P110:P112"/>
    <mergeCell ref="P106:P109"/>
    <mergeCell ref="I113:M113"/>
    <mergeCell ref="I115:M115"/>
    <mergeCell ref="I114:M114"/>
    <mergeCell ref="P117:P119"/>
    <mergeCell ref="P103:P105"/>
    <mergeCell ref="I109:M109"/>
    <mergeCell ref="I108:M108"/>
    <mergeCell ref="I110:I111"/>
    <mergeCell ref="P113:P116"/>
    <mergeCell ref="I117:I118"/>
    <mergeCell ref="J117:M117"/>
    <mergeCell ref="J110:M110"/>
    <mergeCell ref="I107:M107"/>
    <mergeCell ref="I106:M106"/>
    <mergeCell ref="P185:P187"/>
    <mergeCell ref="I199:I200"/>
    <mergeCell ref="P160:P163"/>
    <mergeCell ref="I167:M167"/>
    <mergeCell ref="I174:M174"/>
    <mergeCell ref="I171:I172"/>
    <mergeCell ref="J171:M171"/>
    <mergeCell ref="P164:P166"/>
    <mergeCell ref="P192:P194"/>
    <mergeCell ref="P181:P184"/>
    <mergeCell ref="P174:P177"/>
    <mergeCell ref="P195:P198"/>
    <mergeCell ref="P188:P191"/>
    <mergeCell ref="P199:P201"/>
    <mergeCell ref="I191:M191"/>
    <mergeCell ref="J199:M199"/>
    <mergeCell ref="I183:M183"/>
    <mergeCell ref="I182:M182"/>
    <mergeCell ref="I181:M181"/>
    <mergeCell ref="I162:M162"/>
    <mergeCell ref="P167:P170"/>
    <mergeCell ref="J178:M178"/>
    <mergeCell ref="I184:M184"/>
    <mergeCell ref="I169:M169"/>
    <mergeCell ref="B185:B187"/>
    <mergeCell ref="B178:B180"/>
    <mergeCell ref="B195:B198"/>
    <mergeCell ref="B199:B201"/>
    <mergeCell ref="B181:B184"/>
    <mergeCell ref="B188:B191"/>
    <mergeCell ref="C192:C194"/>
    <mergeCell ref="C202:C206"/>
    <mergeCell ref="B202:B206"/>
    <mergeCell ref="C188:C191"/>
    <mergeCell ref="C181:C184"/>
    <mergeCell ref="P120:P123"/>
    <mergeCell ref="I145:I146"/>
    <mergeCell ref="P134:P137"/>
    <mergeCell ref="P138:P140"/>
    <mergeCell ref="I175:M175"/>
    <mergeCell ref="I176:M176"/>
    <mergeCell ref="I156:M156"/>
    <mergeCell ref="I152:M152"/>
    <mergeCell ref="I149:M149"/>
    <mergeCell ref="P153:P156"/>
    <mergeCell ref="P157:P159"/>
    <mergeCell ref="P171:P173"/>
    <mergeCell ref="I170:M170"/>
    <mergeCell ref="I157:I158"/>
    <mergeCell ref="I154:M154"/>
    <mergeCell ref="I144:M144"/>
    <mergeCell ref="I134:M134"/>
    <mergeCell ref="J145:M145"/>
    <mergeCell ref="I121:M121"/>
    <mergeCell ref="I122:M122"/>
    <mergeCell ref="I123:M123"/>
    <mergeCell ref="I124:I125"/>
    <mergeCell ref="J124:M124"/>
    <mergeCell ref="I137:M137"/>
    <mergeCell ref="J271:M271"/>
    <mergeCell ref="P127:P130"/>
    <mergeCell ref="I128:M128"/>
    <mergeCell ref="I129:M129"/>
    <mergeCell ref="I130:M130"/>
    <mergeCell ref="B131:B133"/>
    <mergeCell ref="C131:C133"/>
    <mergeCell ref="D131:D133"/>
    <mergeCell ref="F131:F132"/>
    <mergeCell ref="I131:I132"/>
    <mergeCell ref="J131:M131"/>
    <mergeCell ref="P131:P133"/>
    <mergeCell ref="F138:F139"/>
    <mergeCell ref="I138:I139"/>
    <mergeCell ref="J138:M138"/>
    <mergeCell ref="I168:M168"/>
    <mergeCell ref="I150:M150"/>
    <mergeCell ref="I155:M155"/>
    <mergeCell ref="P178:P180"/>
    <mergeCell ref="F178:F179"/>
    <mergeCell ref="F171:F172"/>
    <mergeCell ref="I177:M177"/>
    <mergeCell ref="C199:C201"/>
    <mergeCell ref="C207:C210"/>
    <mergeCell ref="I261:M261"/>
    <mergeCell ref="I267:M267"/>
    <mergeCell ref="I250:M250"/>
    <mergeCell ref="I269:M269"/>
    <mergeCell ref="P245:P249"/>
    <mergeCell ref="I263:M263"/>
    <mergeCell ref="I253:M253"/>
    <mergeCell ref="I252:M252"/>
    <mergeCell ref="I249:M249"/>
    <mergeCell ref="I245:M245"/>
    <mergeCell ref="I246:M246"/>
    <mergeCell ref="I251:M251"/>
    <mergeCell ref="I254:I255"/>
    <mergeCell ref="J254:M254"/>
    <mergeCell ref="I262:M262"/>
    <mergeCell ref="P254:P256"/>
    <mergeCell ref="A362:A368"/>
    <mergeCell ref="B362:B365"/>
    <mergeCell ref="C362:C365"/>
    <mergeCell ref="I362:M362"/>
    <mergeCell ref="P362:P365"/>
    <mergeCell ref="I363:M363"/>
    <mergeCell ref="I364:M364"/>
    <mergeCell ref="J304:M304"/>
    <mergeCell ref="I296:M296"/>
    <mergeCell ref="I314:M314"/>
    <mergeCell ref="I303:M303"/>
    <mergeCell ref="I301:M301"/>
    <mergeCell ref="J342:M342"/>
    <mergeCell ref="I332:M332"/>
    <mergeCell ref="I333:M333"/>
    <mergeCell ref="I334:M334"/>
    <mergeCell ref="I360:M360"/>
    <mergeCell ref="I361:M361"/>
    <mergeCell ref="P324:P327"/>
    <mergeCell ref="P316:P318"/>
    <mergeCell ref="I321:M321"/>
    <mergeCell ref="I320:M320"/>
    <mergeCell ref="D328:D330"/>
    <mergeCell ref="C319:C323"/>
    <mergeCell ref="A388:A394"/>
    <mergeCell ref="B388:B391"/>
    <mergeCell ref="C388:C391"/>
    <mergeCell ref="I388:M388"/>
    <mergeCell ref="P388:P391"/>
    <mergeCell ref="I389:M389"/>
    <mergeCell ref="I390:M390"/>
    <mergeCell ref="I391:M391"/>
    <mergeCell ref="B392:B394"/>
    <mergeCell ref="C392:C394"/>
    <mergeCell ref="D392:D394"/>
    <mergeCell ref="F392:F393"/>
    <mergeCell ref="I392:I393"/>
    <mergeCell ref="J392:M392"/>
    <mergeCell ref="P392:P394"/>
    <mergeCell ref="P226:P229"/>
    <mergeCell ref="I225:M225"/>
    <mergeCell ref="P218:P220"/>
    <mergeCell ref="P211:P213"/>
    <mergeCell ref="P233:P237"/>
    <mergeCell ref="J242:M242"/>
    <mergeCell ref="I204:M204"/>
    <mergeCell ref="P207:P210"/>
    <mergeCell ref="I210:M210"/>
    <mergeCell ref="I221:M221"/>
    <mergeCell ref="I214:M214"/>
    <mergeCell ref="P214:P217"/>
    <mergeCell ref="I205:M205"/>
    <mergeCell ref="P202:P206"/>
    <mergeCell ref="P242:P244"/>
    <mergeCell ref="P238:P241"/>
    <mergeCell ref="J211:M211"/>
    <mergeCell ref="I209:M209"/>
    <mergeCell ref="I208:M208"/>
    <mergeCell ref="I207:M207"/>
    <mergeCell ref="I203:M203"/>
    <mergeCell ref="P221:P225"/>
    <mergeCell ref="P230:P232"/>
    <mergeCell ref="I222:M222"/>
    <mergeCell ref="P281:P284"/>
    <mergeCell ref="P250:P253"/>
    <mergeCell ref="P304:P306"/>
    <mergeCell ref="P300:P303"/>
    <mergeCell ref="P271:P273"/>
    <mergeCell ref="P260:P263"/>
    <mergeCell ref="I290:M290"/>
    <mergeCell ref="I291:M291"/>
    <mergeCell ref="P285:P287"/>
    <mergeCell ref="P288:P291"/>
    <mergeCell ref="I292:I293"/>
    <mergeCell ref="I289:M289"/>
    <mergeCell ref="I281:M281"/>
    <mergeCell ref="I304:I305"/>
    <mergeCell ref="I302:M302"/>
    <mergeCell ref="I297:M297"/>
    <mergeCell ref="J292:M292"/>
    <mergeCell ref="I270:M270"/>
    <mergeCell ref="I277:M277"/>
    <mergeCell ref="I285:I286"/>
    <mergeCell ref="I284:M284"/>
    <mergeCell ref="I283:M283"/>
    <mergeCell ref="I274:M274"/>
    <mergeCell ref="I282:M282"/>
    <mergeCell ref="B366:B368"/>
    <mergeCell ref="C366:C368"/>
    <mergeCell ref="D366:D368"/>
    <mergeCell ref="F366:F367"/>
    <mergeCell ref="I366:I367"/>
    <mergeCell ref="J366:M366"/>
    <mergeCell ref="P366:P368"/>
    <mergeCell ref="P292:P294"/>
    <mergeCell ref="I315:M315"/>
    <mergeCell ref="P338:P341"/>
    <mergeCell ref="I324:M324"/>
    <mergeCell ref="P354:P356"/>
    <mergeCell ref="P345:P349"/>
    <mergeCell ref="I348:M348"/>
    <mergeCell ref="F354:F355"/>
    <mergeCell ref="I345:M345"/>
    <mergeCell ref="I346:M346"/>
    <mergeCell ref="I347:M347"/>
    <mergeCell ref="D354:D356"/>
    <mergeCell ref="P350:P353"/>
    <mergeCell ref="I354:I355"/>
    <mergeCell ref="J354:M354"/>
    <mergeCell ref="I353:M353"/>
    <mergeCell ref="I352:M352"/>
    <mergeCell ref="P312:P315"/>
    <mergeCell ref="I312:M312"/>
    <mergeCell ref="I311:M311"/>
    <mergeCell ref="I310:M310"/>
    <mergeCell ref="I309:M309"/>
    <mergeCell ref="P369:P373"/>
    <mergeCell ref="I370:M370"/>
    <mergeCell ref="I373:M373"/>
    <mergeCell ref="P319:P323"/>
    <mergeCell ref="I313:M313"/>
    <mergeCell ref="I316:I317"/>
    <mergeCell ref="I319:M319"/>
    <mergeCell ref="I365:M365"/>
    <mergeCell ref="I349:M349"/>
    <mergeCell ref="I342:I343"/>
    <mergeCell ref="J335:M335"/>
    <mergeCell ref="I341:M341"/>
    <mergeCell ref="J328:M328"/>
    <mergeCell ref="P335:P337"/>
    <mergeCell ref="P328:P330"/>
    <mergeCell ref="I327:M327"/>
    <mergeCell ref="P342:P344"/>
    <mergeCell ref="I331:M331"/>
    <mergeCell ref="P331:P334"/>
    <mergeCell ref="J285:M285"/>
    <mergeCell ref="B385:B387"/>
    <mergeCell ref="C385:C387"/>
    <mergeCell ref="D385:D387"/>
    <mergeCell ref="F385:F386"/>
    <mergeCell ref="I385:I386"/>
    <mergeCell ref="J385:M385"/>
    <mergeCell ref="P385:P387"/>
    <mergeCell ref="B378:B380"/>
    <mergeCell ref="C378:C380"/>
    <mergeCell ref="D378:D380"/>
    <mergeCell ref="F378:F379"/>
    <mergeCell ref="P378:P380"/>
    <mergeCell ref="P381:P384"/>
    <mergeCell ref="I382:M382"/>
    <mergeCell ref="I383:M383"/>
    <mergeCell ref="I384:M384"/>
    <mergeCell ref="I288:M288"/>
    <mergeCell ref="P374:P377"/>
    <mergeCell ref="I375:M375"/>
    <mergeCell ref="I376:M376"/>
    <mergeCell ref="I377:M377"/>
    <mergeCell ref="P357:P361"/>
    <mergeCell ref="I308:M308"/>
  </mergeCells>
  <phoneticPr fontId="34" type="noConversion"/>
  <pageMargins left="0.59055118110236227" right="0.19685039370078741" top="0.59055118110236227" bottom="0.39370078740157483" header="0.39370078740157483" footer="0"/>
  <pageSetup paperSize="9" scale="45" fitToHeight="0" orientation="landscape" useFirstPageNumber="1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AE116"/>
  <sheetViews>
    <sheetView view="pageBreakPreview" zoomScale="50" zoomScaleNormal="80" zoomScaleSheetLayoutView="50" workbookViewId="0">
      <pane ySplit="4" topLeftCell="A5" activePane="bottomLeft" state="frozen"/>
      <selection pane="bottomLeft" activeCell="A99" sqref="A99:XFD99"/>
    </sheetView>
  </sheetViews>
  <sheetFormatPr defaultColWidth="9.140625" defaultRowHeight="15" x14ac:dyDescent="0.25"/>
  <cols>
    <col min="1" max="1" width="8.28515625" style="1" customWidth="1"/>
    <col min="2" max="2" width="86.42578125" style="1" customWidth="1"/>
    <col min="3" max="3" width="18.42578125" style="14" customWidth="1"/>
    <col min="4" max="4" width="31.140625" style="1" customWidth="1"/>
    <col min="5" max="5" width="20.7109375" style="1" hidden="1" customWidth="1"/>
    <col min="6" max="6" width="21.7109375" style="172" customWidth="1"/>
    <col min="7" max="7" width="19.140625" style="40" customWidth="1"/>
    <col min="8" max="8" width="18.7109375" style="40" customWidth="1"/>
    <col min="9" max="13" width="8.42578125" style="1" customWidth="1"/>
    <col min="14" max="15" width="19.140625" style="1" customWidth="1"/>
    <col min="16" max="16" width="25.85546875" style="1" customWidth="1"/>
    <col min="17" max="17" width="25.42578125" style="110" customWidth="1"/>
    <col min="18" max="19" width="23.140625" style="110" customWidth="1"/>
    <col min="20" max="20" width="20" style="1" customWidth="1"/>
    <col min="21" max="21" width="23.42578125" style="9" customWidth="1"/>
    <col min="22" max="22" width="9.140625" style="9" customWidth="1"/>
    <col min="23" max="23" width="12.42578125" style="9" customWidth="1"/>
    <col min="24" max="31" width="9.140625" style="9"/>
    <col min="32" max="16384" width="9.140625" style="1"/>
  </cols>
  <sheetData>
    <row r="1" spans="1:19" ht="15.75" customHeight="1" x14ac:dyDescent="0.25">
      <c r="A1" s="494" t="s">
        <v>0</v>
      </c>
      <c r="B1" s="496" t="s">
        <v>138</v>
      </c>
      <c r="C1" s="496" t="s">
        <v>53</v>
      </c>
      <c r="D1" s="496" t="s">
        <v>6</v>
      </c>
      <c r="E1" s="496" t="s">
        <v>44</v>
      </c>
      <c r="F1" s="498" t="s">
        <v>7</v>
      </c>
      <c r="G1" s="496" t="s">
        <v>15</v>
      </c>
      <c r="H1" s="496"/>
      <c r="I1" s="496"/>
      <c r="J1" s="496"/>
      <c r="K1" s="496"/>
      <c r="L1" s="496"/>
      <c r="M1" s="496"/>
      <c r="N1" s="496"/>
      <c r="O1" s="496"/>
      <c r="P1" s="398" t="s">
        <v>249</v>
      </c>
      <c r="Q1" s="30"/>
      <c r="R1" s="30"/>
      <c r="S1" s="30"/>
    </row>
    <row r="2" spans="1:19" ht="20.100000000000001" customHeight="1" x14ac:dyDescent="0.25">
      <c r="A2" s="495"/>
      <c r="B2" s="496"/>
      <c r="C2" s="496"/>
      <c r="D2" s="497"/>
      <c r="E2" s="496"/>
      <c r="F2" s="498"/>
      <c r="G2" s="496"/>
      <c r="H2" s="496"/>
      <c r="I2" s="496"/>
      <c r="J2" s="496"/>
      <c r="K2" s="496"/>
      <c r="L2" s="496"/>
      <c r="M2" s="496"/>
      <c r="N2" s="496"/>
      <c r="O2" s="496"/>
      <c r="P2" s="398"/>
      <c r="Q2" s="30"/>
      <c r="R2" s="30"/>
      <c r="S2" s="30"/>
    </row>
    <row r="3" spans="1:19" ht="39" customHeight="1" x14ac:dyDescent="0.25">
      <c r="A3" s="495"/>
      <c r="B3" s="496"/>
      <c r="C3" s="497"/>
      <c r="D3" s="497"/>
      <c r="E3" s="496"/>
      <c r="F3" s="498"/>
      <c r="G3" s="126" t="s">
        <v>45</v>
      </c>
      <c r="H3" s="245" t="s">
        <v>46</v>
      </c>
      <c r="I3" s="493" t="s">
        <v>82</v>
      </c>
      <c r="J3" s="493"/>
      <c r="K3" s="493"/>
      <c r="L3" s="493"/>
      <c r="M3" s="493"/>
      <c r="N3" s="126" t="s">
        <v>83</v>
      </c>
      <c r="O3" s="126" t="s">
        <v>84</v>
      </c>
      <c r="P3" s="398"/>
      <c r="Q3" s="30"/>
      <c r="R3" s="30"/>
      <c r="S3" s="30"/>
    </row>
    <row r="4" spans="1:19" ht="21" customHeight="1" x14ac:dyDescent="0.25">
      <c r="A4" s="123">
        <v>1</v>
      </c>
      <c r="B4" s="123">
        <v>2</v>
      </c>
      <c r="C4" s="123" t="s">
        <v>8</v>
      </c>
      <c r="D4" s="123" t="s">
        <v>37</v>
      </c>
      <c r="E4" s="123" t="s">
        <v>9</v>
      </c>
      <c r="F4" s="155" t="s">
        <v>9</v>
      </c>
      <c r="G4" s="123" t="s">
        <v>35</v>
      </c>
      <c r="H4" s="233" t="s">
        <v>36</v>
      </c>
      <c r="I4" s="422" t="s">
        <v>10</v>
      </c>
      <c r="J4" s="422"/>
      <c r="K4" s="422"/>
      <c r="L4" s="422"/>
      <c r="M4" s="422"/>
      <c r="N4" s="123" t="s">
        <v>11</v>
      </c>
      <c r="O4" s="123" t="s">
        <v>12</v>
      </c>
      <c r="P4" s="123" t="s">
        <v>14</v>
      </c>
      <c r="Q4" s="29"/>
      <c r="R4" s="29"/>
      <c r="S4" s="29"/>
    </row>
    <row r="5" spans="1:19" ht="33" customHeight="1" x14ac:dyDescent="0.25">
      <c r="A5" s="499" t="s">
        <v>143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30"/>
      <c r="R5" s="30"/>
      <c r="S5" s="30"/>
    </row>
    <row r="6" spans="1:19" s="9" customFormat="1" ht="18.75" customHeight="1" x14ac:dyDescent="0.25">
      <c r="A6" s="406" t="s">
        <v>13</v>
      </c>
      <c r="B6" s="360" t="s">
        <v>108</v>
      </c>
      <c r="C6" s="360" t="s">
        <v>86</v>
      </c>
      <c r="D6" s="141" t="s">
        <v>2</v>
      </c>
      <c r="E6" s="142">
        <f>E9</f>
        <v>1000</v>
      </c>
      <c r="F6" s="156">
        <f t="shared" ref="F6:F14" si="0">SUM(G6:O6)</f>
        <v>5180</v>
      </c>
      <c r="G6" s="142">
        <f>G9</f>
        <v>1180</v>
      </c>
      <c r="H6" s="237">
        <f>H9</f>
        <v>1000</v>
      </c>
      <c r="I6" s="474">
        <f>I9</f>
        <v>1000</v>
      </c>
      <c r="J6" s="474"/>
      <c r="K6" s="474"/>
      <c r="L6" s="474"/>
      <c r="M6" s="474"/>
      <c r="N6" s="142">
        <f>N9</f>
        <v>1000</v>
      </c>
      <c r="O6" s="142">
        <f>O9</f>
        <v>1000</v>
      </c>
      <c r="P6" s="333"/>
      <c r="Q6" s="94"/>
      <c r="R6" s="94"/>
      <c r="S6" s="94"/>
    </row>
    <row r="7" spans="1:19" s="9" customFormat="1" ht="38.25" customHeight="1" x14ac:dyDescent="0.25">
      <c r="A7" s="406"/>
      <c r="B7" s="360"/>
      <c r="C7" s="360"/>
      <c r="D7" s="141" t="s">
        <v>40</v>
      </c>
      <c r="E7" s="142"/>
      <c r="F7" s="156">
        <f t="shared" si="0"/>
        <v>0</v>
      </c>
      <c r="G7" s="143">
        <f t="shared" ref="G7:H7" si="1">G11</f>
        <v>0</v>
      </c>
      <c r="H7" s="236">
        <f t="shared" si="1"/>
        <v>0</v>
      </c>
      <c r="I7" s="473">
        <f>I11</f>
        <v>0</v>
      </c>
      <c r="J7" s="473"/>
      <c r="K7" s="473"/>
      <c r="L7" s="473"/>
      <c r="M7" s="473"/>
      <c r="N7" s="143">
        <f t="shared" ref="N7:O7" si="2">N11</f>
        <v>0</v>
      </c>
      <c r="O7" s="143">
        <f t="shared" si="2"/>
        <v>0</v>
      </c>
      <c r="P7" s="333"/>
      <c r="Q7" s="94"/>
      <c r="R7" s="94"/>
      <c r="S7" s="94"/>
    </row>
    <row r="8" spans="1:19" s="9" customFormat="1" ht="37.5" x14ac:dyDescent="0.25">
      <c r="A8" s="406"/>
      <c r="B8" s="360"/>
      <c r="C8" s="360"/>
      <c r="D8" s="141" t="s">
        <v>1</v>
      </c>
      <c r="E8" s="142"/>
      <c r="F8" s="156">
        <f t="shared" si="0"/>
        <v>0</v>
      </c>
      <c r="G8" s="143">
        <f t="shared" ref="G8:H8" si="3">G12</f>
        <v>0</v>
      </c>
      <c r="H8" s="236">
        <f t="shared" si="3"/>
        <v>0</v>
      </c>
      <c r="I8" s="473">
        <f>I12</f>
        <v>0</v>
      </c>
      <c r="J8" s="473"/>
      <c r="K8" s="473"/>
      <c r="L8" s="473"/>
      <c r="M8" s="473"/>
      <c r="N8" s="143">
        <f t="shared" ref="N8:O8" si="4">N12</f>
        <v>0</v>
      </c>
      <c r="O8" s="143">
        <f t="shared" si="4"/>
        <v>0</v>
      </c>
      <c r="P8" s="333"/>
      <c r="Q8" s="94"/>
      <c r="R8" s="94"/>
      <c r="S8" s="94"/>
    </row>
    <row r="9" spans="1:19" s="9" customFormat="1" ht="58.5" customHeight="1" x14ac:dyDescent="0.25">
      <c r="A9" s="406"/>
      <c r="B9" s="360"/>
      <c r="C9" s="360"/>
      <c r="D9" s="141" t="s">
        <v>48</v>
      </c>
      <c r="E9" s="143">
        <f>E13</f>
        <v>1000</v>
      </c>
      <c r="F9" s="156">
        <f t="shared" si="0"/>
        <v>5180</v>
      </c>
      <c r="G9" s="143">
        <f t="shared" ref="G9:H9" si="5">G13</f>
        <v>1180</v>
      </c>
      <c r="H9" s="236">
        <f t="shared" si="5"/>
        <v>1000</v>
      </c>
      <c r="I9" s="473">
        <f>I13</f>
        <v>1000</v>
      </c>
      <c r="J9" s="473"/>
      <c r="K9" s="473"/>
      <c r="L9" s="473"/>
      <c r="M9" s="473"/>
      <c r="N9" s="143">
        <f t="shared" ref="N9:O9" si="6">N13</f>
        <v>1000</v>
      </c>
      <c r="O9" s="143">
        <f t="shared" si="6"/>
        <v>1000</v>
      </c>
      <c r="P9" s="333"/>
      <c r="Q9" s="94"/>
      <c r="R9" s="94"/>
      <c r="S9" s="94"/>
    </row>
    <row r="10" spans="1:19" s="9" customFormat="1" ht="37.5" x14ac:dyDescent="0.25">
      <c r="A10" s="406"/>
      <c r="B10" s="360"/>
      <c r="C10" s="360"/>
      <c r="D10" s="141" t="s">
        <v>87</v>
      </c>
      <c r="E10" s="143"/>
      <c r="F10" s="156">
        <f t="shared" si="0"/>
        <v>0</v>
      </c>
      <c r="G10" s="143">
        <f t="shared" ref="G10:H10" si="7">G14</f>
        <v>0</v>
      </c>
      <c r="H10" s="236">
        <f t="shared" si="7"/>
        <v>0</v>
      </c>
      <c r="I10" s="473">
        <f>I14</f>
        <v>0</v>
      </c>
      <c r="J10" s="473"/>
      <c r="K10" s="473"/>
      <c r="L10" s="473"/>
      <c r="M10" s="473"/>
      <c r="N10" s="143">
        <f t="shared" ref="N10:O10" si="8">N14</f>
        <v>0</v>
      </c>
      <c r="O10" s="143">
        <f t="shared" si="8"/>
        <v>0</v>
      </c>
      <c r="P10" s="333"/>
      <c r="Q10" s="94"/>
      <c r="R10" s="94"/>
      <c r="S10" s="94"/>
    </row>
    <row r="11" spans="1:19" s="9" customFormat="1" ht="37.5" customHeight="1" x14ac:dyDescent="0.25">
      <c r="A11" s="422" t="s">
        <v>26</v>
      </c>
      <c r="B11" s="430" t="s">
        <v>139</v>
      </c>
      <c r="C11" s="393" t="s">
        <v>86</v>
      </c>
      <c r="D11" s="91" t="s">
        <v>40</v>
      </c>
      <c r="E11" s="121"/>
      <c r="F11" s="156">
        <f t="shared" si="0"/>
        <v>0</v>
      </c>
      <c r="G11" s="118">
        <v>0</v>
      </c>
      <c r="H11" s="234">
        <v>0</v>
      </c>
      <c r="I11" s="469">
        <v>0</v>
      </c>
      <c r="J11" s="469"/>
      <c r="K11" s="469"/>
      <c r="L11" s="469"/>
      <c r="M11" s="469"/>
      <c r="N11" s="118">
        <v>0</v>
      </c>
      <c r="O11" s="118">
        <v>0</v>
      </c>
      <c r="P11" s="336" t="s">
        <v>3</v>
      </c>
      <c r="Q11" s="94"/>
      <c r="R11" s="94"/>
      <c r="S11" s="94"/>
    </row>
    <row r="12" spans="1:19" s="9" customFormat="1" ht="37.5" x14ac:dyDescent="0.25">
      <c r="A12" s="422"/>
      <c r="B12" s="430"/>
      <c r="C12" s="393"/>
      <c r="D12" s="91" t="s">
        <v>1</v>
      </c>
      <c r="E12" s="121"/>
      <c r="F12" s="156">
        <f t="shared" si="0"/>
        <v>0</v>
      </c>
      <c r="G12" s="118">
        <v>0</v>
      </c>
      <c r="H12" s="234">
        <v>0</v>
      </c>
      <c r="I12" s="469">
        <v>0</v>
      </c>
      <c r="J12" s="469"/>
      <c r="K12" s="469"/>
      <c r="L12" s="469"/>
      <c r="M12" s="469"/>
      <c r="N12" s="118">
        <v>0</v>
      </c>
      <c r="O12" s="118">
        <v>0</v>
      </c>
      <c r="P12" s="336"/>
      <c r="Q12" s="94"/>
      <c r="R12" s="94"/>
      <c r="S12" s="94"/>
    </row>
    <row r="13" spans="1:19" s="40" customFormat="1" ht="56.25" x14ac:dyDescent="0.25">
      <c r="A13" s="422"/>
      <c r="B13" s="430"/>
      <c r="C13" s="393"/>
      <c r="D13" s="91" t="s">
        <v>48</v>
      </c>
      <c r="E13" s="136">
        <v>1000</v>
      </c>
      <c r="F13" s="156">
        <f t="shared" si="0"/>
        <v>5180</v>
      </c>
      <c r="G13" s="136">
        <v>1180</v>
      </c>
      <c r="H13" s="243">
        <v>1000</v>
      </c>
      <c r="I13" s="503">
        <v>1000</v>
      </c>
      <c r="J13" s="503"/>
      <c r="K13" s="503"/>
      <c r="L13" s="503"/>
      <c r="M13" s="503"/>
      <c r="N13" s="136">
        <v>1000</v>
      </c>
      <c r="O13" s="136">
        <v>1000</v>
      </c>
      <c r="P13" s="336"/>
      <c r="Q13" s="55"/>
      <c r="R13" s="95"/>
      <c r="S13" s="54"/>
    </row>
    <row r="14" spans="1:19" s="40" customFormat="1" ht="37.5" x14ac:dyDescent="0.25">
      <c r="A14" s="422"/>
      <c r="B14" s="430"/>
      <c r="C14" s="393"/>
      <c r="D14" s="91" t="s">
        <v>87</v>
      </c>
      <c r="E14" s="136"/>
      <c r="F14" s="156">
        <f t="shared" si="0"/>
        <v>0</v>
      </c>
      <c r="G14" s="136">
        <v>0</v>
      </c>
      <c r="H14" s="243">
        <v>0</v>
      </c>
      <c r="I14" s="503">
        <v>0</v>
      </c>
      <c r="J14" s="503"/>
      <c r="K14" s="503"/>
      <c r="L14" s="503"/>
      <c r="M14" s="503"/>
      <c r="N14" s="136">
        <v>0</v>
      </c>
      <c r="O14" s="136">
        <v>0</v>
      </c>
      <c r="P14" s="336"/>
      <c r="Q14" s="55"/>
      <c r="R14" s="95"/>
      <c r="S14" s="54"/>
    </row>
    <row r="15" spans="1:19" s="40" customFormat="1" ht="21" customHeight="1" x14ac:dyDescent="0.25">
      <c r="A15" s="422"/>
      <c r="B15" s="423" t="s">
        <v>173</v>
      </c>
      <c r="C15" s="387" t="s">
        <v>116</v>
      </c>
      <c r="D15" s="387" t="s">
        <v>116</v>
      </c>
      <c r="E15" s="131"/>
      <c r="F15" s="338" t="s">
        <v>117</v>
      </c>
      <c r="G15" s="132" t="s">
        <v>220</v>
      </c>
      <c r="H15" s="235" t="s">
        <v>221</v>
      </c>
      <c r="I15" s="471" t="s">
        <v>123</v>
      </c>
      <c r="J15" s="472" t="s">
        <v>118</v>
      </c>
      <c r="K15" s="472"/>
      <c r="L15" s="472"/>
      <c r="M15" s="472"/>
      <c r="N15" s="132" t="s">
        <v>124</v>
      </c>
      <c r="O15" s="132" t="s">
        <v>125</v>
      </c>
      <c r="P15" s="335" t="s">
        <v>116</v>
      </c>
      <c r="Q15" s="41"/>
    </row>
    <row r="16" spans="1:19" s="40" customFormat="1" ht="19.5" customHeight="1" x14ac:dyDescent="0.25">
      <c r="A16" s="422"/>
      <c r="B16" s="423"/>
      <c r="C16" s="387"/>
      <c r="D16" s="387"/>
      <c r="E16" s="131"/>
      <c r="F16" s="338"/>
      <c r="G16" s="131"/>
      <c r="H16" s="238"/>
      <c r="I16" s="471"/>
      <c r="J16" s="131" t="s">
        <v>119</v>
      </c>
      <c r="K16" s="131" t="s">
        <v>120</v>
      </c>
      <c r="L16" s="131" t="s">
        <v>121</v>
      </c>
      <c r="M16" s="131" t="s">
        <v>122</v>
      </c>
      <c r="N16" s="131"/>
      <c r="O16" s="131"/>
      <c r="P16" s="335"/>
      <c r="Q16" s="41"/>
    </row>
    <row r="17" spans="1:23" s="40" customFormat="1" ht="27" customHeight="1" x14ac:dyDescent="0.25">
      <c r="A17" s="422"/>
      <c r="B17" s="423"/>
      <c r="C17" s="387"/>
      <c r="D17" s="387"/>
      <c r="E17" s="131"/>
      <c r="F17" s="157">
        <f>G17+H17+I17+N17+O17</f>
        <v>511</v>
      </c>
      <c r="G17" s="133">
        <v>111</v>
      </c>
      <c r="H17" s="133">
        <v>100</v>
      </c>
      <c r="I17" s="133">
        <v>100</v>
      </c>
      <c r="J17" s="133">
        <v>0</v>
      </c>
      <c r="K17" s="133">
        <v>0</v>
      </c>
      <c r="L17" s="133">
        <v>0</v>
      </c>
      <c r="M17" s="133">
        <v>100</v>
      </c>
      <c r="N17" s="133">
        <v>100</v>
      </c>
      <c r="O17" s="133">
        <v>100</v>
      </c>
      <c r="P17" s="335"/>
      <c r="Q17" s="41"/>
    </row>
    <row r="18" spans="1:23" s="9" customFormat="1" ht="18.75" x14ac:dyDescent="0.3">
      <c r="A18" s="442" t="s">
        <v>74</v>
      </c>
      <c r="B18" s="443" t="s">
        <v>113</v>
      </c>
      <c r="C18" s="394" t="s">
        <v>86</v>
      </c>
      <c r="D18" s="149" t="s">
        <v>2</v>
      </c>
      <c r="E18" s="150" t="e">
        <f>E21+E23</f>
        <v>#REF!</v>
      </c>
      <c r="F18" s="156">
        <f t="shared" ref="F18:F28" si="9">SUM(G18:O18)</f>
        <v>650335.59061000007</v>
      </c>
      <c r="G18" s="150">
        <f>G19+G20+G21+G22</f>
        <v>120523.37026</v>
      </c>
      <c r="H18" s="242">
        <f t="shared" ref="H18" si="10">H19+H20+H21+H22</f>
        <v>129138.62835</v>
      </c>
      <c r="I18" s="502">
        <f>I19+I20+I21+I22</f>
        <v>133557.864</v>
      </c>
      <c r="J18" s="502"/>
      <c r="K18" s="502"/>
      <c r="L18" s="502"/>
      <c r="M18" s="502"/>
      <c r="N18" s="150">
        <f t="shared" ref="N18:O18" si="11">N19+N20+N21+N22</f>
        <v>133557.864</v>
      </c>
      <c r="O18" s="150">
        <f t="shared" si="11"/>
        <v>133557.864</v>
      </c>
      <c r="P18" s="504"/>
      <c r="Q18" s="96"/>
      <c r="R18" s="96"/>
      <c r="S18" s="96"/>
    </row>
    <row r="19" spans="1:23" s="9" customFormat="1" ht="37.5" x14ac:dyDescent="0.3">
      <c r="A19" s="442"/>
      <c r="B19" s="443"/>
      <c r="C19" s="394"/>
      <c r="D19" s="141" t="s">
        <v>40</v>
      </c>
      <c r="E19" s="150"/>
      <c r="F19" s="156">
        <f t="shared" si="9"/>
        <v>0</v>
      </c>
      <c r="G19" s="152">
        <f>G24+G32+G39</f>
        <v>0</v>
      </c>
      <c r="H19" s="297">
        <f>H24+H32+H39</f>
        <v>0</v>
      </c>
      <c r="I19" s="501">
        <f>I24+I32+I39</f>
        <v>0</v>
      </c>
      <c r="J19" s="501"/>
      <c r="K19" s="501"/>
      <c r="L19" s="501"/>
      <c r="M19" s="501"/>
      <c r="N19" s="254">
        <f>N24+N32+N39</f>
        <v>0</v>
      </c>
      <c r="O19" s="297">
        <f>O24+O32+O39</f>
        <v>0</v>
      </c>
      <c r="P19" s="504"/>
      <c r="Q19" s="96"/>
      <c r="R19" s="96"/>
      <c r="S19" s="96"/>
    </row>
    <row r="20" spans="1:23" s="9" customFormat="1" ht="37.5" x14ac:dyDescent="0.3">
      <c r="A20" s="442"/>
      <c r="B20" s="443"/>
      <c r="C20" s="394"/>
      <c r="D20" s="141" t="s">
        <v>1</v>
      </c>
      <c r="E20" s="150"/>
      <c r="F20" s="156">
        <f t="shared" si="9"/>
        <v>3752</v>
      </c>
      <c r="G20" s="297">
        <f t="shared" ref="G20:I20" si="12">G25+G33+G40</f>
        <v>0</v>
      </c>
      <c r="H20" s="297">
        <f t="shared" si="12"/>
        <v>3752</v>
      </c>
      <c r="I20" s="501">
        <f t="shared" si="12"/>
        <v>0</v>
      </c>
      <c r="J20" s="501"/>
      <c r="K20" s="501"/>
      <c r="L20" s="501"/>
      <c r="M20" s="501"/>
      <c r="N20" s="297">
        <f t="shared" ref="N20:O20" si="13">N25+N33+N40</f>
        <v>0</v>
      </c>
      <c r="O20" s="297">
        <f t="shared" si="13"/>
        <v>0</v>
      </c>
      <c r="P20" s="504"/>
      <c r="Q20" s="96"/>
      <c r="R20" s="96"/>
      <c r="S20" s="96"/>
    </row>
    <row r="21" spans="1:23" s="9" customFormat="1" ht="56.25" x14ac:dyDescent="0.3">
      <c r="A21" s="442"/>
      <c r="B21" s="443"/>
      <c r="C21" s="394"/>
      <c r="D21" s="141" t="s">
        <v>48</v>
      </c>
      <c r="E21" s="152" t="e">
        <f>E26+#REF!+E34+#REF!+#REF!</f>
        <v>#REF!</v>
      </c>
      <c r="F21" s="156">
        <f t="shared" si="9"/>
        <v>530353.19860999996</v>
      </c>
      <c r="G21" s="297">
        <f t="shared" ref="G21:I21" si="14">G26+G34+G41</f>
        <v>99268.178260000001</v>
      </c>
      <c r="H21" s="297">
        <f t="shared" si="14"/>
        <v>101807.82835</v>
      </c>
      <c r="I21" s="501">
        <f t="shared" si="14"/>
        <v>109759.064</v>
      </c>
      <c r="J21" s="501"/>
      <c r="K21" s="501"/>
      <c r="L21" s="501"/>
      <c r="M21" s="501"/>
      <c r="N21" s="297">
        <f t="shared" ref="N21:O21" si="15">N26+N34+N41</f>
        <v>109759.064</v>
      </c>
      <c r="O21" s="297">
        <f t="shared" si="15"/>
        <v>109759.064</v>
      </c>
      <c r="P21" s="504"/>
      <c r="Q21" s="96"/>
      <c r="R21" s="96"/>
      <c r="S21" s="96"/>
      <c r="T21" s="8"/>
    </row>
    <row r="22" spans="1:23" s="9" customFormat="1" ht="37.5" x14ac:dyDescent="0.3">
      <c r="A22" s="442"/>
      <c r="B22" s="443"/>
      <c r="C22" s="394"/>
      <c r="D22" s="141" t="s">
        <v>87</v>
      </c>
      <c r="E22" s="152"/>
      <c r="F22" s="156">
        <f t="shared" si="9"/>
        <v>116230.39200000001</v>
      </c>
      <c r="G22" s="297">
        <f t="shared" ref="G22:I22" si="16">G27+G35+G42</f>
        <v>21255.191999999999</v>
      </c>
      <c r="H22" s="297">
        <f t="shared" si="16"/>
        <v>23578.799999999999</v>
      </c>
      <c r="I22" s="501">
        <f t="shared" si="16"/>
        <v>23798.799999999999</v>
      </c>
      <c r="J22" s="501"/>
      <c r="K22" s="501"/>
      <c r="L22" s="501"/>
      <c r="M22" s="501"/>
      <c r="N22" s="297">
        <f t="shared" ref="N22:O22" si="17">N27+N35+N42</f>
        <v>23798.799999999999</v>
      </c>
      <c r="O22" s="297">
        <f t="shared" si="17"/>
        <v>23798.799999999999</v>
      </c>
      <c r="P22" s="504"/>
      <c r="Q22" s="96"/>
      <c r="R22" s="96"/>
      <c r="S22" s="96"/>
      <c r="T22" s="8"/>
    </row>
    <row r="23" spans="1:23" s="9" customFormat="1" ht="93.75" x14ac:dyDescent="0.3">
      <c r="A23" s="442"/>
      <c r="B23" s="443"/>
      <c r="C23" s="394"/>
      <c r="D23" s="144" t="s">
        <v>88</v>
      </c>
      <c r="E23" s="145">
        <f>E28</f>
        <v>13879.4</v>
      </c>
      <c r="F23" s="156">
        <f t="shared" si="9"/>
        <v>116230.39200000001</v>
      </c>
      <c r="G23" s="145">
        <f t="shared" ref="G23:H23" si="18">G28</f>
        <v>21255.191999999999</v>
      </c>
      <c r="H23" s="241">
        <f t="shared" si="18"/>
        <v>23578.799999999999</v>
      </c>
      <c r="I23" s="500">
        <f>I28</f>
        <v>23798.799999999999</v>
      </c>
      <c r="J23" s="500"/>
      <c r="K23" s="500"/>
      <c r="L23" s="500"/>
      <c r="M23" s="500"/>
      <c r="N23" s="145">
        <f t="shared" ref="N23:O23" si="19">N28</f>
        <v>23798.799999999999</v>
      </c>
      <c r="O23" s="145">
        <f t="shared" si="19"/>
        <v>23798.799999999999</v>
      </c>
      <c r="P23" s="504"/>
      <c r="Q23" s="96"/>
      <c r="R23" s="96"/>
      <c r="S23" s="96"/>
      <c r="U23" s="8"/>
      <c r="V23" s="97"/>
      <c r="W23" s="97"/>
    </row>
    <row r="24" spans="1:23" s="9" customFormat="1" ht="39" customHeight="1" x14ac:dyDescent="0.3">
      <c r="A24" s="487" t="s">
        <v>30</v>
      </c>
      <c r="B24" s="506" t="s">
        <v>140</v>
      </c>
      <c r="C24" s="507" t="s">
        <v>86</v>
      </c>
      <c r="D24" s="126" t="s">
        <v>40</v>
      </c>
      <c r="E24" s="122"/>
      <c r="F24" s="156">
        <f t="shared" si="9"/>
        <v>0</v>
      </c>
      <c r="G24" s="124">
        <v>0</v>
      </c>
      <c r="H24" s="244">
        <v>0</v>
      </c>
      <c r="I24" s="492">
        <v>0</v>
      </c>
      <c r="J24" s="492"/>
      <c r="K24" s="492"/>
      <c r="L24" s="492"/>
      <c r="M24" s="492"/>
      <c r="N24" s="124">
        <v>0</v>
      </c>
      <c r="O24" s="124">
        <v>0</v>
      </c>
      <c r="P24" s="509" t="s">
        <v>60</v>
      </c>
      <c r="Q24" s="96"/>
      <c r="R24" s="96"/>
      <c r="S24" s="96"/>
      <c r="U24" s="8"/>
      <c r="V24" s="97"/>
      <c r="W24" s="97"/>
    </row>
    <row r="25" spans="1:23" s="9" customFormat="1" ht="37.5" x14ac:dyDescent="0.3">
      <c r="A25" s="487"/>
      <c r="B25" s="506"/>
      <c r="C25" s="507"/>
      <c r="D25" s="126" t="s">
        <v>1</v>
      </c>
      <c r="E25" s="122"/>
      <c r="F25" s="156">
        <f t="shared" si="9"/>
        <v>0</v>
      </c>
      <c r="G25" s="124">
        <v>0</v>
      </c>
      <c r="H25" s="244">
        <v>0</v>
      </c>
      <c r="I25" s="492">
        <v>0</v>
      </c>
      <c r="J25" s="492"/>
      <c r="K25" s="492"/>
      <c r="L25" s="492"/>
      <c r="M25" s="492"/>
      <c r="N25" s="124">
        <v>0</v>
      </c>
      <c r="O25" s="124">
        <v>0</v>
      </c>
      <c r="P25" s="509"/>
      <c r="Q25" s="96"/>
      <c r="R25" s="96"/>
      <c r="S25" s="96"/>
      <c r="U25" s="8"/>
      <c r="V25" s="97"/>
      <c r="W25" s="97"/>
    </row>
    <row r="26" spans="1:23" s="40" customFormat="1" ht="56.25" customHeight="1" x14ac:dyDescent="0.25">
      <c r="A26" s="487"/>
      <c r="B26" s="506"/>
      <c r="C26" s="507"/>
      <c r="D26" s="126" t="s">
        <v>48</v>
      </c>
      <c r="E26" s="124">
        <v>74745.548039999994</v>
      </c>
      <c r="F26" s="156">
        <f t="shared" si="9"/>
        <v>488745.86856999999</v>
      </c>
      <c r="G26" s="134">
        <v>93662.546260000003</v>
      </c>
      <c r="H26" s="231">
        <v>93568.322310000003</v>
      </c>
      <c r="I26" s="361">
        <v>100505</v>
      </c>
      <c r="J26" s="361"/>
      <c r="K26" s="361"/>
      <c r="L26" s="361"/>
      <c r="M26" s="361"/>
      <c r="N26" s="290">
        <v>100505</v>
      </c>
      <c r="O26" s="290">
        <v>100505</v>
      </c>
      <c r="P26" s="509"/>
      <c r="Q26" s="55"/>
      <c r="R26" s="55"/>
      <c r="S26" s="55"/>
    </row>
    <row r="27" spans="1:23" s="40" customFormat="1" ht="37.5" x14ac:dyDescent="0.25">
      <c r="A27" s="487"/>
      <c r="B27" s="506"/>
      <c r="C27" s="507"/>
      <c r="D27" s="126" t="s">
        <v>87</v>
      </c>
      <c r="E27" s="124"/>
      <c r="F27" s="156">
        <f t="shared" si="9"/>
        <v>116230.39200000001</v>
      </c>
      <c r="G27" s="134">
        <f t="shared" ref="G27:H27" si="20">G28</f>
        <v>21255.191999999999</v>
      </c>
      <c r="H27" s="239">
        <f t="shared" si="20"/>
        <v>23578.799999999999</v>
      </c>
      <c r="I27" s="361">
        <f>I28</f>
        <v>23798.799999999999</v>
      </c>
      <c r="J27" s="361"/>
      <c r="K27" s="361"/>
      <c r="L27" s="361"/>
      <c r="M27" s="361"/>
      <c r="N27" s="188">
        <f t="shared" ref="N27:O27" si="21">N28</f>
        <v>23798.799999999999</v>
      </c>
      <c r="O27" s="188">
        <f t="shared" si="21"/>
        <v>23798.799999999999</v>
      </c>
      <c r="P27" s="509"/>
      <c r="Q27" s="55"/>
      <c r="R27" s="55"/>
      <c r="S27" s="55"/>
    </row>
    <row r="28" spans="1:23" s="40" customFormat="1" ht="93.75" x14ac:dyDescent="0.25">
      <c r="A28" s="487"/>
      <c r="B28" s="506"/>
      <c r="C28" s="507"/>
      <c r="D28" s="126" t="s">
        <v>88</v>
      </c>
      <c r="E28" s="124">
        <v>13879.4</v>
      </c>
      <c r="F28" s="156">
        <f t="shared" si="9"/>
        <v>116230.39200000001</v>
      </c>
      <c r="G28" s="135">
        <v>21255.191999999999</v>
      </c>
      <c r="H28" s="232">
        <v>23578.799999999999</v>
      </c>
      <c r="I28" s="396">
        <v>23798.799999999999</v>
      </c>
      <c r="J28" s="396"/>
      <c r="K28" s="396"/>
      <c r="L28" s="396"/>
      <c r="M28" s="396"/>
      <c r="N28" s="192">
        <v>23798.799999999999</v>
      </c>
      <c r="O28" s="192">
        <v>23798.799999999999</v>
      </c>
      <c r="P28" s="509"/>
      <c r="Q28" s="55"/>
      <c r="R28" s="55"/>
      <c r="S28" s="55"/>
    </row>
    <row r="29" spans="1:23" s="40" customFormat="1" ht="23.25" customHeight="1" x14ac:dyDescent="0.25">
      <c r="A29" s="487"/>
      <c r="B29" s="423" t="s">
        <v>174</v>
      </c>
      <c r="C29" s="387" t="s">
        <v>116</v>
      </c>
      <c r="D29" s="387" t="s">
        <v>116</v>
      </c>
      <c r="E29" s="131"/>
      <c r="F29" s="338" t="s">
        <v>117</v>
      </c>
      <c r="G29" s="132" t="s">
        <v>220</v>
      </c>
      <c r="H29" s="235" t="s">
        <v>221</v>
      </c>
      <c r="I29" s="471" t="s">
        <v>123</v>
      </c>
      <c r="J29" s="472" t="s">
        <v>118</v>
      </c>
      <c r="K29" s="472"/>
      <c r="L29" s="472"/>
      <c r="M29" s="472"/>
      <c r="N29" s="132" t="s">
        <v>124</v>
      </c>
      <c r="O29" s="132" t="s">
        <v>125</v>
      </c>
      <c r="P29" s="335" t="s">
        <v>116</v>
      </c>
      <c r="Q29" s="41"/>
    </row>
    <row r="30" spans="1:23" s="40" customFormat="1" ht="20.25" customHeight="1" x14ac:dyDescent="0.25">
      <c r="A30" s="487"/>
      <c r="B30" s="423"/>
      <c r="C30" s="387"/>
      <c r="D30" s="387"/>
      <c r="E30" s="131"/>
      <c r="F30" s="338"/>
      <c r="G30" s="131"/>
      <c r="H30" s="238"/>
      <c r="I30" s="471"/>
      <c r="J30" s="131" t="s">
        <v>119</v>
      </c>
      <c r="K30" s="131" t="s">
        <v>120</v>
      </c>
      <c r="L30" s="131" t="s">
        <v>121</v>
      </c>
      <c r="M30" s="131" t="s">
        <v>122</v>
      </c>
      <c r="N30" s="131"/>
      <c r="O30" s="131"/>
      <c r="P30" s="335"/>
      <c r="Q30" s="41"/>
    </row>
    <row r="31" spans="1:23" s="40" customFormat="1" ht="24.75" customHeight="1" x14ac:dyDescent="0.25">
      <c r="A31" s="487"/>
      <c r="B31" s="423"/>
      <c r="C31" s="387"/>
      <c r="D31" s="387"/>
      <c r="E31" s="131"/>
      <c r="F31" s="157">
        <v>4</v>
      </c>
      <c r="G31" s="133">
        <v>4</v>
      </c>
      <c r="H31" s="133">
        <v>4</v>
      </c>
      <c r="I31" s="133">
        <v>4</v>
      </c>
      <c r="J31" s="133">
        <v>4</v>
      </c>
      <c r="K31" s="133">
        <v>4</v>
      </c>
      <c r="L31" s="133">
        <v>4</v>
      </c>
      <c r="M31" s="133">
        <v>4</v>
      </c>
      <c r="N31" s="133">
        <v>4</v>
      </c>
      <c r="O31" s="133">
        <v>4</v>
      </c>
      <c r="P31" s="335"/>
      <c r="Q31" s="41"/>
    </row>
    <row r="32" spans="1:23" s="40" customFormat="1" ht="37.5" customHeight="1" x14ac:dyDescent="0.25">
      <c r="A32" s="488" t="s">
        <v>31</v>
      </c>
      <c r="B32" s="490" t="s">
        <v>141</v>
      </c>
      <c r="C32" s="491" t="s">
        <v>86</v>
      </c>
      <c r="D32" s="92" t="s">
        <v>40</v>
      </c>
      <c r="E32" s="134"/>
      <c r="F32" s="156">
        <f>SUM(G32:O32)</f>
        <v>0</v>
      </c>
      <c r="G32" s="134">
        <v>0</v>
      </c>
      <c r="H32" s="239">
        <v>0</v>
      </c>
      <c r="I32" s="505">
        <v>0</v>
      </c>
      <c r="J32" s="505"/>
      <c r="K32" s="505"/>
      <c r="L32" s="505"/>
      <c r="M32" s="505"/>
      <c r="N32" s="134">
        <v>0</v>
      </c>
      <c r="O32" s="134">
        <v>0</v>
      </c>
      <c r="P32" s="508" t="s">
        <v>3</v>
      </c>
      <c r="Q32" s="108"/>
      <c r="R32" s="108"/>
      <c r="S32" s="108"/>
    </row>
    <row r="33" spans="1:19" s="40" customFormat="1" ht="37.5" x14ac:dyDescent="0.25">
      <c r="A33" s="488"/>
      <c r="B33" s="490"/>
      <c r="C33" s="491"/>
      <c r="D33" s="92" t="s">
        <v>1</v>
      </c>
      <c r="E33" s="134"/>
      <c r="F33" s="156">
        <f>SUM(G33:O33)</f>
        <v>0</v>
      </c>
      <c r="G33" s="134">
        <v>0</v>
      </c>
      <c r="H33" s="239">
        <v>0</v>
      </c>
      <c r="I33" s="505">
        <v>0</v>
      </c>
      <c r="J33" s="505"/>
      <c r="K33" s="505"/>
      <c r="L33" s="505"/>
      <c r="M33" s="505"/>
      <c r="N33" s="134">
        <v>0</v>
      </c>
      <c r="O33" s="134">
        <v>0</v>
      </c>
      <c r="P33" s="508"/>
      <c r="Q33" s="108"/>
      <c r="R33" s="108"/>
      <c r="S33" s="108"/>
    </row>
    <row r="34" spans="1:19" s="40" customFormat="1" ht="56.25" x14ac:dyDescent="0.25">
      <c r="A34" s="488"/>
      <c r="B34" s="490"/>
      <c r="C34" s="491"/>
      <c r="D34" s="92" t="s">
        <v>48</v>
      </c>
      <c r="E34" s="134">
        <v>0</v>
      </c>
      <c r="F34" s="156">
        <f>SUM(G34:O34)</f>
        <v>41607.330040000001</v>
      </c>
      <c r="G34" s="134">
        <v>5605.6319999999996</v>
      </c>
      <c r="H34" s="231">
        <v>8239.5060400000002</v>
      </c>
      <c r="I34" s="505">
        <v>9254.0640000000003</v>
      </c>
      <c r="J34" s="505"/>
      <c r="K34" s="505"/>
      <c r="L34" s="505"/>
      <c r="M34" s="505"/>
      <c r="N34" s="290">
        <f t="shared" ref="N34:O34" si="22">8314+940.064</f>
        <v>9254.0640000000003</v>
      </c>
      <c r="O34" s="290">
        <f t="shared" si="22"/>
        <v>9254.0640000000003</v>
      </c>
      <c r="P34" s="508"/>
      <c r="Q34" s="108"/>
      <c r="R34" s="108"/>
      <c r="S34" s="108"/>
    </row>
    <row r="35" spans="1:19" s="40" customFormat="1" ht="37.5" x14ac:dyDescent="0.25">
      <c r="A35" s="488"/>
      <c r="B35" s="490"/>
      <c r="C35" s="491"/>
      <c r="D35" s="92" t="s">
        <v>87</v>
      </c>
      <c r="E35" s="134"/>
      <c r="F35" s="156">
        <f>SUM(G35:O35)</f>
        <v>0</v>
      </c>
      <c r="G35" s="134">
        <v>0</v>
      </c>
      <c r="H35" s="239">
        <v>0</v>
      </c>
      <c r="I35" s="505">
        <v>0</v>
      </c>
      <c r="J35" s="505"/>
      <c r="K35" s="505"/>
      <c r="L35" s="505"/>
      <c r="M35" s="505"/>
      <c r="N35" s="134">
        <v>0</v>
      </c>
      <c r="O35" s="134">
        <v>0</v>
      </c>
      <c r="P35" s="508"/>
      <c r="Q35" s="108"/>
      <c r="R35" s="108"/>
      <c r="S35" s="108"/>
    </row>
    <row r="36" spans="1:19" s="40" customFormat="1" ht="22.5" customHeight="1" x14ac:dyDescent="0.25">
      <c r="A36" s="488"/>
      <c r="B36" s="423" t="s">
        <v>175</v>
      </c>
      <c r="C36" s="387" t="s">
        <v>116</v>
      </c>
      <c r="D36" s="387" t="s">
        <v>116</v>
      </c>
      <c r="E36" s="131"/>
      <c r="F36" s="338" t="s">
        <v>117</v>
      </c>
      <c r="G36" s="132" t="s">
        <v>220</v>
      </c>
      <c r="H36" s="235" t="s">
        <v>221</v>
      </c>
      <c r="I36" s="471" t="s">
        <v>123</v>
      </c>
      <c r="J36" s="472" t="s">
        <v>118</v>
      </c>
      <c r="K36" s="472"/>
      <c r="L36" s="472"/>
      <c r="M36" s="472"/>
      <c r="N36" s="132" t="s">
        <v>124</v>
      </c>
      <c r="O36" s="132" t="s">
        <v>125</v>
      </c>
      <c r="P36" s="335" t="s">
        <v>116</v>
      </c>
      <c r="Q36" s="41"/>
    </row>
    <row r="37" spans="1:19" s="40" customFormat="1" ht="19.5" customHeight="1" x14ac:dyDescent="0.25">
      <c r="A37" s="488"/>
      <c r="B37" s="423"/>
      <c r="C37" s="387"/>
      <c r="D37" s="387"/>
      <c r="E37" s="131"/>
      <c r="F37" s="338"/>
      <c r="G37" s="131"/>
      <c r="H37" s="238"/>
      <c r="I37" s="471"/>
      <c r="J37" s="131" t="s">
        <v>119</v>
      </c>
      <c r="K37" s="131" t="s">
        <v>120</v>
      </c>
      <c r="L37" s="131" t="s">
        <v>121</v>
      </c>
      <c r="M37" s="131" t="s">
        <v>122</v>
      </c>
      <c r="N37" s="131"/>
      <c r="O37" s="131"/>
      <c r="P37" s="335"/>
      <c r="Q37" s="41"/>
    </row>
    <row r="38" spans="1:19" s="40" customFormat="1" ht="27" customHeight="1" x14ac:dyDescent="0.25">
      <c r="A38" s="488"/>
      <c r="B38" s="423"/>
      <c r="C38" s="387"/>
      <c r="D38" s="387"/>
      <c r="E38" s="131"/>
      <c r="F38" s="157">
        <v>100</v>
      </c>
      <c r="G38" s="133">
        <v>100</v>
      </c>
      <c r="H38" s="133">
        <v>100</v>
      </c>
      <c r="I38" s="133">
        <v>100</v>
      </c>
      <c r="J38" s="133">
        <v>100</v>
      </c>
      <c r="K38" s="133">
        <v>100</v>
      </c>
      <c r="L38" s="133">
        <v>100</v>
      </c>
      <c r="M38" s="133">
        <v>100</v>
      </c>
      <c r="N38" s="133">
        <v>100</v>
      </c>
      <c r="O38" s="133">
        <v>100</v>
      </c>
      <c r="P38" s="335"/>
      <c r="Q38" s="41"/>
    </row>
    <row r="39" spans="1:19" s="40" customFormat="1" ht="37.5" customHeight="1" x14ac:dyDescent="0.25">
      <c r="A39" s="488" t="s">
        <v>32</v>
      </c>
      <c r="B39" s="368" t="s">
        <v>264</v>
      </c>
      <c r="C39" s="491" t="s">
        <v>46</v>
      </c>
      <c r="D39" s="92" t="s">
        <v>40</v>
      </c>
      <c r="E39" s="134"/>
      <c r="F39" s="156">
        <f>SUM(G39:O39)</f>
        <v>0</v>
      </c>
      <c r="G39" s="134">
        <v>0</v>
      </c>
      <c r="H39" s="239">
        <v>0</v>
      </c>
      <c r="I39" s="505">
        <v>0</v>
      </c>
      <c r="J39" s="505"/>
      <c r="K39" s="505"/>
      <c r="L39" s="505"/>
      <c r="M39" s="505"/>
      <c r="N39" s="134">
        <v>0</v>
      </c>
      <c r="O39" s="134">
        <v>0</v>
      </c>
      <c r="P39" s="508" t="s">
        <v>266</v>
      </c>
      <c r="Q39" s="108"/>
      <c r="R39" s="108"/>
      <c r="S39" s="108"/>
    </row>
    <row r="40" spans="1:19" s="40" customFormat="1" ht="37.5" x14ac:dyDescent="0.25">
      <c r="A40" s="488"/>
      <c r="B40" s="368"/>
      <c r="C40" s="491"/>
      <c r="D40" s="92" t="s">
        <v>1</v>
      </c>
      <c r="E40" s="134"/>
      <c r="F40" s="156">
        <f>SUM(G40:O40)</f>
        <v>3752</v>
      </c>
      <c r="G40" s="134">
        <v>0</v>
      </c>
      <c r="H40" s="239">
        <v>3752</v>
      </c>
      <c r="I40" s="505">
        <v>0</v>
      </c>
      <c r="J40" s="505"/>
      <c r="K40" s="505"/>
      <c r="L40" s="505"/>
      <c r="M40" s="505"/>
      <c r="N40" s="134">
        <v>0</v>
      </c>
      <c r="O40" s="134">
        <v>0</v>
      </c>
      <c r="P40" s="508"/>
      <c r="Q40" s="108"/>
      <c r="R40" s="108"/>
      <c r="S40" s="108"/>
    </row>
    <row r="41" spans="1:19" s="40" customFormat="1" ht="56.25" x14ac:dyDescent="0.25">
      <c r="A41" s="488"/>
      <c r="B41" s="368"/>
      <c r="C41" s="491"/>
      <c r="D41" s="92" t="s">
        <v>48</v>
      </c>
      <c r="E41" s="134">
        <v>0</v>
      </c>
      <c r="F41" s="156">
        <f>SUM(G41:O41)</f>
        <v>0</v>
      </c>
      <c r="G41" s="134">
        <v>0</v>
      </c>
      <c r="H41" s="239">
        <v>0</v>
      </c>
      <c r="I41" s="505">
        <v>0</v>
      </c>
      <c r="J41" s="505"/>
      <c r="K41" s="505"/>
      <c r="L41" s="505"/>
      <c r="M41" s="505"/>
      <c r="N41" s="134">
        <v>0</v>
      </c>
      <c r="O41" s="134">
        <v>0</v>
      </c>
      <c r="P41" s="508"/>
      <c r="Q41" s="108"/>
      <c r="R41" s="108"/>
      <c r="S41" s="108"/>
    </row>
    <row r="42" spans="1:19" s="40" customFormat="1" ht="37.5" x14ac:dyDescent="0.25">
      <c r="A42" s="488"/>
      <c r="B42" s="368"/>
      <c r="C42" s="491"/>
      <c r="D42" s="92" t="s">
        <v>87</v>
      </c>
      <c r="E42" s="134"/>
      <c r="F42" s="156">
        <f>SUM(G42:O42)</f>
        <v>0</v>
      </c>
      <c r="G42" s="134">
        <v>0</v>
      </c>
      <c r="H42" s="239">
        <v>0</v>
      </c>
      <c r="I42" s="505">
        <v>0</v>
      </c>
      <c r="J42" s="505"/>
      <c r="K42" s="505"/>
      <c r="L42" s="505"/>
      <c r="M42" s="505"/>
      <c r="N42" s="134">
        <v>0</v>
      </c>
      <c r="O42" s="134">
        <v>0</v>
      </c>
      <c r="P42" s="508"/>
      <c r="Q42" s="108"/>
      <c r="R42" s="108"/>
      <c r="S42" s="108"/>
    </row>
    <row r="43" spans="1:19" s="40" customFormat="1" ht="23.25" customHeight="1" x14ac:dyDescent="0.25">
      <c r="A43" s="488"/>
      <c r="B43" s="489" t="s">
        <v>265</v>
      </c>
      <c r="C43" s="387" t="s">
        <v>116</v>
      </c>
      <c r="D43" s="387" t="s">
        <v>116</v>
      </c>
      <c r="E43" s="131"/>
      <c r="F43" s="338" t="s">
        <v>117</v>
      </c>
      <c r="G43" s="132" t="s">
        <v>220</v>
      </c>
      <c r="H43" s="235" t="s">
        <v>221</v>
      </c>
      <c r="I43" s="471" t="s">
        <v>123</v>
      </c>
      <c r="J43" s="472" t="s">
        <v>118</v>
      </c>
      <c r="K43" s="472"/>
      <c r="L43" s="472"/>
      <c r="M43" s="472"/>
      <c r="N43" s="132" t="s">
        <v>124</v>
      </c>
      <c r="O43" s="132" t="s">
        <v>125</v>
      </c>
      <c r="P43" s="335" t="s">
        <v>116</v>
      </c>
      <c r="Q43" s="41"/>
    </row>
    <row r="44" spans="1:19" s="40" customFormat="1" ht="21" customHeight="1" x14ac:dyDescent="0.25">
      <c r="A44" s="488"/>
      <c r="B44" s="489"/>
      <c r="C44" s="387"/>
      <c r="D44" s="387"/>
      <c r="E44" s="131"/>
      <c r="F44" s="338"/>
      <c r="G44" s="131"/>
      <c r="H44" s="238"/>
      <c r="I44" s="471"/>
      <c r="J44" s="131" t="s">
        <v>119</v>
      </c>
      <c r="K44" s="131" t="s">
        <v>120</v>
      </c>
      <c r="L44" s="131" t="s">
        <v>121</v>
      </c>
      <c r="M44" s="131" t="s">
        <v>122</v>
      </c>
      <c r="N44" s="131"/>
      <c r="O44" s="131"/>
      <c r="P44" s="335"/>
      <c r="Q44" s="41"/>
    </row>
    <row r="45" spans="1:19" s="40" customFormat="1" ht="22.5" customHeight="1" x14ac:dyDescent="0.25">
      <c r="A45" s="488"/>
      <c r="B45" s="489"/>
      <c r="C45" s="387"/>
      <c r="D45" s="387"/>
      <c r="E45" s="131"/>
      <c r="F45" s="260">
        <f>H45</f>
        <v>106.86</v>
      </c>
      <c r="G45" s="133">
        <v>0</v>
      </c>
      <c r="H45" s="259">
        <v>106.86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335"/>
      <c r="Q45" s="41"/>
    </row>
    <row r="46" spans="1:19" s="9" customFormat="1" ht="18.75" customHeight="1" x14ac:dyDescent="0.25">
      <c r="A46" s="442" t="s">
        <v>8</v>
      </c>
      <c r="B46" s="389" t="s">
        <v>228</v>
      </c>
      <c r="C46" s="394" t="s">
        <v>270</v>
      </c>
      <c r="D46" s="149" t="s">
        <v>2</v>
      </c>
      <c r="E46" s="150" t="e">
        <f>E48+E49</f>
        <v>#REF!</v>
      </c>
      <c r="F46" s="156">
        <f>SUM(G46:O46)</f>
        <v>2511</v>
      </c>
      <c r="G46" s="150">
        <f t="shared" ref="G46:H46" si="23">G47+G48+G49+G50</f>
        <v>333</v>
      </c>
      <c r="H46" s="242">
        <f t="shared" si="23"/>
        <v>2178</v>
      </c>
      <c r="I46" s="502">
        <f>I47+I48+I49+I50</f>
        <v>0</v>
      </c>
      <c r="J46" s="502"/>
      <c r="K46" s="502"/>
      <c r="L46" s="502"/>
      <c r="M46" s="502"/>
      <c r="N46" s="150">
        <f t="shared" ref="N46:O46" si="24">N47+N48+N49+N50</f>
        <v>0</v>
      </c>
      <c r="O46" s="150">
        <f t="shared" si="24"/>
        <v>0</v>
      </c>
      <c r="P46" s="337"/>
      <c r="Q46" s="98"/>
      <c r="R46" s="98"/>
      <c r="S46" s="98"/>
    </row>
    <row r="47" spans="1:19" s="9" customFormat="1" ht="37.5" x14ac:dyDescent="0.25">
      <c r="A47" s="442"/>
      <c r="B47" s="389"/>
      <c r="C47" s="394"/>
      <c r="D47" s="151" t="s">
        <v>40</v>
      </c>
      <c r="E47" s="150"/>
      <c r="F47" s="156">
        <f>SUM(I47:O47)</f>
        <v>0</v>
      </c>
      <c r="G47" s="152">
        <f>G51</f>
        <v>0</v>
      </c>
      <c r="H47" s="240">
        <f t="shared" ref="H47" si="25">H51</f>
        <v>0</v>
      </c>
      <c r="I47" s="501">
        <f>I51</f>
        <v>0</v>
      </c>
      <c r="J47" s="501"/>
      <c r="K47" s="501"/>
      <c r="L47" s="501"/>
      <c r="M47" s="501"/>
      <c r="N47" s="152">
        <f t="shared" ref="N47:O47" si="26">N51</f>
        <v>0</v>
      </c>
      <c r="O47" s="152">
        <f t="shared" si="26"/>
        <v>0</v>
      </c>
      <c r="P47" s="337"/>
      <c r="Q47" s="98"/>
      <c r="R47" s="98"/>
      <c r="S47" s="98"/>
    </row>
    <row r="48" spans="1:19" s="9" customFormat="1" ht="36.75" customHeight="1" x14ac:dyDescent="0.25">
      <c r="A48" s="442"/>
      <c r="B48" s="389"/>
      <c r="C48" s="394"/>
      <c r="D48" s="151" t="s">
        <v>1</v>
      </c>
      <c r="E48" s="152" t="e">
        <f>#REF!+#REF!</f>
        <v>#REF!</v>
      </c>
      <c r="F48" s="156">
        <f>SUM(G48:O48)</f>
        <v>2511</v>
      </c>
      <c r="G48" s="152">
        <f t="shared" ref="G48:H48" si="27">G52+G59</f>
        <v>333</v>
      </c>
      <c r="H48" s="240">
        <f t="shared" si="27"/>
        <v>2178</v>
      </c>
      <c r="I48" s="501">
        <f>I52+I59</f>
        <v>0</v>
      </c>
      <c r="J48" s="501"/>
      <c r="K48" s="501"/>
      <c r="L48" s="501"/>
      <c r="M48" s="501"/>
      <c r="N48" s="152">
        <f t="shared" ref="N48:O48" si="28">N52+N59</f>
        <v>0</v>
      </c>
      <c r="O48" s="152">
        <f t="shared" si="28"/>
        <v>0</v>
      </c>
      <c r="P48" s="337"/>
      <c r="Q48" s="98"/>
      <c r="R48" s="98"/>
      <c r="S48" s="98"/>
    </row>
    <row r="49" spans="1:19" s="9" customFormat="1" ht="61.5" customHeight="1" x14ac:dyDescent="0.25">
      <c r="A49" s="442"/>
      <c r="B49" s="389"/>
      <c r="C49" s="394"/>
      <c r="D49" s="151" t="s">
        <v>48</v>
      </c>
      <c r="E49" s="145" t="e">
        <f>#REF!+#REF!</f>
        <v>#REF!</v>
      </c>
      <c r="F49" s="156">
        <f>SUM(I49:O49)</f>
        <v>0</v>
      </c>
      <c r="G49" s="145">
        <f t="shared" ref="G49:H49" si="29">G53+G60</f>
        <v>0</v>
      </c>
      <c r="H49" s="241">
        <f t="shared" si="29"/>
        <v>0</v>
      </c>
      <c r="I49" s="500">
        <f>I53+I60</f>
        <v>0</v>
      </c>
      <c r="J49" s="500"/>
      <c r="K49" s="500"/>
      <c r="L49" s="500"/>
      <c r="M49" s="500"/>
      <c r="N49" s="145">
        <f t="shared" ref="N49:O49" si="30">N53+N60</f>
        <v>0</v>
      </c>
      <c r="O49" s="145">
        <f t="shared" si="30"/>
        <v>0</v>
      </c>
      <c r="P49" s="337"/>
      <c r="Q49" s="98"/>
      <c r="R49" s="98"/>
      <c r="S49" s="98"/>
    </row>
    <row r="50" spans="1:19" s="9" customFormat="1" ht="37.5" x14ac:dyDescent="0.25">
      <c r="A50" s="442"/>
      <c r="B50" s="389"/>
      <c r="C50" s="394"/>
      <c r="D50" s="151" t="s">
        <v>87</v>
      </c>
      <c r="E50" s="145"/>
      <c r="F50" s="156">
        <f>SUM(I50:O50)</f>
        <v>0</v>
      </c>
      <c r="G50" s="145">
        <f>G54</f>
        <v>0</v>
      </c>
      <c r="H50" s="241">
        <f t="shared" ref="H50" si="31">H54</f>
        <v>0</v>
      </c>
      <c r="I50" s="500">
        <f>I54</f>
        <v>0</v>
      </c>
      <c r="J50" s="500"/>
      <c r="K50" s="500"/>
      <c r="L50" s="500"/>
      <c r="M50" s="500"/>
      <c r="N50" s="145">
        <f t="shared" ref="N50:O50" si="32">N54</f>
        <v>0</v>
      </c>
      <c r="O50" s="145">
        <f t="shared" si="32"/>
        <v>0</v>
      </c>
      <c r="P50" s="337"/>
      <c r="Q50" s="98"/>
      <c r="R50" s="98"/>
      <c r="S50" s="98"/>
    </row>
    <row r="51" spans="1:19" s="40" customFormat="1" ht="37.5" customHeight="1" x14ac:dyDescent="0.25">
      <c r="A51" s="488" t="s">
        <v>34</v>
      </c>
      <c r="B51" s="490" t="s">
        <v>203</v>
      </c>
      <c r="C51" s="491" t="s">
        <v>270</v>
      </c>
      <c r="D51" s="92" t="s">
        <v>40</v>
      </c>
      <c r="E51" s="134"/>
      <c r="F51" s="156">
        <f>SUM(I51:O51)</f>
        <v>0</v>
      </c>
      <c r="G51" s="134">
        <v>0</v>
      </c>
      <c r="H51" s="239">
        <v>0</v>
      </c>
      <c r="I51" s="505">
        <v>0</v>
      </c>
      <c r="J51" s="505"/>
      <c r="K51" s="505"/>
      <c r="L51" s="505"/>
      <c r="M51" s="505"/>
      <c r="N51" s="134">
        <v>0</v>
      </c>
      <c r="O51" s="134">
        <v>0</v>
      </c>
      <c r="P51" s="508" t="s">
        <v>3</v>
      </c>
      <c r="Q51" s="108"/>
      <c r="R51" s="108"/>
      <c r="S51" s="108"/>
    </row>
    <row r="52" spans="1:19" s="40" customFormat="1" ht="37.5" x14ac:dyDescent="0.25">
      <c r="A52" s="488"/>
      <c r="B52" s="490"/>
      <c r="C52" s="491"/>
      <c r="D52" s="92" t="s">
        <v>1</v>
      </c>
      <c r="E52" s="134"/>
      <c r="F52" s="156">
        <f>SUM(G52:O52)</f>
        <v>2511</v>
      </c>
      <c r="G52" s="134">
        <v>333</v>
      </c>
      <c r="H52" s="239">
        <v>2178</v>
      </c>
      <c r="I52" s="361">
        <v>0</v>
      </c>
      <c r="J52" s="361"/>
      <c r="K52" s="361"/>
      <c r="L52" s="361"/>
      <c r="M52" s="361"/>
      <c r="N52" s="134">
        <v>0</v>
      </c>
      <c r="O52" s="134">
        <v>0</v>
      </c>
      <c r="P52" s="508"/>
      <c r="Q52" s="108"/>
      <c r="R52" s="108"/>
      <c r="S52" s="108"/>
    </row>
    <row r="53" spans="1:19" s="40" customFormat="1" ht="56.25" x14ac:dyDescent="0.25">
      <c r="A53" s="488"/>
      <c r="B53" s="490"/>
      <c r="C53" s="491"/>
      <c r="D53" s="92" t="s">
        <v>48</v>
      </c>
      <c r="E53" s="134">
        <v>0</v>
      </c>
      <c r="F53" s="156">
        <f>SUM(I53:O53)</f>
        <v>0</v>
      </c>
      <c r="G53" s="134">
        <v>0</v>
      </c>
      <c r="H53" s="239">
        <v>0</v>
      </c>
      <c r="I53" s="505">
        <v>0</v>
      </c>
      <c r="J53" s="505"/>
      <c r="K53" s="505"/>
      <c r="L53" s="505"/>
      <c r="M53" s="505"/>
      <c r="N53" s="134">
        <v>0</v>
      </c>
      <c r="O53" s="134">
        <v>0</v>
      </c>
      <c r="P53" s="508"/>
      <c r="Q53" s="108"/>
      <c r="R53" s="108"/>
      <c r="S53" s="108"/>
    </row>
    <row r="54" spans="1:19" s="40" customFormat="1" ht="37.5" x14ac:dyDescent="0.25">
      <c r="A54" s="488"/>
      <c r="B54" s="490"/>
      <c r="C54" s="491"/>
      <c r="D54" s="92" t="s">
        <v>87</v>
      </c>
      <c r="E54" s="134"/>
      <c r="F54" s="156">
        <f>SUM(I54:O54)</f>
        <v>0</v>
      </c>
      <c r="G54" s="134">
        <v>0</v>
      </c>
      <c r="H54" s="239">
        <v>0</v>
      </c>
      <c r="I54" s="505">
        <v>0</v>
      </c>
      <c r="J54" s="505"/>
      <c r="K54" s="505"/>
      <c r="L54" s="505"/>
      <c r="M54" s="505"/>
      <c r="N54" s="134">
        <v>0</v>
      </c>
      <c r="O54" s="134">
        <v>0</v>
      </c>
      <c r="P54" s="508"/>
      <c r="Q54" s="108"/>
      <c r="R54" s="108"/>
      <c r="S54" s="108"/>
    </row>
    <row r="55" spans="1:19" s="40" customFormat="1" ht="34.5" customHeight="1" x14ac:dyDescent="0.25">
      <c r="A55" s="488"/>
      <c r="B55" s="423" t="s">
        <v>262</v>
      </c>
      <c r="C55" s="387" t="s">
        <v>116</v>
      </c>
      <c r="D55" s="387" t="s">
        <v>116</v>
      </c>
      <c r="E55" s="131"/>
      <c r="F55" s="338" t="s">
        <v>117</v>
      </c>
      <c r="G55" s="132" t="s">
        <v>220</v>
      </c>
      <c r="H55" s="235" t="s">
        <v>221</v>
      </c>
      <c r="I55" s="471" t="s">
        <v>123</v>
      </c>
      <c r="J55" s="472" t="s">
        <v>118</v>
      </c>
      <c r="K55" s="472"/>
      <c r="L55" s="472"/>
      <c r="M55" s="472"/>
      <c r="N55" s="132" t="s">
        <v>124</v>
      </c>
      <c r="O55" s="132" t="s">
        <v>125</v>
      </c>
      <c r="P55" s="335" t="s">
        <v>116</v>
      </c>
      <c r="Q55" s="41"/>
    </row>
    <row r="56" spans="1:19" s="40" customFormat="1" ht="34.5" customHeight="1" x14ac:dyDescent="0.25">
      <c r="A56" s="488"/>
      <c r="B56" s="423"/>
      <c r="C56" s="387"/>
      <c r="D56" s="387"/>
      <c r="E56" s="131"/>
      <c r="F56" s="338"/>
      <c r="G56" s="131"/>
      <c r="H56" s="238"/>
      <c r="I56" s="471"/>
      <c r="J56" s="131" t="s">
        <v>119</v>
      </c>
      <c r="K56" s="131" t="s">
        <v>120</v>
      </c>
      <c r="L56" s="131" t="s">
        <v>121</v>
      </c>
      <c r="M56" s="131" t="s">
        <v>122</v>
      </c>
      <c r="N56" s="131"/>
      <c r="O56" s="131"/>
      <c r="P56" s="335"/>
      <c r="Q56" s="41"/>
    </row>
    <row r="57" spans="1:19" s="40" customFormat="1" ht="34.5" customHeight="1" x14ac:dyDescent="0.25">
      <c r="A57" s="488"/>
      <c r="B57" s="423"/>
      <c r="C57" s="387"/>
      <c r="D57" s="387"/>
      <c r="E57" s="131"/>
      <c r="F57" s="157">
        <f>G57+I57</f>
        <v>74</v>
      </c>
      <c r="G57" s="133">
        <v>74</v>
      </c>
      <c r="H57" s="133">
        <v>154</v>
      </c>
      <c r="I57" s="251">
        <v>0</v>
      </c>
      <c r="J57" s="251">
        <v>0</v>
      </c>
      <c r="K57" s="251">
        <v>0</v>
      </c>
      <c r="L57" s="251">
        <v>0</v>
      </c>
      <c r="M57" s="251">
        <v>0</v>
      </c>
      <c r="N57" s="133">
        <v>0</v>
      </c>
      <c r="O57" s="133">
        <v>0</v>
      </c>
      <c r="P57" s="335"/>
      <c r="Q57" s="41"/>
    </row>
    <row r="58" spans="1:19" s="9" customFormat="1" ht="18.75" customHeight="1" x14ac:dyDescent="0.25">
      <c r="A58" s="442" t="s">
        <v>37</v>
      </c>
      <c r="B58" s="443" t="s">
        <v>109</v>
      </c>
      <c r="C58" s="394" t="s">
        <v>86</v>
      </c>
      <c r="D58" s="149" t="s">
        <v>2</v>
      </c>
      <c r="E58" s="150" t="e">
        <f>E60+E61</f>
        <v>#REF!</v>
      </c>
      <c r="F58" s="156">
        <f t="shared" ref="F58:F62" si="33">SUM(G58:O58)</f>
        <v>168868.47099999999</v>
      </c>
      <c r="G58" s="150">
        <f t="shared" ref="G58:H58" si="34">G59+G60+G61+G62</f>
        <v>12718.079</v>
      </c>
      <c r="H58" s="242">
        <f t="shared" si="34"/>
        <v>35778.392</v>
      </c>
      <c r="I58" s="502">
        <f>I59+I60+I61+I62</f>
        <v>40124</v>
      </c>
      <c r="J58" s="502"/>
      <c r="K58" s="502"/>
      <c r="L58" s="502"/>
      <c r="M58" s="502"/>
      <c r="N58" s="150">
        <f t="shared" ref="N58:O58" si="35">N59+N60+N61+N62</f>
        <v>40124</v>
      </c>
      <c r="O58" s="150">
        <f t="shared" si="35"/>
        <v>40124</v>
      </c>
      <c r="P58" s="337"/>
      <c r="Q58" s="98"/>
      <c r="R58" s="98"/>
      <c r="S58" s="98"/>
    </row>
    <row r="59" spans="1:19" s="9" customFormat="1" ht="37.5" x14ac:dyDescent="0.25">
      <c r="A59" s="442"/>
      <c r="B59" s="443"/>
      <c r="C59" s="394"/>
      <c r="D59" s="151" t="s">
        <v>40</v>
      </c>
      <c r="E59" s="150"/>
      <c r="F59" s="156">
        <f t="shared" si="33"/>
        <v>0</v>
      </c>
      <c r="G59" s="254">
        <f>G63</f>
        <v>0</v>
      </c>
      <c r="H59" s="297">
        <f>H63</f>
        <v>0</v>
      </c>
      <c r="I59" s="501">
        <f>I63</f>
        <v>0</v>
      </c>
      <c r="J59" s="501"/>
      <c r="K59" s="501"/>
      <c r="L59" s="501"/>
      <c r="M59" s="501"/>
      <c r="N59" s="152">
        <f>N63</f>
        <v>0</v>
      </c>
      <c r="O59" s="297">
        <f>O63</f>
        <v>0</v>
      </c>
      <c r="P59" s="337"/>
      <c r="Q59" s="98"/>
      <c r="R59" s="98"/>
      <c r="S59" s="98"/>
    </row>
    <row r="60" spans="1:19" s="9" customFormat="1" ht="36.75" customHeight="1" x14ac:dyDescent="0.25">
      <c r="A60" s="442"/>
      <c r="B60" s="443"/>
      <c r="C60" s="394"/>
      <c r="D60" s="151" t="s">
        <v>1</v>
      </c>
      <c r="E60" s="152" t="e">
        <f>#REF!+#REF!</f>
        <v>#REF!</v>
      </c>
      <c r="F60" s="156">
        <f t="shared" si="33"/>
        <v>0</v>
      </c>
      <c r="G60" s="297">
        <f t="shared" ref="G60:I60" si="36">G64</f>
        <v>0</v>
      </c>
      <c r="H60" s="297">
        <f t="shared" si="36"/>
        <v>0</v>
      </c>
      <c r="I60" s="501">
        <f t="shared" si="36"/>
        <v>0</v>
      </c>
      <c r="J60" s="501"/>
      <c r="K60" s="501"/>
      <c r="L60" s="501"/>
      <c r="M60" s="501"/>
      <c r="N60" s="297">
        <f t="shared" ref="N60:O60" si="37">N64</f>
        <v>0</v>
      </c>
      <c r="O60" s="297">
        <f t="shared" si="37"/>
        <v>0</v>
      </c>
      <c r="P60" s="337"/>
      <c r="Q60" s="98"/>
      <c r="R60" s="98"/>
      <c r="S60" s="98"/>
    </row>
    <row r="61" spans="1:19" s="9" customFormat="1" ht="61.5" customHeight="1" x14ac:dyDescent="0.25">
      <c r="A61" s="442"/>
      <c r="B61" s="443"/>
      <c r="C61" s="394"/>
      <c r="D61" s="151" t="s">
        <v>48</v>
      </c>
      <c r="E61" s="145" t="e">
        <f>#REF!+#REF!</f>
        <v>#REF!</v>
      </c>
      <c r="F61" s="156">
        <f t="shared" si="33"/>
        <v>168868.47099999999</v>
      </c>
      <c r="G61" s="297">
        <f t="shared" ref="G61:I61" si="38">G65</f>
        <v>12718.079</v>
      </c>
      <c r="H61" s="297">
        <f t="shared" si="38"/>
        <v>35778.392</v>
      </c>
      <c r="I61" s="501">
        <f t="shared" si="38"/>
        <v>40124</v>
      </c>
      <c r="J61" s="501"/>
      <c r="K61" s="501"/>
      <c r="L61" s="501"/>
      <c r="M61" s="501"/>
      <c r="N61" s="297">
        <f t="shared" ref="N61:O61" si="39">N65</f>
        <v>40124</v>
      </c>
      <c r="O61" s="297">
        <f t="shared" si="39"/>
        <v>40124</v>
      </c>
      <c r="P61" s="337"/>
      <c r="Q61" s="98"/>
      <c r="R61" s="98"/>
      <c r="S61" s="98"/>
    </row>
    <row r="62" spans="1:19" s="9" customFormat="1" ht="37.5" x14ac:dyDescent="0.25">
      <c r="A62" s="442"/>
      <c r="B62" s="443"/>
      <c r="C62" s="394"/>
      <c r="D62" s="151" t="s">
        <v>87</v>
      </c>
      <c r="E62" s="145"/>
      <c r="F62" s="156">
        <f t="shared" si="33"/>
        <v>0</v>
      </c>
      <c r="G62" s="297">
        <f t="shared" ref="G62:I62" si="40">G66</f>
        <v>0</v>
      </c>
      <c r="H62" s="297">
        <f t="shared" si="40"/>
        <v>0</v>
      </c>
      <c r="I62" s="501">
        <f t="shared" si="40"/>
        <v>0</v>
      </c>
      <c r="J62" s="501"/>
      <c r="K62" s="501"/>
      <c r="L62" s="501"/>
      <c r="M62" s="501"/>
      <c r="N62" s="297">
        <f t="shared" ref="N62:O62" si="41">N66</f>
        <v>0</v>
      </c>
      <c r="O62" s="297">
        <f t="shared" si="41"/>
        <v>0</v>
      </c>
      <c r="P62" s="337"/>
      <c r="Q62" s="98"/>
      <c r="R62" s="98"/>
      <c r="S62" s="98"/>
    </row>
    <row r="63" spans="1:19" s="40" customFormat="1" ht="37.5" customHeight="1" x14ac:dyDescent="0.25">
      <c r="A63" s="488" t="s">
        <v>204</v>
      </c>
      <c r="B63" s="490" t="s">
        <v>208</v>
      </c>
      <c r="C63" s="491" t="s">
        <v>207</v>
      </c>
      <c r="D63" s="92" t="s">
        <v>40</v>
      </c>
      <c r="E63" s="134"/>
      <c r="F63" s="156">
        <f>SUM(G63:O63)</f>
        <v>0</v>
      </c>
      <c r="G63" s="134">
        <v>0</v>
      </c>
      <c r="H63" s="239">
        <v>0</v>
      </c>
      <c r="I63" s="505">
        <v>0</v>
      </c>
      <c r="J63" s="505"/>
      <c r="K63" s="505"/>
      <c r="L63" s="505"/>
      <c r="M63" s="505"/>
      <c r="N63" s="134">
        <v>0</v>
      </c>
      <c r="O63" s="134">
        <v>0</v>
      </c>
      <c r="P63" s="508" t="s">
        <v>65</v>
      </c>
      <c r="Q63" s="108"/>
      <c r="R63" s="108"/>
      <c r="S63" s="108"/>
    </row>
    <row r="64" spans="1:19" s="40" customFormat="1" ht="37.5" x14ac:dyDescent="0.25">
      <c r="A64" s="488"/>
      <c r="B64" s="490"/>
      <c r="C64" s="491"/>
      <c r="D64" s="92" t="s">
        <v>1</v>
      </c>
      <c r="E64" s="134"/>
      <c r="F64" s="156">
        <f>SUM(G64:O64)</f>
        <v>0</v>
      </c>
      <c r="G64" s="134">
        <v>0</v>
      </c>
      <c r="H64" s="239">
        <v>0</v>
      </c>
      <c r="I64" s="505">
        <v>0</v>
      </c>
      <c r="J64" s="505"/>
      <c r="K64" s="505"/>
      <c r="L64" s="505"/>
      <c r="M64" s="505"/>
      <c r="N64" s="134">
        <v>0</v>
      </c>
      <c r="O64" s="134">
        <v>0</v>
      </c>
      <c r="P64" s="508"/>
      <c r="Q64" s="108"/>
      <c r="R64" s="108"/>
      <c r="S64" s="108"/>
    </row>
    <row r="65" spans="1:21" s="40" customFormat="1" ht="56.25" x14ac:dyDescent="0.25">
      <c r="A65" s="488"/>
      <c r="B65" s="490"/>
      <c r="C65" s="491"/>
      <c r="D65" s="92" t="s">
        <v>48</v>
      </c>
      <c r="E65" s="134">
        <v>0</v>
      </c>
      <c r="F65" s="156">
        <f>SUM(G65:O65)</f>
        <v>168868.47099999999</v>
      </c>
      <c r="G65" s="134">
        <v>12718.079</v>
      </c>
      <c r="H65" s="290">
        <v>35778.392</v>
      </c>
      <c r="I65" s="361">
        <v>40124</v>
      </c>
      <c r="J65" s="361"/>
      <c r="K65" s="361"/>
      <c r="L65" s="361"/>
      <c r="M65" s="361"/>
      <c r="N65" s="290">
        <v>40124</v>
      </c>
      <c r="O65" s="290">
        <v>40124</v>
      </c>
      <c r="P65" s="508"/>
      <c r="Q65" s="108"/>
      <c r="R65" s="108"/>
      <c r="S65" s="108"/>
    </row>
    <row r="66" spans="1:21" s="40" customFormat="1" ht="37.5" x14ac:dyDescent="0.25">
      <c r="A66" s="488"/>
      <c r="B66" s="490"/>
      <c r="C66" s="491"/>
      <c r="D66" s="92" t="s">
        <v>87</v>
      </c>
      <c r="E66" s="134"/>
      <c r="F66" s="156">
        <f>SUM(G66:O66)</f>
        <v>0</v>
      </c>
      <c r="G66" s="134">
        <v>0</v>
      </c>
      <c r="H66" s="239">
        <v>0</v>
      </c>
      <c r="I66" s="505">
        <v>0</v>
      </c>
      <c r="J66" s="505"/>
      <c r="K66" s="505"/>
      <c r="L66" s="505"/>
      <c r="M66" s="505"/>
      <c r="N66" s="134">
        <v>0</v>
      </c>
      <c r="O66" s="134">
        <v>0</v>
      </c>
      <c r="P66" s="508"/>
      <c r="Q66" s="108"/>
      <c r="R66" s="108"/>
      <c r="S66" s="108"/>
    </row>
    <row r="67" spans="1:21" s="40" customFormat="1" ht="24.75" customHeight="1" x14ac:dyDescent="0.25">
      <c r="A67" s="488"/>
      <c r="B67" s="423" t="s">
        <v>176</v>
      </c>
      <c r="C67" s="387" t="s">
        <v>116</v>
      </c>
      <c r="D67" s="387" t="s">
        <v>116</v>
      </c>
      <c r="E67" s="131"/>
      <c r="F67" s="338" t="s">
        <v>117</v>
      </c>
      <c r="G67" s="132" t="s">
        <v>220</v>
      </c>
      <c r="H67" s="235" t="s">
        <v>221</v>
      </c>
      <c r="I67" s="471" t="s">
        <v>123</v>
      </c>
      <c r="J67" s="472" t="s">
        <v>118</v>
      </c>
      <c r="K67" s="472"/>
      <c r="L67" s="472"/>
      <c r="M67" s="472"/>
      <c r="N67" s="132" t="s">
        <v>124</v>
      </c>
      <c r="O67" s="132" t="s">
        <v>125</v>
      </c>
      <c r="P67" s="335" t="s">
        <v>116</v>
      </c>
      <c r="Q67" s="41"/>
    </row>
    <row r="68" spans="1:21" s="40" customFormat="1" ht="19.5" customHeight="1" x14ac:dyDescent="0.25">
      <c r="A68" s="488"/>
      <c r="B68" s="423"/>
      <c r="C68" s="387"/>
      <c r="D68" s="387"/>
      <c r="E68" s="131"/>
      <c r="F68" s="338"/>
      <c r="G68" s="131"/>
      <c r="H68" s="238"/>
      <c r="I68" s="471"/>
      <c r="J68" s="131" t="s">
        <v>119</v>
      </c>
      <c r="K68" s="131" t="s">
        <v>120</v>
      </c>
      <c r="L68" s="131" t="s">
        <v>121</v>
      </c>
      <c r="M68" s="131" t="s">
        <v>122</v>
      </c>
      <c r="N68" s="131"/>
      <c r="O68" s="131"/>
      <c r="P68" s="335"/>
      <c r="Q68" s="41"/>
    </row>
    <row r="69" spans="1:21" s="40" customFormat="1" ht="22.5" customHeight="1" x14ac:dyDescent="0.25">
      <c r="A69" s="488"/>
      <c r="B69" s="423"/>
      <c r="C69" s="387"/>
      <c r="D69" s="387"/>
      <c r="E69" s="131"/>
      <c r="F69" s="157">
        <v>100</v>
      </c>
      <c r="G69" s="133">
        <v>100</v>
      </c>
      <c r="H69" s="133">
        <v>100</v>
      </c>
      <c r="I69" s="133">
        <v>100</v>
      </c>
      <c r="J69" s="133">
        <v>100</v>
      </c>
      <c r="K69" s="133">
        <v>100</v>
      </c>
      <c r="L69" s="133">
        <v>100</v>
      </c>
      <c r="M69" s="133">
        <v>100</v>
      </c>
      <c r="N69" s="133">
        <v>100</v>
      </c>
      <c r="O69" s="133">
        <v>100</v>
      </c>
      <c r="P69" s="335"/>
      <c r="Q69" s="41"/>
    </row>
    <row r="70" spans="1:21" s="9" customFormat="1" ht="18.75" customHeight="1" x14ac:dyDescent="0.25">
      <c r="A70" s="406" t="s">
        <v>10</v>
      </c>
      <c r="B70" s="360" t="s">
        <v>244</v>
      </c>
      <c r="C70" s="360" t="s">
        <v>46</v>
      </c>
      <c r="D70" s="141" t="s">
        <v>2</v>
      </c>
      <c r="E70" s="142" t="e">
        <f>E72+E73+E71</f>
        <v>#REF!</v>
      </c>
      <c r="F70" s="156">
        <f t="shared" ref="F70:F78" si="42">SUM(G70:O70)</f>
        <v>15267.931240000002</v>
      </c>
      <c r="G70" s="142">
        <f t="shared" ref="G70:H70" si="43">G71+G72+G73+G74</f>
        <v>0</v>
      </c>
      <c r="H70" s="237">
        <f t="shared" si="43"/>
        <v>15267.931240000002</v>
      </c>
      <c r="I70" s="474">
        <f>I71+I72+I73+I74</f>
        <v>0</v>
      </c>
      <c r="J70" s="474"/>
      <c r="K70" s="474"/>
      <c r="L70" s="474"/>
      <c r="M70" s="474"/>
      <c r="N70" s="142">
        <f t="shared" ref="N70:O70" si="44">N71+N72+N73+N74</f>
        <v>0</v>
      </c>
      <c r="O70" s="142">
        <f t="shared" si="44"/>
        <v>0</v>
      </c>
      <c r="P70" s="333"/>
      <c r="Q70" s="109"/>
      <c r="R70" s="109"/>
      <c r="S70" s="109"/>
      <c r="T70" s="45"/>
      <c r="U70" s="45"/>
    </row>
    <row r="71" spans="1:21" s="9" customFormat="1" ht="37.5" x14ac:dyDescent="0.25">
      <c r="A71" s="406"/>
      <c r="B71" s="360"/>
      <c r="C71" s="360"/>
      <c r="D71" s="141" t="s">
        <v>40</v>
      </c>
      <c r="E71" s="143">
        <f>E130</f>
        <v>0</v>
      </c>
      <c r="F71" s="156">
        <f t="shared" si="42"/>
        <v>11309.578670000001</v>
      </c>
      <c r="G71" s="143">
        <f t="shared" ref="G71:H71" si="45">G75</f>
        <v>0</v>
      </c>
      <c r="H71" s="236">
        <f t="shared" si="45"/>
        <v>11309.578670000001</v>
      </c>
      <c r="I71" s="473">
        <f>I75</f>
        <v>0</v>
      </c>
      <c r="J71" s="473"/>
      <c r="K71" s="473"/>
      <c r="L71" s="473"/>
      <c r="M71" s="473"/>
      <c r="N71" s="143">
        <f t="shared" ref="N71:O71" si="46">N75</f>
        <v>0</v>
      </c>
      <c r="O71" s="143">
        <f t="shared" si="46"/>
        <v>0</v>
      </c>
      <c r="P71" s="333"/>
      <c r="Q71" s="109"/>
      <c r="R71" s="109"/>
      <c r="S71" s="109"/>
      <c r="T71" s="45"/>
      <c r="U71" s="45"/>
    </row>
    <row r="72" spans="1:21" s="9" customFormat="1" ht="39.75" customHeight="1" x14ac:dyDescent="0.25">
      <c r="A72" s="406"/>
      <c r="B72" s="360"/>
      <c r="C72" s="360"/>
      <c r="D72" s="141" t="s">
        <v>1</v>
      </c>
      <c r="E72" s="143" t="e">
        <f>#REF!+E75+E76+E112+#REF!+#REF!+E131+E136</f>
        <v>#REF!</v>
      </c>
      <c r="F72" s="156">
        <f t="shared" si="42"/>
        <v>3769.8595700000001</v>
      </c>
      <c r="G72" s="143">
        <f t="shared" ref="G72:H72" si="47">G76</f>
        <v>0</v>
      </c>
      <c r="H72" s="236">
        <f t="shared" si="47"/>
        <v>3769.8595700000001</v>
      </c>
      <c r="I72" s="473">
        <f>I76</f>
        <v>0</v>
      </c>
      <c r="J72" s="473"/>
      <c r="K72" s="473"/>
      <c r="L72" s="473"/>
      <c r="M72" s="473"/>
      <c r="N72" s="143">
        <f t="shared" ref="N72:O72" si="48">N76</f>
        <v>0</v>
      </c>
      <c r="O72" s="143">
        <f t="shared" si="48"/>
        <v>0</v>
      </c>
      <c r="P72" s="333"/>
      <c r="Q72" s="109"/>
      <c r="R72" s="109"/>
      <c r="S72" s="109"/>
      <c r="T72" s="45"/>
      <c r="U72" s="45"/>
    </row>
    <row r="73" spans="1:21" s="9" customFormat="1" ht="58.5" customHeight="1" x14ac:dyDescent="0.25">
      <c r="A73" s="406"/>
      <c r="B73" s="360"/>
      <c r="C73" s="360"/>
      <c r="D73" s="141" t="s">
        <v>48</v>
      </c>
      <c r="E73" s="143" t="e">
        <f>#REF!+E116+#REF!+#REF!+#REF!+E132+E138</f>
        <v>#REF!</v>
      </c>
      <c r="F73" s="156">
        <f t="shared" si="42"/>
        <v>188.49299999999999</v>
      </c>
      <c r="G73" s="143">
        <f t="shared" ref="G73:H73" si="49">G77</f>
        <v>0</v>
      </c>
      <c r="H73" s="236">
        <f t="shared" si="49"/>
        <v>188.49299999999999</v>
      </c>
      <c r="I73" s="473">
        <f>I77</f>
        <v>0</v>
      </c>
      <c r="J73" s="473"/>
      <c r="K73" s="473"/>
      <c r="L73" s="473"/>
      <c r="M73" s="473"/>
      <c r="N73" s="143">
        <f t="shared" ref="N73:O73" si="50">N77</f>
        <v>0</v>
      </c>
      <c r="O73" s="143">
        <f t="shared" si="50"/>
        <v>0</v>
      </c>
      <c r="P73" s="333"/>
      <c r="Q73" s="109"/>
      <c r="R73" s="109"/>
      <c r="S73" s="109"/>
      <c r="T73" s="45"/>
      <c r="U73" s="45"/>
    </row>
    <row r="74" spans="1:21" s="9" customFormat="1" ht="37.5" x14ac:dyDescent="0.25">
      <c r="A74" s="406"/>
      <c r="B74" s="360"/>
      <c r="C74" s="360"/>
      <c r="D74" s="141" t="s">
        <v>87</v>
      </c>
      <c r="E74" s="143"/>
      <c r="F74" s="156">
        <f t="shared" si="42"/>
        <v>0</v>
      </c>
      <c r="G74" s="143">
        <f t="shared" ref="G74:H74" si="51">G78</f>
        <v>0</v>
      </c>
      <c r="H74" s="236">
        <f t="shared" si="51"/>
        <v>0</v>
      </c>
      <c r="I74" s="473">
        <f>I78</f>
        <v>0</v>
      </c>
      <c r="J74" s="473"/>
      <c r="K74" s="473"/>
      <c r="L74" s="473"/>
      <c r="M74" s="473"/>
      <c r="N74" s="143">
        <f t="shared" ref="N74:O74" si="52">N78</f>
        <v>0</v>
      </c>
      <c r="O74" s="143">
        <f t="shared" si="52"/>
        <v>0</v>
      </c>
      <c r="P74" s="333"/>
      <c r="Q74" s="109"/>
      <c r="R74" s="109"/>
      <c r="S74" s="109"/>
      <c r="T74" s="45"/>
      <c r="U74" s="45"/>
    </row>
    <row r="75" spans="1:21" s="40" customFormat="1" ht="37.5" x14ac:dyDescent="0.25">
      <c r="A75" s="422" t="s">
        <v>58</v>
      </c>
      <c r="B75" s="447" t="s">
        <v>111</v>
      </c>
      <c r="C75" s="393" t="s">
        <v>46</v>
      </c>
      <c r="D75" s="92" t="s">
        <v>40</v>
      </c>
      <c r="E75" s="118">
        <v>200475</v>
      </c>
      <c r="F75" s="156">
        <f t="shared" si="42"/>
        <v>11309.578670000001</v>
      </c>
      <c r="G75" s="118">
        <v>0</v>
      </c>
      <c r="H75" s="234">
        <v>11309.578670000001</v>
      </c>
      <c r="I75" s="330">
        <v>0</v>
      </c>
      <c r="J75" s="330"/>
      <c r="K75" s="330"/>
      <c r="L75" s="330"/>
      <c r="M75" s="330"/>
      <c r="N75" s="118">
        <v>0</v>
      </c>
      <c r="O75" s="118">
        <v>0</v>
      </c>
      <c r="P75" s="329" t="s">
        <v>3</v>
      </c>
      <c r="Q75" s="108"/>
      <c r="R75" s="108"/>
      <c r="S75" s="108"/>
    </row>
    <row r="76" spans="1:21" s="40" customFormat="1" ht="37.5" x14ac:dyDescent="0.25">
      <c r="A76" s="422"/>
      <c r="B76" s="447"/>
      <c r="C76" s="393"/>
      <c r="D76" s="92" t="s">
        <v>1</v>
      </c>
      <c r="E76" s="118">
        <v>93</v>
      </c>
      <c r="F76" s="156">
        <f t="shared" si="42"/>
        <v>3769.8595700000001</v>
      </c>
      <c r="G76" s="118">
        <v>0</v>
      </c>
      <c r="H76" s="234">
        <v>3769.8595700000001</v>
      </c>
      <c r="I76" s="330">
        <v>0</v>
      </c>
      <c r="J76" s="330"/>
      <c r="K76" s="330"/>
      <c r="L76" s="330"/>
      <c r="M76" s="330"/>
      <c r="N76" s="118">
        <v>0</v>
      </c>
      <c r="O76" s="118">
        <v>0</v>
      </c>
      <c r="P76" s="329"/>
      <c r="Q76" s="108"/>
      <c r="R76" s="108"/>
      <c r="S76" s="108"/>
    </row>
    <row r="77" spans="1:21" s="40" customFormat="1" ht="56.25" x14ac:dyDescent="0.25">
      <c r="A77" s="422"/>
      <c r="B77" s="447"/>
      <c r="C77" s="393"/>
      <c r="D77" s="92" t="s">
        <v>47</v>
      </c>
      <c r="E77" s="118"/>
      <c r="F77" s="156">
        <f t="shared" si="42"/>
        <v>188.49299999999999</v>
      </c>
      <c r="G77" s="118">
        <v>0</v>
      </c>
      <c r="H77" s="234">
        <v>188.49299999999999</v>
      </c>
      <c r="I77" s="330">
        <v>0</v>
      </c>
      <c r="J77" s="330"/>
      <c r="K77" s="330"/>
      <c r="L77" s="330"/>
      <c r="M77" s="330"/>
      <c r="N77" s="118">
        <v>0</v>
      </c>
      <c r="O77" s="118">
        <v>0</v>
      </c>
      <c r="P77" s="329"/>
      <c r="Q77" s="108"/>
      <c r="R77" s="108"/>
      <c r="S77" s="108"/>
    </row>
    <row r="78" spans="1:21" s="40" customFormat="1" ht="37.5" x14ac:dyDescent="0.25">
      <c r="A78" s="422"/>
      <c r="B78" s="447"/>
      <c r="C78" s="393"/>
      <c r="D78" s="92" t="s">
        <v>87</v>
      </c>
      <c r="E78" s="118"/>
      <c r="F78" s="156">
        <f t="shared" si="42"/>
        <v>0</v>
      </c>
      <c r="G78" s="118">
        <v>0</v>
      </c>
      <c r="H78" s="234">
        <v>0</v>
      </c>
      <c r="I78" s="469">
        <v>0</v>
      </c>
      <c r="J78" s="469"/>
      <c r="K78" s="469"/>
      <c r="L78" s="469"/>
      <c r="M78" s="469"/>
      <c r="N78" s="118">
        <v>0</v>
      </c>
      <c r="O78" s="118">
        <v>0</v>
      </c>
      <c r="P78" s="329"/>
      <c r="Q78" s="108"/>
      <c r="R78" s="108"/>
      <c r="S78" s="108"/>
    </row>
    <row r="79" spans="1:21" s="40" customFormat="1" ht="25.5" customHeight="1" x14ac:dyDescent="0.25">
      <c r="A79" s="422"/>
      <c r="B79" s="423" t="s">
        <v>177</v>
      </c>
      <c r="C79" s="387" t="s">
        <v>116</v>
      </c>
      <c r="D79" s="387" t="s">
        <v>116</v>
      </c>
      <c r="E79" s="131"/>
      <c r="F79" s="338" t="s">
        <v>117</v>
      </c>
      <c r="G79" s="132" t="s">
        <v>220</v>
      </c>
      <c r="H79" s="235" t="s">
        <v>221</v>
      </c>
      <c r="I79" s="471" t="s">
        <v>123</v>
      </c>
      <c r="J79" s="472" t="s">
        <v>118</v>
      </c>
      <c r="K79" s="472"/>
      <c r="L79" s="472"/>
      <c r="M79" s="472"/>
      <c r="N79" s="132" t="s">
        <v>124</v>
      </c>
      <c r="O79" s="132" t="s">
        <v>125</v>
      </c>
      <c r="P79" s="335" t="s">
        <v>116</v>
      </c>
      <c r="Q79" s="41"/>
    </row>
    <row r="80" spans="1:21" s="40" customFormat="1" ht="18.75" customHeight="1" x14ac:dyDescent="0.25">
      <c r="A80" s="422"/>
      <c r="B80" s="423"/>
      <c r="C80" s="387"/>
      <c r="D80" s="387"/>
      <c r="E80" s="131"/>
      <c r="F80" s="338"/>
      <c r="G80" s="131"/>
      <c r="H80" s="238"/>
      <c r="I80" s="471"/>
      <c r="J80" s="131" t="s">
        <v>119</v>
      </c>
      <c r="K80" s="131" t="s">
        <v>120</v>
      </c>
      <c r="L80" s="131" t="s">
        <v>121</v>
      </c>
      <c r="M80" s="131" t="s">
        <v>122</v>
      </c>
      <c r="N80" s="131"/>
      <c r="O80" s="131"/>
      <c r="P80" s="335"/>
      <c r="Q80" s="41"/>
    </row>
    <row r="81" spans="1:26" s="40" customFormat="1" ht="23.25" customHeight="1" x14ac:dyDescent="0.25">
      <c r="A81" s="422"/>
      <c r="B81" s="423"/>
      <c r="C81" s="387"/>
      <c r="D81" s="387"/>
      <c r="E81" s="131"/>
      <c r="F81" s="157">
        <f>I81+G81+H81+N81+O81</f>
        <v>1</v>
      </c>
      <c r="G81" s="133">
        <v>0</v>
      </c>
      <c r="H81" s="133">
        <v>1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335"/>
      <c r="Q81" s="41"/>
    </row>
    <row r="82" spans="1:26" s="9" customFormat="1" ht="18.75" customHeight="1" x14ac:dyDescent="0.25">
      <c r="A82" s="406" t="s">
        <v>12</v>
      </c>
      <c r="B82" s="360" t="s">
        <v>149</v>
      </c>
      <c r="C82" s="360" t="s">
        <v>45</v>
      </c>
      <c r="D82" s="141" t="s">
        <v>2</v>
      </c>
      <c r="E82" s="142" t="e">
        <f>E84+E85+E83</f>
        <v>#REF!</v>
      </c>
      <c r="F82" s="156">
        <f t="shared" ref="F82:F90" si="53">SUM(G82:O82)</f>
        <v>799.83450000000005</v>
      </c>
      <c r="G82" s="142">
        <f t="shared" ref="G82:H82" si="54">G83+G84+G85+G86</f>
        <v>799.83450000000005</v>
      </c>
      <c r="H82" s="237">
        <f t="shared" si="54"/>
        <v>0</v>
      </c>
      <c r="I82" s="474">
        <f>I83+I84+I85+I86</f>
        <v>0</v>
      </c>
      <c r="J82" s="474"/>
      <c r="K82" s="474"/>
      <c r="L82" s="474"/>
      <c r="M82" s="474"/>
      <c r="N82" s="142">
        <f t="shared" ref="N82:O82" si="55">N83+N84+N85+N86</f>
        <v>0</v>
      </c>
      <c r="O82" s="142">
        <f t="shared" si="55"/>
        <v>0</v>
      </c>
      <c r="P82" s="333"/>
      <c r="Q82" s="109"/>
      <c r="R82" s="109"/>
      <c r="S82" s="109"/>
      <c r="T82" s="45"/>
      <c r="U82" s="45"/>
    </row>
    <row r="83" spans="1:26" s="9" customFormat="1" ht="37.5" x14ac:dyDescent="0.25">
      <c r="A83" s="406"/>
      <c r="B83" s="360"/>
      <c r="C83" s="360"/>
      <c r="D83" s="141" t="s">
        <v>40</v>
      </c>
      <c r="E83" s="143">
        <f>E121</f>
        <v>0</v>
      </c>
      <c r="F83" s="156">
        <f t="shared" si="53"/>
        <v>592.47</v>
      </c>
      <c r="G83" s="143">
        <f t="shared" ref="G83:H83" si="56">G87</f>
        <v>592.47</v>
      </c>
      <c r="H83" s="236">
        <f t="shared" si="56"/>
        <v>0</v>
      </c>
      <c r="I83" s="473">
        <f>I87</f>
        <v>0</v>
      </c>
      <c r="J83" s="473"/>
      <c r="K83" s="473"/>
      <c r="L83" s="473"/>
      <c r="M83" s="473"/>
      <c r="N83" s="143">
        <f t="shared" ref="N83:O83" si="57">N87</f>
        <v>0</v>
      </c>
      <c r="O83" s="143">
        <f t="shared" si="57"/>
        <v>0</v>
      </c>
      <c r="P83" s="333"/>
      <c r="Q83" s="109"/>
      <c r="R83" s="109"/>
      <c r="S83" s="109"/>
      <c r="T83" s="45"/>
      <c r="U83" s="45"/>
    </row>
    <row r="84" spans="1:26" s="9" customFormat="1" ht="39.75" customHeight="1" x14ac:dyDescent="0.25">
      <c r="A84" s="406"/>
      <c r="B84" s="360"/>
      <c r="C84" s="360"/>
      <c r="D84" s="141" t="s">
        <v>1</v>
      </c>
      <c r="E84" s="143" t="e">
        <f>#REF!+E87+E88+#REF!+#REF!+#REF!+E122+E127</f>
        <v>#REF!</v>
      </c>
      <c r="F84" s="156">
        <f t="shared" si="53"/>
        <v>197.49</v>
      </c>
      <c r="G84" s="143">
        <f t="shared" ref="G84:H84" si="58">G88</f>
        <v>197.49</v>
      </c>
      <c r="H84" s="236">
        <f t="shared" si="58"/>
        <v>0</v>
      </c>
      <c r="I84" s="473">
        <f>I88</f>
        <v>0</v>
      </c>
      <c r="J84" s="473"/>
      <c r="K84" s="473"/>
      <c r="L84" s="473"/>
      <c r="M84" s="473"/>
      <c r="N84" s="143">
        <f t="shared" ref="N84:O84" si="59">N88</f>
        <v>0</v>
      </c>
      <c r="O84" s="143">
        <f t="shared" si="59"/>
        <v>0</v>
      </c>
      <c r="P84" s="333"/>
      <c r="Q84" s="109"/>
      <c r="R84" s="109"/>
      <c r="S84" s="109"/>
      <c r="T84" s="45"/>
      <c r="U84" s="45"/>
    </row>
    <row r="85" spans="1:26" s="9" customFormat="1" ht="58.5" customHeight="1" x14ac:dyDescent="0.25">
      <c r="A85" s="406"/>
      <c r="B85" s="360"/>
      <c r="C85" s="360"/>
      <c r="D85" s="141" t="s">
        <v>48</v>
      </c>
      <c r="E85" s="143" t="e">
        <f>#REF!+E106+#REF!+#REF!+#REF!+E123+E129</f>
        <v>#REF!</v>
      </c>
      <c r="F85" s="156">
        <f t="shared" si="53"/>
        <v>9.8744999999999994</v>
      </c>
      <c r="G85" s="143">
        <f t="shared" ref="G85:H85" si="60">G89</f>
        <v>9.8744999999999994</v>
      </c>
      <c r="H85" s="236">
        <f t="shared" si="60"/>
        <v>0</v>
      </c>
      <c r="I85" s="473">
        <f>I89</f>
        <v>0</v>
      </c>
      <c r="J85" s="473"/>
      <c r="K85" s="473"/>
      <c r="L85" s="473"/>
      <c r="M85" s="473"/>
      <c r="N85" s="143">
        <f t="shared" ref="N85:O85" si="61">N89</f>
        <v>0</v>
      </c>
      <c r="O85" s="143">
        <f t="shared" si="61"/>
        <v>0</v>
      </c>
      <c r="P85" s="333"/>
      <c r="Q85" s="109"/>
      <c r="R85" s="109"/>
      <c r="S85" s="109"/>
      <c r="T85" s="45"/>
      <c r="U85" s="45"/>
    </row>
    <row r="86" spans="1:26" s="9" customFormat="1" ht="37.5" x14ac:dyDescent="0.25">
      <c r="A86" s="406"/>
      <c r="B86" s="360"/>
      <c r="C86" s="360"/>
      <c r="D86" s="141" t="s">
        <v>87</v>
      </c>
      <c r="E86" s="143"/>
      <c r="F86" s="156">
        <f t="shared" si="53"/>
        <v>0</v>
      </c>
      <c r="G86" s="143">
        <f t="shared" ref="G86:H86" si="62">G90</f>
        <v>0</v>
      </c>
      <c r="H86" s="236">
        <f t="shared" si="62"/>
        <v>0</v>
      </c>
      <c r="I86" s="473">
        <f>I90</f>
        <v>0</v>
      </c>
      <c r="J86" s="473"/>
      <c r="K86" s="473"/>
      <c r="L86" s="473"/>
      <c r="M86" s="473"/>
      <c r="N86" s="143">
        <f t="shared" ref="N86:O86" si="63">N90</f>
        <v>0</v>
      </c>
      <c r="O86" s="143">
        <f t="shared" si="63"/>
        <v>0</v>
      </c>
      <c r="P86" s="333"/>
      <c r="Q86" s="109"/>
      <c r="R86" s="109"/>
      <c r="S86" s="109"/>
      <c r="T86" s="45"/>
      <c r="U86" s="45"/>
    </row>
    <row r="87" spans="1:26" s="40" customFormat="1" ht="37.5" customHeight="1" x14ac:dyDescent="0.25">
      <c r="A87" s="422" t="s">
        <v>106</v>
      </c>
      <c r="B87" s="447" t="s">
        <v>110</v>
      </c>
      <c r="C87" s="393" t="s">
        <v>45</v>
      </c>
      <c r="D87" s="92" t="s">
        <v>40</v>
      </c>
      <c r="E87" s="118">
        <v>200475</v>
      </c>
      <c r="F87" s="156">
        <f t="shared" si="53"/>
        <v>592.47</v>
      </c>
      <c r="G87" s="118">
        <v>592.47</v>
      </c>
      <c r="H87" s="234">
        <f>202841-202841</f>
        <v>0</v>
      </c>
      <c r="I87" s="469">
        <v>0</v>
      </c>
      <c r="J87" s="469"/>
      <c r="K87" s="469"/>
      <c r="L87" s="469"/>
      <c r="M87" s="469"/>
      <c r="N87" s="118">
        <v>0</v>
      </c>
      <c r="O87" s="118">
        <v>0</v>
      </c>
      <c r="P87" s="329" t="s">
        <v>3</v>
      </c>
      <c r="Q87" s="108"/>
      <c r="R87" s="108"/>
      <c r="S87" s="108"/>
    </row>
    <row r="88" spans="1:26" s="40" customFormat="1" ht="37.5" x14ac:dyDescent="0.25">
      <c r="A88" s="422"/>
      <c r="B88" s="447"/>
      <c r="C88" s="393"/>
      <c r="D88" s="92" t="s">
        <v>1</v>
      </c>
      <c r="E88" s="118">
        <v>93</v>
      </c>
      <c r="F88" s="156">
        <f t="shared" si="53"/>
        <v>197.49</v>
      </c>
      <c r="G88" s="118">
        <v>197.49</v>
      </c>
      <c r="H88" s="234">
        <v>0</v>
      </c>
      <c r="I88" s="469">
        <v>0</v>
      </c>
      <c r="J88" s="469"/>
      <c r="K88" s="469"/>
      <c r="L88" s="469"/>
      <c r="M88" s="469"/>
      <c r="N88" s="118">
        <v>0</v>
      </c>
      <c r="O88" s="118">
        <v>0</v>
      </c>
      <c r="P88" s="329"/>
      <c r="Q88" s="108"/>
      <c r="R88" s="108"/>
      <c r="S88" s="108"/>
    </row>
    <row r="89" spans="1:26" s="40" customFormat="1" ht="56.25" x14ac:dyDescent="0.25">
      <c r="A89" s="422"/>
      <c r="B89" s="447"/>
      <c r="C89" s="393"/>
      <c r="D89" s="92" t="s">
        <v>47</v>
      </c>
      <c r="E89" s="118"/>
      <c r="F89" s="156">
        <f t="shared" si="53"/>
        <v>9.8744999999999994</v>
      </c>
      <c r="G89" s="118">
        <v>9.8744999999999994</v>
      </c>
      <c r="H89" s="234">
        <v>0</v>
      </c>
      <c r="I89" s="469">
        <v>0</v>
      </c>
      <c r="J89" s="469"/>
      <c r="K89" s="469"/>
      <c r="L89" s="469"/>
      <c r="M89" s="469"/>
      <c r="N89" s="118">
        <v>0</v>
      </c>
      <c r="O89" s="118">
        <v>0</v>
      </c>
      <c r="P89" s="329"/>
      <c r="Q89" s="108"/>
      <c r="R89" s="108"/>
      <c r="S89" s="108"/>
    </row>
    <row r="90" spans="1:26" s="40" customFormat="1" ht="37.5" x14ac:dyDescent="0.25">
      <c r="A90" s="422"/>
      <c r="B90" s="447"/>
      <c r="C90" s="393"/>
      <c r="D90" s="92" t="s">
        <v>87</v>
      </c>
      <c r="E90" s="118"/>
      <c r="F90" s="156">
        <f t="shared" si="53"/>
        <v>0</v>
      </c>
      <c r="G90" s="118">
        <v>0</v>
      </c>
      <c r="H90" s="234">
        <v>0</v>
      </c>
      <c r="I90" s="469">
        <v>0</v>
      </c>
      <c r="J90" s="469"/>
      <c r="K90" s="469"/>
      <c r="L90" s="469"/>
      <c r="M90" s="469"/>
      <c r="N90" s="118">
        <v>0</v>
      </c>
      <c r="O90" s="118">
        <v>0</v>
      </c>
      <c r="P90" s="329"/>
      <c r="Q90" s="108"/>
      <c r="R90" s="108"/>
      <c r="S90" s="108"/>
    </row>
    <row r="91" spans="1:26" s="40" customFormat="1" ht="21" customHeight="1" x14ac:dyDescent="0.25">
      <c r="A91" s="422"/>
      <c r="B91" s="423" t="s">
        <v>216</v>
      </c>
      <c r="C91" s="387" t="s">
        <v>116</v>
      </c>
      <c r="D91" s="387" t="s">
        <v>116</v>
      </c>
      <c r="E91" s="131"/>
      <c r="F91" s="338" t="s">
        <v>117</v>
      </c>
      <c r="G91" s="132" t="s">
        <v>220</v>
      </c>
      <c r="H91" s="235" t="s">
        <v>221</v>
      </c>
      <c r="I91" s="471" t="s">
        <v>123</v>
      </c>
      <c r="J91" s="472" t="s">
        <v>118</v>
      </c>
      <c r="K91" s="472"/>
      <c r="L91" s="472"/>
      <c r="M91" s="472"/>
      <c r="N91" s="132" t="s">
        <v>124</v>
      </c>
      <c r="O91" s="132" t="s">
        <v>125</v>
      </c>
      <c r="P91" s="335" t="s">
        <v>116</v>
      </c>
      <c r="Q91" s="41"/>
    </row>
    <row r="92" spans="1:26" s="40" customFormat="1" ht="21" customHeight="1" x14ac:dyDescent="0.25">
      <c r="A92" s="422"/>
      <c r="B92" s="423"/>
      <c r="C92" s="387"/>
      <c r="D92" s="387"/>
      <c r="E92" s="131"/>
      <c r="F92" s="338"/>
      <c r="G92" s="131"/>
      <c r="H92" s="238"/>
      <c r="I92" s="471"/>
      <c r="J92" s="131" t="s">
        <v>119</v>
      </c>
      <c r="K92" s="131" t="s">
        <v>120</v>
      </c>
      <c r="L92" s="131" t="s">
        <v>121</v>
      </c>
      <c r="M92" s="131" t="s">
        <v>122</v>
      </c>
      <c r="N92" s="131"/>
      <c r="O92" s="131"/>
      <c r="P92" s="335"/>
      <c r="Q92" s="41"/>
    </row>
    <row r="93" spans="1:26" s="40" customFormat="1" ht="28.5" customHeight="1" x14ac:dyDescent="0.25">
      <c r="A93" s="422"/>
      <c r="B93" s="423"/>
      <c r="C93" s="387"/>
      <c r="D93" s="387"/>
      <c r="E93" s="131"/>
      <c r="F93" s="157">
        <v>13</v>
      </c>
      <c r="G93" s="133">
        <v>13</v>
      </c>
      <c r="H93" s="133">
        <v>13</v>
      </c>
      <c r="I93" s="189">
        <v>0</v>
      </c>
      <c r="J93" s="189">
        <v>0</v>
      </c>
      <c r="K93" s="189">
        <v>0</v>
      </c>
      <c r="L93" s="189">
        <v>0</v>
      </c>
      <c r="M93" s="189">
        <v>0</v>
      </c>
      <c r="N93" s="133">
        <v>0</v>
      </c>
      <c r="O93" s="133">
        <v>0</v>
      </c>
      <c r="P93" s="335"/>
      <c r="Q93" s="41"/>
    </row>
    <row r="94" spans="1:26" s="9" customFormat="1" ht="46.5" customHeight="1" x14ac:dyDescent="0.25">
      <c r="A94" s="470" t="s">
        <v>183</v>
      </c>
      <c r="B94" s="470"/>
      <c r="C94" s="470"/>
      <c r="D94" s="470"/>
      <c r="E94" s="168" t="e">
        <f>E95+E96+E97+E99</f>
        <v>#REF!</v>
      </c>
      <c r="F94" s="170">
        <f t="shared" ref="F94:F99" si="64">SUM(G94:O94)</f>
        <v>842962.82734999992</v>
      </c>
      <c r="G94" s="168">
        <f t="shared" ref="G94:H94" si="65">G95+G96+G97+G98</f>
        <v>135554.28376000002</v>
      </c>
      <c r="H94" s="168">
        <f t="shared" si="65"/>
        <v>183362.95158999995</v>
      </c>
      <c r="I94" s="474">
        <f>I95+I96+I97+I98</f>
        <v>174681.864</v>
      </c>
      <c r="J94" s="474"/>
      <c r="K94" s="474"/>
      <c r="L94" s="474"/>
      <c r="M94" s="474"/>
      <c r="N94" s="168">
        <f t="shared" ref="N94:O94" si="66">N95+N96+N97+N98</f>
        <v>174681.864</v>
      </c>
      <c r="O94" s="168">
        <f t="shared" si="66"/>
        <v>174681.864</v>
      </c>
      <c r="P94" s="169"/>
      <c r="Q94" s="100"/>
      <c r="R94" s="100"/>
      <c r="S94" s="100"/>
      <c r="W94" s="45"/>
      <c r="X94" s="45"/>
      <c r="Y94" s="45"/>
      <c r="Z94" s="45"/>
    </row>
    <row r="95" spans="1:26" ht="18.75" x14ac:dyDescent="0.25">
      <c r="A95" s="382" t="s">
        <v>40</v>
      </c>
      <c r="B95" s="382"/>
      <c r="C95" s="382"/>
      <c r="D95" s="382"/>
      <c r="E95" s="48" t="e">
        <f>#REF!+#REF!+#REF!</f>
        <v>#REF!</v>
      </c>
      <c r="F95" s="170">
        <f t="shared" si="64"/>
        <v>11902.04867</v>
      </c>
      <c r="G95" s="48">
        <f>G7+G19+G59+G83+G71+G47</f>
        <v>592.47</v>
      </c>
      <c r="H95" s="48">
        <f>H7+H19+H59+H83+H71+H47</f>
        <v>11309.578670000001</v>
      </c>
      <c r="I95" s="469">
        <f>I7+I19+I59+I83+I71+I47</f>
        <v>0</v>
      </c>
      <c r="J95" s="469"/>
      <c r="K95" s="469"/>
      <c r="L95" s="469"/>
      <c r="M95" s="469"/>
      <c r="N95" s="48">
        <f>N7+N19+N59+N83+N71+N47</f>
        <v>0</v>
      </c>
      <c r="O95" s="48">
        <f>O7+O19+O59+O83+O71+O47</f>
        <v>0</v>
      </c>
      <c r="P95" s="13"/>
      <c r="Q95" s="35"/>
      <c r="R95" s="35"/>
      <c r="S95" s="35"/>
      <c r="T95" s="35" t="e">
        <f>#REF!+#REF!+#REF!+#REF!</f>
        <v>#REF!</v>
      </c>
      <c r="U95" s="35"/>
      <c r="W95" s="45"/>
      <c r="X95" s="45"/>
      <c r="Y95" s="45"/>
      <c r="Z95" s="45"/>
    </row>
    <row r="96" spans="1:26" ht="23.25" customHeight="1" x14ac:dyDescent="0.25">
      <c r="A96" s="382" t="s">
        <v>1</v>
      </c>
      <c r="B96" s="382"/>
      <c r="C96" s="382"/>
      <c r="D96" s="382"/>
      <c r="E96" s="48" t="e">
        <f>E60+#REF!+#REF!+#REF!+#REF!</f>
        <v>#REF!</v>
      </c>
      <c r="F96" s="170">
        <f t="shared" si="64"/>
        <v>10230.34957</v>
      </c>
      <c r="G96" s="48">
        <f t="shared" ref="G96:I98" si="67">G8+G20+G60+G84+G72+G48</f>
        <v>530.49</v>
      </c>
      <c r="H96" s="48">
        <f t="shared" si="67"/>
        <v>9699.8595700000005</v>
      </c>
      <c r="I96" s="469">
        <f t="shared" si="67"/>
        <v>0</v>
      </c>
      <c r="J96" s="469"/>
      <c r="K96" s="469"/>
      <c r="L96" s="469"/>
      <c r="M96" s="469"/>
      <c r="N96" s="48">
        <f t="shared" ref="N96:O96" si="68">N8+N20+N60+N84+N72+N48</f>
        <v>0</v>
      </c>
      <c r="O96" s="48">
        <f t="shared" si="68"/>
        <v>0</v>
      </c>
      <c r="P96" s="13"/>
      <c r="Q96" s="35"/>
      <c r="R96" s="35"/>
      <c r="S96" s="35"/>
      <c r="T96" s="35" t="e">
        <f>#REF!+#REF!+#REF!+#REF!</f>
        <v>#REF!</v>
      </c>
      <c r="U96" s="35"/>
      <c r="W96" s="45"/>
      <c r="X96" s="45"/>
      <c r="Y96" s="45"/>
      <c r="Z96" s="45"/>
    </row>
    <row r="97" spans="1:31" ht="29.25" customHeight="1" x14ac:dyDescent="0.25">
      <c r="A97" s="382" t="s">
        <v>48</v>
      </c>
      <c r="B97" s="382"/>
      <c r="C97" s="382"/>
      <c r="D97" s="382"/>
      <c r="E97" s="48" t="e">
        <f>E9+E21+E61+#REF!+#REF!+#REF!+#REF!+#REF!+#REF!</f>
        <v>#REF!</v>
      </c>
      <c r="F97" s="170">
        <f t="shared" si="64"/>
        <v>704600.03711000003</v>
      </c>
      <c r="G97" s="48">
        <f t="shared" si="67"/>
        <v>113176.13176</v>
      </c>
      <c r="H97" s="48">
        <f t="shared" si="67"/>
        <v>138774.71334999998</v>
      </c>
      <c r="I97" s="469">
        <f t="shared" si="67"/>
        <v>150883.06400000001</v>
      </c>
      <c r="J97" s="469"/>
      <c r="K97" s="469"/>
      <c r="L97" s="469"/>
      <c r="M97" s="469"/>
      <c r="N97" s="48">
        <f t="shared" ref="N97:O97" si="69">N9+N21+N61+N85+N73+N49</f>
        <v>150883.06400000001</v>
      </c>
      <c r="O97" s="48">
        <f t="shared" si="69"/>
        <v>150883.06400000001</v>
      </c>
      <c r="P97" s="13"/>
      <c r="Q97" s="271">
        <f>I97</f>
        <v>150883.06400000001</v>
      </c>
      <c r="R97" s="35"/>
      <c r="S97" s="35"/>
      <c r="T97" s="35" t="e">
        <f>#REF!+#REF!+#REF!+#REF!+#REF!+#REF!+#REF!+#REF!+#REF!+#REF!+#REF!</f>
        <v>#REF!</v>
      </c>
      <c r="U97" s="35"/>
      <c r="W97" s="45"/>
      <c r="X97" s="45"/>
      <c r="Y97" s="45"/>
      <c r="Z97" s="45"/>
    </row>
    <row r="98" spans="1:31" ht="24.75" customHeight="1" x14ac:dyDescent="0.25">
      <c r="A98" s="382" t="s">
        <v>87</v>
      </c>
      <c r="B98" s="382"/>
      <c r="C98" s="382"/>
      <c r="D98" s="382"/>
      <c r="E98" s="48"/>
      <c r="F98" s="170">
        <f t="shared" si="64"/>
        <v>116230.39200000001</v>
      </c>
      <c r="G98" s="48">
        <f t="shared" si="67"/>
        <v>21255.191999999999</v>
      </c>
      <c r="H98" s="48">
        <f t="shared" si="67"/>
        <v>23578.799999999999</v>
      </c>
      <c r="I98" s="469">
        <f t="shared" si="67"/>
        <v>23798.799999999999</v>
      </c>
      <c r="J98" s="469"/>
      <c r="K98" s="469"/>
      <c r="L98" s="469"/>
      <c r="M98" s="469"/>
      <c r="N98" s="48">
        <f t="shared" ref="N98:O98" si="70">N10+N22+N62+N86+N74+N50</f>
        <v>23798.799999999999</v>
      </c>
      <c r="O98" s="48">
        <f t="shared" si="70"/>
        <v>23798.799999999999</v>
      </c>
      <c r="P98" s="13"/>
      <c r="Q98" s="35"/>
      <c r="R98" s="35"/>
      <c r="S98" s="35"/>
      <c r="T98" s="35"/>
      <c r="U98" s="35"/>
      <c r="W98" s="45"/>
      <c r="X98" s="45"/>
      <c r="Y98" s="45"/>
      <c r="Z98" s="45"/>
    </row>
    <row r="99" spans="1:31" ht="35.25" customHeight="1" x14ac:dyDescent="0.3">
      <c r="A99" s="452" t="s">
        <v>88</v>
      </c>
      <c r="B99" s="452"/>
      <c r="C99" s="452"/>
      <c r="D99" s="452"/>
      <c r="E99" s="93">
        <f>E23</f>
        <v>13879.4</v>
      </c>
      <c r="F99" s="170">
        <f t="shared" si="64"/>
        <v>116230.39200000001</v>
      </c>
      <c r="G99" s="93">
        <f>G23</f>
        <v>21255.191999999999</v>
      </c>
      <c r="H99" s="93">
        <f>H23</f>
        <v>23578.799999999999</v>
      </c>
      <c r="I99" s="481">
        <f>I23</f>
        <v>23798.799999999999</v>
      </c>
      <c r="J99" s="481"/>
      <c r="K99" s="481"/>
      <c r="L99" s="481"/>
      <c r="M99" s="481"/>
      <c r="N99" s="93">
        <f>N23</f>
        <v>23798.799999999999</v>
      </c>
      <c r="O99" s="93">
        <f>O23</f>
        <v>23798.799999999999</v>
      </c>
      <c r="P99" s="6"/>
      <c r="Q99" s="34"/>
      <c r="R99" s="34"/>
      <c r="S99" s="34"/>
      <c r="T99" s="34" t="e">
        <f>#REF!+#REF!</f>
        <v>#REF!</v>
      </c>
      <c r="U99" s="53"/>
      <c r="W99" s="45"/>
      <c r="X99" s="45"/>
      <c r="Y99" s="45"/>
      <c r="Z99" s="45"/>
    </row>
    <row r="100" spans="1:31" x14ac:dyDescent="0.25">
      <c r="F100" s="171"/>
      <c r="H100" s="50"/>
      <c r="N100" s="46"/>
      <c r="O100" s="46"/>
    </row>
    <row r="101" spans="1:31" x14ac:dyDescent="0.25">
      <c r="G101" s="39"/>
      <c r="H101" s="50"/>
      <c r="N101" s="46"/>
      <c r="O101" s="46"/>
    </row>
    <row r="102" spans="1:31" ht="18.75" x14ac:dyDescent="0.3">
      <c r="B102" s="482" t="s">
        <v>19</v>
      </c>
      <c r="C102" s="483"/>
      <c r="D102" s="483"/>
      <c r="E102" s="56">
        <v>0</v>
      </c>
      <c r="F102" s="57">
        <f t="shared" ref="F102:F110" si="71">SUM(I102:O102)</f>
        <v>0</v>
      </c>
      <c r="G102" s="56">
        <v>0</v>
      </c>
      <c r="H102" s="56">
        <v>0</v>
      </c>
      <c r="I102" s="475">
        <v>0</v>
      </c>
      <c r="J102" s="476"/>
      <c r="K102" s="476"/>
      <c r="L102" s="476"/>
      <c r="M102" s="477"/>
      <c r="N102" s="56">
        <v>0</v>
      </c>
      <c r="O102" s="56">
        <v>0</v>
      </c>
      <c r="P102" s="46"/>
      <c r="U102" s="1"/>
      <c r="V102" s="1"/>
      <c r="W102" s="46"/>
      <c r="X102" s="46"/>
      <c r="Y102" s="1"/>
      <c r="Z102" s="1"/>
      <c r="AA102" s="1"/>
      <c r="AB102" s="1"/>
      <c r="AC102" s="1"/>
      <c r="AD102" s="1"/>
      <c r="AE102" s="1"/>
    </row>
    <row r="103" spans="1:31" ht="18.75" x14ac:dyDescent="0.3">
      <c r="B103" s="482" t="s">
        <v>21</v>
      </c>
      <c r="C103" s="483"/>
      <c r="D103" s="483"/>
      <c r="E103" s="56">
        <v>0</v>
      </c>
      <c r="F103" s="57">
        <f t="shared" si="71"/>
        <v>495</v>
      </c>
      <c r="G103" s="56">
        <v>165</v>
      </c>
      <c r="H103" s="56">
        <v>165</v>
      </c>
      <c r="I103" s="475">
        <v>165</v>
      </c>
      <c r="J103" s="476"/>
      <c r="K103" s="476"/>
      <c r="L103" s="476"/>
      <c r="M103" s="477"/>
      <c r="N103" s="56">
        <v>165</v>
      </c>
      <c r="O103" s="56">
        <v>165</v>
      </c>
      <c r="U103" s="1"/>
      <c r="V103" s="1"/>
      <c r="W103" s="46"/>
      <c r="X103" s="46"/>
      <c r="Y103" s="1"/>
      <c r="Z103" s="1"/>
      <c r="AA103" s="1"/>
      <c r="AB103" s="1"/>
      <c r="AC103" s="1"/>
      <c r="AD103" s="1"/>
      <c r="AE103" s="1"/>
    </row>
    <row r="104" spans="1:31" ht="18.75" x14ac:dyDescent="0.3">
      <c r="B104" s="484" t="s">
        <v>20</v>
      </c>
      <c r="C104" s="485"/>
      <c r="D104" s="485"/>
      <c r="E104" s="58">
        <f>SUM(E102:E103)</f>
        <v>0</v>
      </c>
      <c r="F104" s="57">
        <f t="shared" si="71"/>
        <v>495</v>
      </c>
      <c r="G104" s="58">
        <f>SUM(G102:G103)</f>
        <v>165</v>
      </c>
      <c r="H104" s="58">
        <f>SUM(H102:H103)</f>
        <v>165</v>
      </c>
      <c r="I104" s="478">
        <f>SUM(I102:I103)</f>
        <v>165</v>
      </c>
      <c r="J104" s="479"/>
      <c r="K104" s="479"/>
      <c r="L104" s="479"/>
      <c r="M104" s="480"/>
      <c r="N104" s="58">
        <f>SUM(N102:N103)</f>
        <v>165</v>
      </c>
      <c r="O104" s="58">
        <f>SUM(O102:O103)</f>
        <v>165</v>
      </c>
      <c r="U104" s="1"/>
      <c r="V104" s="1"/>
      <c r="W104" s="46"/>
      <c r="X104" s="46"/>
      <c r="Y104" s="1"/>
      <c r="Z104" s="1"/>
      <c r="AA104" s="1"/>
      <c r="AB104" s="1"/>
      <c r="AC104" s="1"/>
      <c r="AD104" s="1"/>
      <c r="AE104" s="1"/>
    </row>
    <row r="105" spans="1:31" ht="18.75" x14ac:dyDescent="0.3">
      <c r="B105" s="482" t="s">
        <v>40</v>
      </c>
      <c r="C105" s="483"/>
      <c r="D105" s="483"/>
      <c r="E105" s="56" t="e">
        <f>E95-#REF!</f>
        <v>#REF!</v>
      </c>
      <c r="F105" s="57">
        <f t="shared" si="71"/>
        <v>0</v>
      </c>
      <c r="G105" s="56">
        <f t="shared" ref="G105:H105" si="72">G95</f>
        <v>592.47</v>
      </c>
      <c r="H105" s="56">
        <f t="shared" si="72"/>
        <v>11309.578670000001</v>
      </c>
      <c r="I105" s="475">
        <f>I95</f>
        <v>0</v>
      </c>
      <c r="J105" s="476"/>
      <c r="K105" s="476"/>
      <c r="L105" s="476"/>
      <c r="M105" s="477"/>
      <c r="N105" s="56">
        <f t="shared" ref="N105:O105" si="73">N95</f>
        <v>0</v>
      </c>
      <c r="O105" s="56">
        <f t="shared" si="73"/>
        <v>0</v>
      </c>
      <c r="W105" s="46"/>
      <c r="X105" s="46"/>
    </row>
    <row r="106" spans="1:31" ht="18.75" x14ac:dyDescent="0.3">
      <c r="B106" s="482" t="s">
        <v>1</v>
      </c>
      <c r="C106" s="483"/>
      <c r="D106" s="483"/>
      <c r="E106" s="56" t="e">
        <f>E96-#REF!</f>
        <v>#REF!</v>
      </c>
      <c r="F106" s="57">
        <f t="shared" si="71"/>
        <v>0</v>
      </c>
      <c r="G106" s="56">
        <f t="shared" ref="G106:H106" si="74">G96-G102</f>
        <v>530.49</v>
      </c>
      <c r="H106" s="56">
        <f t="shared" si="74"/>
        <v>9699.8595700000005</v>
      </c>
      <c r="I106" s="475">
        <f>I96-I102</f>
        <v>0</v>
      </c>
      <c r="J106" s="476"/>
      <c r="K106" s="476"/>
      <c r="L106" s="476"/>
      <c r="M106" s="477"/>
      <c r="N106" s="56">
        <f t="shared" ref="N106:O106" si="75">N96-N102</f>
        <v>0</v>
      </c>
      <c r="O106" s="56">
        <f t="shared" si="75"/>
        <v>0</v>
      </c>
      <c r="W106" s="46"/>
      <c r="X106" s="46"/>
    </row>
    <row r="107" spans="1:31" ht="18.75" x14ac:dyDescent="0.3">
      <c r="B107" s="482" t="s">
        <v>48</v>
      </c>
      <c r="C107" s="483"/>
      <c r="D107" s="483"/>
      <c r="E107" s="56" t="e">
        <f>E97-#REF!</f>
        <v>#REF!</v>
      </c>
      <c r="F107" s="57">
        <f t="shared" si="71"/>
        <v>452154.19200000004</v>
      </c>
      <c r="G107" s="56">
        <f t="shared" ref="G107:H107" si="76">G97-G103</f>
        <v>113011.13176</v>
      </c>
      <c r="H107" s="56">
        <f t="shared" si="76"/>
        <v>138609.71334999998</v>
      </c>
      <c r="I107" s="475">
        <f>I97-I103</f>
        <v>150718.06400000001</v>
      </c>
      <c r="J107" s="476"/>
      <c r="K107" s="476"/>
      <c r="L107" s="476"/>
      <c r="M107" s="477"/>
      <c r="N107" s="56">
        <f t="shared" ref="N107:O107" si="77">N97-N103</f>
        <v>150718.06400000001</v>
      </c>
      <c r="O107" s="56">
        <f t="shared" si="77"/>
        <v>150718.06400000001</v>
      </c>
      <c r="W107" s="46"/>
      <c r="X107" s="46"/>
    </row>
    <row r="108" spans="1:31" ht="18.75" x14ac:dyDescent="0.3">
      <c r="B108" s="482" t="s">
        <v>87</v>
      </c>
      <c r="C108" s="483"/>
      <c r="D108" s="486"/>
      <c r="E108" s="56"/>
      <c r="F108" s="57">
        <f t="shared" si="71"/>
        <v>71396.399999999994</v>
      </c>
      <c r="G108" s="56">
        <f t="shared" ref="G108:H108" si="78">G109</f>
        <v>21255.191999999999</v>
      </c>
      <c r="H108" s="56">
        <f t="shared" si="78"/>
        <v>23578.799999999999</v>
      </c>
      <c r="I108" s="475">
        <f>I109</f>
        <v>23798.799999999999</v>
      </c>
      <c r="J108" s="476"/>
      <c r="K108" s="476"/>
      <c r="L108" s="476"/>
      <c r="M108" s="477"/>
      <c r="N108" s="56">
        <f t="shared" ref="N108:O108" si="79">N109</f>
        <v>23798.799999999999</v>
      </c>
      <c r="O108" s="56">
        <f t="shared" si="79"/>
        <v>23798.799999999999</v>
      </c>
      <c r="W108" s="46"/>
      <c r="X108" s="46"/>
    </row>
    <row r="109" spans="1:31" ht="18.75" x14ac:dyDescent="0.3">
      <c r="B109" s="482" t="s">
        <v>88</v>
      </c>
      <c r="C109" s="483"/>
      <c r="D109" s="483"/>
      <c r="E109" s="56" t="e">
        <f>E99-#REF!</f>
        <v>#REF!</v>
      </c>
      <c r="F109" s="57">
        <f t="shared" si="71"/>
        <v>71396.399999999994</v>
      </c>
      <c r="G109" s="56">
        <f t="shared" ref="G109:H109" si="80">G99</f>
        <v>21255.191999999999</v>
      </c>
      <c r="H109" s="56">
        <f t="shared" si="80"/>
        <v>23578.799999999999</v>
      </c>
      <c r="I109" s="475">
        <f>I99</f>
        <v>23798.799999999999</v>
      </c>
      <c r="J109" s="476"/>
      <c r="K109" s="476"/>
      <c r="L109" s="476"/>
      <c r="M109" s="477"/>
      <c r="N109" s="56">
        <f t="shared" ref="N109:O109" si="81">N99</f>
        <v>23798.799999999999</v>
      </c>
      <c r="O109" s="56">
        <f t="shared" si="81"/>
        <v>23798.799999999999</v>
      </c>
      <c r="W109" s="46"/>
      <c r="X109" s="46"/>
    </row>
    <row r="110" spans="1:31" ht="18.75" x14ac:dyDescent="0.3">
      <c r="B110" s="484" t="s">
        <v>25</v>
      </c>
      <c r="C110" s="485"/>
      <c r="D110" s="485"/>
      <c r="E110" s="58" t="e">
        <f>SUM(E105:E109)</f>
        <v>#REF!</v>
      </c>
      <c r="F110" s="57">
        <f t="shared" si="71"/>
        <v>523550.592</v>
      </c>
      <c r="G110" s="58">
        <f t="shared" ref="G110:H110" si="82">G105+G106+G107+G108</f>
        <v>135389.28376000002</v>
      </c>
      <c r="H110" s="58">
        <f t="shared" si="82"/>
        <v>183197.95158999995</v>
      </c>
      <c r="I110" s="478">
        <f>I105+I106+I107+I108</f>
        <v>174516.864</v>
      </c>
      <c r="J110" s="479"/>
      <c r="K110" s="479"/>
      <c r="L110" s="479"/>
      <c r="M110" s="480"/>
      <c r="N110" s="58">
        <f t="shared" ref="N110:O110" si="83">N105+N106+N107+N108</f>
        <v>174516.864</v>
      </c>
      <c r="O110" s="58">
        <f t="shared" si="83"/>
        <v>174516.864</v>
      </c>
      <c r="W110" s="46"/>
      <c r="X110" s="46"/>
    </row>
    <row r="111" spans="1:31" x14ac:dyDescent="0.25">
      <c r="E111" s="46"/>
      <c r="F111" s="173"/>
      <c r="G111" s="50"/>
      <c r="H111" s="50"/>
      <c r="I111" s="46"/>
      <c r="J111" s="46"/>
      <c r="K111" s="46"/>
      <c r="L111" s="46"/>
      <c r="M111" s="46"/>
      <c r="N111" s="46"/>
      <c r="O111" s="46"/>
    </row>
    <row r="112" spans="1:31" x14ac:dyDescent="0.25">
      <c r="E112" s="46"/>
      <c r="F112" s="173"/>
      <c r="G112" s="46"/>
      <c r="H112" s="46"/>
      <c r="I112" s="46"/>
      <c r="J112" s="46"/>
      <c r="K112" s="46"/>
      <c r="L112" s="46"/>
      <c r="M112" s="46"/>
      <c r="N112" s="46"/>
      <c r="O112" s="46"/>
      <c r="P112" s="46"/>
    </row>
    <row r="113" spans="5:15" x14ac:dyDescent="0.25">
      <c r="E113" s="46"/>
      <c r="F113" s="173"/>
      <c r="G113" s="50"/>
      <c r="H113" s="50"/>
      <c r="I113" s="46"/>
      <c r="J113" s="46"/>
      <c r="K113" s="46"/>
      <c r="L113" s="46"/>
      <c r="M113" s="46"/>
      <c r="N113" s="46"/>
      <c r="O113" s="46"/>
    </row>
    <row r="116" spans="5:15" x14ac:dyDescent="0.25">
      <c r="G116" s="50"/>
      <c r="H116" s="50"/>
      <c r="N116" s="50"/>
    </row>
  </sheetData>
  <mergeCells count="218">
    <mergeCell ref="I28:M28"/>
    <mergeCell ref="P79:P81"/>
    <mergeCell ref="D79:D81"/>
    <mergeCell ref="I34:M34"/>
    <mergeCell ref="I71:M71"/>
    <mergeCell ref="P24:P28"/>
    <mergeCell ref="I26:M26"/>
    <mergeCell ref="D29:D31"/>
    <mergeCell ref="P39:P42"/>
    <mergeCell ref="P43:P45"/>
    <mergeCell ref="I64:M64"/>
    <mergeCell ref="I65:M65"/>
    <mergeCell ref="I66:M66"/>
    <mergeCell ref="D67:D69"/>
    <mergeCell ref="F67:F68"/>
    <mergeCell ref="D43:D45"/>
    <mergeCell ref="F43:F44"/>
    <mergeCell ref="I43:I44"/>
    <mergeCell ref="J43:M43"/>
    <mergeCell ref="D55:D57"/>
    <mergeCell ref="I51:M51"/>
    <mergeCell ref="F55:F56"/>
    <mergeCell ref="I67:I68"/>
    <mergeCell ref="J67:M67"/>
    <mergeCell ref="P67:P69"/>
    <mergeCell ref="P75:P78"/>
    <mergeCell ref="I53:M53"/>
    <mergeCell ref="I54:M54"/>
    <mergeCell ref="J36:M36"/>
    <mergeCell ref="A46:A50"/>
    <mergeCell ref="A67:A69"/>
    <mergeCell ref="A63:A66"/>
    <mergeCell ref="B46:B50"/>
    <mergeCell ref="C46:C50"/>
    <mergeCell ref="C55:C57"/>
    <mergeCell ref="A51:A57"/>
    <mergeCell ref="B51:B54"/>
    <mergeCell ref="C51:C54"/>
    <mergeCell ref="B58:B62"/>
    <mergeCell ref="A58:A62"/>
    <mergeCell ref="B63:B66"/>
    <mergeCell ref="C63:C66"/>
    <mergeCell ref="C67:C69"/>
    <mergeCell ref="B55:B57"/>
    <mergeCell ref="B67:B69"/>
    <mergeCell ref="P70:P74"/>
    <mergeCell ref="I50:M50"/>
    <mergeCell ref="P91:P93"/>
    <mergeCell ref="P82:P86"/>
    <mergeCell ref="D91:D93"/>
    <mergeCell ref="C91:C93"/>
    <mergeCell ref="B87:B90"/>
    <mergeCell ref="C87:C90"/>
    <mergeCell ref="C82:C86"/>
    <mergeCell ref="J91:M91"/>
    <mergeCell ref="I84:M84"/>
    <mergeCell ref="I83:M83"/>
    <mergeCell ref="I86:M86"/>
    <mergeCell ref="I82:M82"/>
    <mergeCell ref="I85:M85"/>
    <mergeCell ref="I90:M90"/>
    <mergeCell ref="I89:M89"/>
    <mergeCell ref="I88:M88"/>
    <mergeCell ref="P87:P90"/>
    <mergeCell ref="F91:F92"/>
    <mergeCell ref="I91:I92"/>
    <mergeCell ref="P63:P66"/>
    <mergeCell ref="I42:M42"/>
    <mergeCell ref="I41:M41"/>
    <mergeCell ref="I40:M40"/>
    <mergeCell ref="I39:M39"/>
    <mergeCell ref="P46:P50"/>
    <mergeCell ref="P55:P57"/>
    <mergeCell ref="I46:M46"/>
    <mergeCell ref="P51:P54"/>
    <mergeCell ref="I63:M63"/>
    <mergeCell ref="P58:P62"/>
    <mergeCell ref="I60:M60"/>
    <mergeCell ref="I59:M59"/>
    <mergeCell ref="I61:M61"/>
    <mergeCell ref="I58:M58"/>
    <mergeCell ref="I47:M47"/>
    <mergeCell ref="I48:M48"/>
    <mergeCell ref="I49:M49"/>
    <mergeCell ref="I55:I56"/>
    <mergeCell ref="J55:M55"/>
    <mergeCell ref="I62:M62"/>
    <mergeCell ref="I52:M52"/>
    <mergeCell ref="P6:P10"/>
    <mergeCell ref="P36:P38"/>
    <mergeCell ref="F29:F30"/>
    <mergeCell ref="I29:I30"/>
    <mergeCell ref="J29:M29"/>
    <mergeCell ref="P29:P31"/>
    <mergeCell ref="P18:P23"/>
    <mergeCell ref="I9:M9"/>
    <mergeCell ref="B18:B23"/>
    <mergeCell ref="I7:M7"/>
    <mergeCell ref="I6:M6"/>
    <mergeCell ref="P11:P14"/>
    <mergeCell ref="B15:B17"/>
    <mergeCell ref="I32:M32"/>
    <mergeCell ref="I35:M35"/>
    <mergeCell ref="I33:M33"/>
    <mergeCell ref="D36:D38"/>
    <mergeCell ref="F36:F37"/>
    <mergeCell ref="I36:I37"/>
    <mergeCell ref="B24:B28"/>
    <mergeCell ref="C24:C28"/>
    <mergeCell ref="P15:P17"/>
    <mergeCell ref="P32:P35"/>
    <mergeCell ref="B36:B38"/>
    <mergeCell ref="I18:M18"/>
    <mergeCell ref="I8:M8"/>
    <mergeCell ref="A11:A17"/>
    <mergeCell ref="I14:M14"/>
    <mergeCell ref="I13:M13"/>
    <mergeCell ref="I12:M12"/>
    <mergeCell ref="I11:M11"/>
    <mergeCell ref="I10:M10"/>
    <mergeCell ref="B6:B10"/>
    <mergeCell ref="C6:C10"/>
    <mergeCell ref="A18:A23"/>
    <mergeCell ref="C15:C17"/>
    <mergeCell ref="A6:A10"/>
    <mergeCell ref="B11:B14"/>
    <mergeCell ref="C11:C14"/>
    <mergeCell ref="I27:M27"/>
    <mergeCell ref="I24:M24"/>
    <mergeCell ref="I3:M3"/>
    <mergeCell ref="P1:P3"/>
    <mergeCell ref="A1:A3"/>
    <mergeCell ref="I4:M4"/>
    <mergeCell ref="I25:M25"/>
    <mergeCell ref="B1:B3"/>
    <mergeCell ref="C1:C3"/>
    <mergeCell ref="D1:D3"/>
    <mergeCell ref="F1:F3"/>
    <mergeCell ref="A5:P5"/>
    <mergeCell ref="G1:O2"/>
    <mergeCell ref="C18:C23"/>
    <mergeCell ref="D15:D17"/>
    <mergeCell ref="F15:F16"/>
    <mergeCell ref="I15:I16"/>
    <mergeCell ref="J15:M15"/>
    <mergeCell ref="I23:M23"/>
    <mergeCell ref="I22:M22"/>
    <mergeCell ref="I21:M21"/>
    <mergeCell ref="I20:M20"/>
    <mergeCell ref="I19:M19"/>
    <mergeCell ref="E1:E3"/>
    <mergeCell ref="A24:A31"/>
    <mergeCell ref="A32:A38"/>
    <mergeCell ref="C36:C38"/>
    <mergeCell ref="A87:A93"/>
    <mergeCell ref="B29:B31"/>
    <mergeCell ref="C29:C31"/>
    <mergeCell ref="B43:B45"/>
    <mergeCell ref="C43:C45"/>
    <mergeCell ref="B32:B35"/>
    <mergeCell ref="C32:C35"/>
    <mergeCell ref="A39:A45"/>
    <mergeCell ref="C39:C42"/>
    <mergeCell ref="B39:B42"/>
    <mergeCell ref="B91:B93"/>
    <mergeCell ref="B82:B86"/>
    <mergeCell ref="B75:B78"/>
    <mergeCell ref="C75:C78"/>
    <mergeCell ref="B70:B74"/>
    <mergeCell ref="C58:C62"/>
    <mergeCell ref="C70:C74"/>
    <mergeCell ref="B79:B81"/>
    <mergeCell ref="C79:C81"/>
    <mergeCell ref="A75:A81"/>
    <mergeCell ref="A99:D99"/>
    <mergeCell ref="B105:D105"/>
    <mergeCell ref="B102:D102"/>
    <mergeCell ref="B103:D103"/>
    <mergeCell ref="B104:D104"/>
    <mergeCell ref="B108:D108"/>
    <mergeCell ref="B110:D110"/>
    <mergeCell ref="B106:D106"/>
    <mergeCell ref="B107:D107"/>
    <mergeCell ref="B109:D109"/>
    <mergeCell ref="I102:M102"/>
    <mergeCell ref="I105:M105"/>
    <mergeCell ref="I104:M104"/>
    <mergeCell ref="I103:M103"/>
    <mergeCell ref="I87:M87"/>
    <mergeCell ref="I95:M95"/>
    <mergeCell ref="I94:M94"/>
    <mergeCell ref="I110:M110"/>
    <mergeCell ref="I109:M109"/>
    <mergeCell ref="I108:M108"/>
    <mergeCell ref="I107:M107"/>
    <mergeCell ref="I106:M106"/>
    <mergeCell ref="I99:M99"/>
    <mergeCell ref="I78:M78"/>
    <mergeCell ref="I77:M77"/>
    <mergeCell ref="I76:M76"/>
    <mergeCell ref="A70:A74"/>
    <mergeCell ref="I98:M98"/>
    <mergeCell ref="I97:M97"/>
    <mergeCell ref="I96:M96"/>
    <mergeCell ref="A97:D97"/>
    <mergeCell ref="A96:D96"/>
    <mergeCell ref="A94:D94"/>
    <mergeCell ref="A95:D95"/>
    <mergeCell ref="A82:A86"/>
    <mergeCell ref="A98:D98"/>
    <mergeCell ref="F79:F80"/>
    <mergeCell ref="I79:I80"/>
    <mergeCell ref="J79:M79"/>
    <mergeCell ref="I75:M75"/>
    <mergeCell ref="I74:M74"/>
    <mergeCell ref="I73:M73"/>
    <mergeCell ref="I72:M72"/>
    <mergeCell ref="I70:M70"/>
  </mergeCells>
  <phoneticPr fontId="34" type="noConversion"/>
  <pageMargins left="0.19685039370078741" right="0.19685039370078741" top="0.59055118110236227" bottom="0.19685039370078741" header="0.39370078740157483" footer="0"/>
  <pageSetup paperSize="9" scale="46" firstPageNumber="17" fitToHeight="0" orientation="landscape" useFirstPageNumber="1" r:id="rId1"/>
  <headerFooter alignWithMargins="0">
    <oddHeader>&amp;C&amp;"Times New Roman,обычный"&amp;12&amp;K000000&amp;P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Y83"/>
  <sheetViews>
    <sheetView view="pageBreakPreview" topLeftCell="A19" zoomScale="59" zoomScaleNormal="70" zoomScaleSheetLayoutView="59" workbookViewId="0">
      <selection activeCell="G49" sqref="G49"/>
    </sheetView>
  </sheetViews>
  <sheetFormatPr defaultColWidth="9.140625" defaultRowHeight="15" x14ac:dyDescent="0.25"/>
  <cols>
    <col min="1" max="1" width="6.7109375" style="1" customWidth="1"/>
    <col min="2" max="2" width="69" style="1" customWidth="1"/>
    <col min="3" max="3" width="18.42578125" style="1" customWidth="1"/>
    <col min="4" max="4" width="31.85546875" style="1" customWidth="1"/>
    <col min="5" max="5" width="21.28515625" style="1" hidden="1" customWidth="1"/>
    <col min="6" max="6" width="22.7109375" style="172" customWidth="1"/>
    <col min="7" max="7" width="23.140625" style="40" customWidth="1"/>
    <col min="8" max="8" width="23.42578125" style="40" customWidth="1"/>
    <col min="9" max="13" width="8" style="1" customWidth="1"/>
    <col min="14" max="16" width="22.42578125" style="1" customWidth="1"/>
    <col min="17" max="17" width="31" style="1" hidden="1" customWidth="1"/>
    <col min="18" max="18" width="27.140625" style="1" hidden="1" customWidth="1"/>
    <col min="19" max="19" width="24.42578125" style="1" hidden="1" customWidth="1"/>
    <col min="20" max="20" width="0.140625" style="1" hidden="1" customWidth="1"/>
    <col min="21" max="21" width="19.42578125" style="1" customWidth="1"/>
    <col min="22" max="22" width="23.42578125" style="1" customWidth="1"/>
    <col min="23" max="23" width="19" style="1" customWidth="1"/>
    <col min="24" max="24" width="22.85546875" style="1" customWidth="1"/>
    <col min="25" max="25" width="19.28515625" style="1" customWidth="1"/>
    <col min="26" max="16384" width="9.140625" style="1"/>
  </cols>
  <sheetData>
    <row r="1" spans="1:19" ht="29.25" customHeight="1" x14ac:dyDescent="0.25">
      <c r="A1" s="510" t="s">
        <v>0</v>
      </c>
      <c r="B1" s="510" t="s">
        <v>5</v>
      </c>
      <c r="C1" s="510" t="s">
        <v>50</v>
      </c>
      <c r="D1" s="510" t="s">
        <v>6</v>
      </c>
      <c r="E1" s="510" t="s">
        <v>55</v>
      </c>
      <c r="F1" s="517" t="s">
        <v>7</v>
      </c>
      <c r="G1" s="510" t="s">
        <v>16</v>
      </c>
      <c r="H1" s="510"/>
      <c r="I1" s="510"/>
      <c r="J1" s="510"/>
      <c r="K1" s="510"/>
      <c r="L1" s="510"/>
      <c r="M1" s="510"/>
      <c r="N1" s="510"/>
      <c r="O1" s="510"/>
      <c r="P1" s="510" t="s">
        <v>249</v>
      </c>
      <c r="Q1" s="137"/>
      <c r="R1" s="137"/>
      <c r="S1" s="137"/>
    </row>
    <row r="2" spans="1:19" ht="64.5" customHeight="1" x14ac:dyDescent="0.25">
      <c r="A2" s="510"/>
      <c r="B2" s="510"/>
      <c r="C2" s="510"/>
      <c r="D2" s="510"/>
      <c r="E2" s="510"/>
      <c r="F2" s="517"/>
      <c r="G2" s="126" t="s">
        <v>45</v>
      </c>
      <c r="H2" s="245" t="s">
        <v>46</v>
      </c>
      <c r="I2" s="493" t="s">
        <v>82</v>
      </c>
      <c r="J2" s="493"/>
      <c r="K2" s="493"/>
      <c r="L2" s="493"/>
      <c r="M2" s="493"/>
      <c r="N2" s="126" t="s">
        <v>83</v>
      </c>
      <c r="O2" s="126" t="s">
        <v>84</v>
      </c>
      <c r="P2" s="510"/>
      <c r="Q2" s="137" t="s">
        <v>41</v>
      </c>
      <c r="R2" s="137" t="s">
        <v>42</v>
      </c>
      <c r="S2" s="137"/>
    </row>
    <row r="3" spans="1:19" ht="18.75" x14ac:dyDescent="0.25">
      <c r="A3" s="123" t="s">
        <v>13</v>
      </c>
      <c r="B3" s="123">
        <v>2</v>
      </c>
      <c r="C3" s="123" t="s">
        <v>8</v>
      </c>
      <c r="D3" s="123" t="s">
        <v>37</v>
      </c>
      <c r="E3" s="123" t="s">
        <v>9</v>
      </c>
      <c r="F3" s="155" t="s">
        <v>9</v>
      </c>
      <c r="G3" s="123" t="s">
        <v>35</v>
      </c>
      <c r="H3" s="233" t="s">
        <v>36</v>
      </c>
      <c r="I3" s="422" t="s">
        <v>10</v>
      </c>
      <c r="J3" s="422"/>
      <c r="K3" s="422"/>
      <c r="L3" s="422"/>
      <c r="M3" s="422"/>
      <c r="N3" s="123" t="s">
        <v>11</v>
      </c>
      <c r="O3" s="123" t="s">
        <v>12</v>
      </c>
      <c r="P3" s="123" t="s">
        <v>14</v>
      </c>
      <c r="Q3" s="29"/>
      <c r="R3" s="29"/>
      <c r="S3" s="29"/>
    </row>
    <row r="4" spans="1:19" ht="34.5" customHeight="1" x14ac:dyDescent="0.25">
      <c r="A4" s="516" t="s">
        <v>145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103"/>
      <c r="R4" s="103"/>
      <c r="S4" s="103"/>
    </row>
    <row r="5" spans="1:19" s="9" customFormat="1" ht="18.75" x14ac:dyDescent="0.25">
      <c r="A5" s="428" t="s">
        <v>13</v>
      </c>
      <c r="B5" s="518" t="s">
        <v>76</v>
      </c>
      <c r="C5" s="518" t="s">
        <v>86</v>
      </c>
      <c r="D5" s="174" t="s">
        <v>2</v>
      </c>
      <c r="E5" s="175">
        <f>E8</f>
        <v>181275.1586</v>
      </c>
      <c r="F5" s="179">
        <f t="shared" ref="F5:F14" si="0">SUM(G5:O5)</f>
        <v>2099170.5757900001</v>
      </c>
      <c r="G5" s="175">
        <f t="shared" ref="G5:H5" si="1">G6+G7+G8+G9</f>
        <v>407683.76996000001</v>
      </c>
      <c r="H5" s="248">
        <f t="shared" si="1"/>
        <v>447571.36115000001</v>
      </c>
      <c r="I5" s="515">
        <f>I6+I7+I8+I9</f>
        <v>414446.79368</v>
      </c>
      <c r="J5" s="515"/>
      <c r="K5" s="515"/>
      <c r="L5" s="515"/>
      <c r="M5" s="515"/>
      <c r="N5" s="175">
        <f t="shared" ref="N5:O5" si="2">N6+N7+N8+N9</f>
        <v>414734.32550000004</v>
      </c>
      <c r="O5" s="175">
        <f t="shared" si="2"/>
        <v>414734.32550000004</v>
      </c>
      <c r="P5" s="345"/>
      <c r="Q5" s="103"/>
      <c r="R5" s="103"/>
      <c r="S5" s="103"/>
    </row>
    <row r="6" spans="1:19" s="9" customFormat="1" ht="36.950000000000003" customHeight="1" x14ac:dyDescent="0.25">
      <c r="A6" s="428"/>
      <c r="B6" s="518"/>
      <c r="C6" s="518"/>
      <c r="D6" s="174" t="s">
        <v>40</v>
      </c>
      <c r="E6" s="175"/>
      <c r="F6" s="179">
        <f t="shared" si="0"/>
        <v>0</v>
      </c>
      <c r="G6" s="147">
        <f t="shared" ref="G6:H6" si="3">G11+G18+G26</f>
        <v>0</v>
      </c>
      <c r="H6" s="247">
        <f t="shared" si="3"/>
        <v>0</v>
      </c>
      <c r="I6" s="514">
        <f>I11+I18+I26</f>
        <v>0</v>
      </c>
      <c r="J6" s="514"/>
      <c r="K6" s="514"/>
      <c r="L6" s="514"/>
      <c r="M6" s="514"/>
      <c r="N6" s="147">
        <f t="shared" ref="N6:O6" si="4">N11+N18+N26</f>
        <v>0</v>
      </c>
      <c r="O6" s="147">
        <f t="shared" si="4"/>
        <v>0</v>
      </c>
      <c r="P6" s="345"/>
      <c r="Q6" s="103"/>
      <c r="R6" s="103"/>
      <c r="S6" s="103"/>
    </row>
    <row r="7" spans="1:19" s="9" customFormat="1" ht="39" customHeight="1" x14ac:dyDescent="0.25">
      <c r="A7" s="428"/>
      <c r="B7" s="518"/>
      <c r="C7" s="518"/>
      <c r="D7" s="174" t="s">
        <v>1</v>
      </c>
      <c r="E7" s="175"/>
      <c r="F7" s="179">
        <f t="shared" si="0"/>
        <v>538.57065999999998</v>
      </c>
      <c r="G7" s="147">
        <f t="shared" ref="G7:H7" si="5">G12+G19+G27</f>
        <v>141.46065999999999</v>
      </c>
      <c r="H7" s="247">
        <f t="shared" si="5"/>
        <v>397.11</v>
      </c>
      <c r="I7" s="514">
        <f>I12+I19+I27</f>
        <v>0</v>
      </c>
      <c r="J7" s="514"/>
      <c r="K7" s="514"/>
      <c r="L7" s="514"/>
      <c r="M7" s="514"/>
      <c r="N7" s="147">
        <f t="shared" ref="N7:O7" si="6">N12+N19+N27</f>
        <v>0</v>
      </c>
      <c r="O7" s="147">
        <f t="shared" si="6"/>
        <v>0</v>
      </c>
      <c r="P7" s="345"/>
      <c r="Q7" s="103"/>
      <c r="R7" s="103"/>
      <c r="S7" s="103"/>
    </row>
    <row r="8" spans="1:19" s="9" customFormat="1" ht="56.25" x14ac:dyDescent="0.25">
      <c r="A8" s="428"/>
      <c r="B8" s="518"/>
      <c r="C8" s="518"/>
      <c r="D8" s="174" t="s">
        <v>48</v>
      </c>
      <c r="E8" s="176">
        <f>E13+E20+E28</f>
        <v>181275.1586</v>
      </c>
      <c r="F8" s="179">
        <f t="shared" si="0"/>
        <v>1138138.0748299998</v>
      </c>
      <c r="G8" s="176">
        <f t="shared" ref="G8:H8" si="7">G13+G20+G28</f>
        <v>236926.81779999999</v>
      </c>
      <c r="H8" s="246">
        <f t="shared" si="7"/>
        <v>249704.64145</v>
      </c>
      <c r="I8" s="513">
        <f>I13+I20+I28</f>
        <v>216977.18397999997</v>
      </c>
      <c r="J8" s="513"/>
      <c r="K8" s="513"/>
      <c r="L8" s="513"/>
      <c r="M8" s="513"/>
      <c r="N8" s="176">
        <f t="shared" ref="N8:O8" si="8">N13+N20+N28</f>
        <v>217264.71580000001</v>
      </c>
      <c r="O8" s="176">
        <f t="shared" si="8"/>
        <v>217264.71580000001</v>
      </c>
      <c r="P8" s="345"/>
      <c r="Q8" s="31"/>
      <c r="R8" s="31"/>
      <c r="S8" s="31"/>
    </row>
    <row r="9" spans="1:19" s="9" customFormat="1" ht="37.5" x14ac:dyDescent="0.25">
      <c r="A9" s="428"/>
      <c r="B9" s="518"/>
      <c r="C9" s="518"/>
      <c r="D9" s="174" t="s">
        <v>87</v>
      </c>
      <c r="E9" s="176"/>
      <c r="F9" s="179">
        <f t="shared" si="0"/>
        <v>960493.93030000012</v>
      </c>
      <c r="G9" s="176">
        <f t="shared" ref="G9:H9" si="9">G14+G21+G29</f>
        <v>170615.4915</v>
      </c>
      <c r="H9" s="246">
        <f t="shared" si="9"/>
        <v>197469.6097</v>
      </c>
      <c r="I9" s="513">
        <f>I14+I21+I29</f>
        <v>197469.6097</v>
      </c>
      <c r="J9" s="513"/>
      <c r="K9" s="513"/>
      <c r="L9" s="513"/>
      <c r="M9" s="513"/>
      <c r="N9" s="176">
        <f t="shared" ref="N9:O9" si="10">N14+N21+N29</f>
        <v>197469.6097</v>
      </c>
      <c r="O9" s="176">
        <f t="shared" si="10"/>
        <v>197469.6097</v>
      </c>
      <c r="P9" s="345"/>
      <c r="Q9" s="31"/>
      <c r="R9" s="31"/>
      <c r="S9" s="31"/>
    </row>
    <row r="10" spans="1:19" s="9" customFormat="1" ht="93.75" x14ac:dyDescent="0.25">
      <c r="A10" s="428"/>
      <c r="B10" s="518"/>
      <c r="C10" s="518"/>
      <c r="D10" s="174" t="s">
        <v>88</v>
      </c>
      <c r="E10" s="176"/>
      <c r="F10" s="179">
        <f t="shared" si="0"/>
        <v>960493.93030000012</v>
      </c>
      <c r="G10" s="176">
        <f t="shared" ref="G10:H10" si="11">G22</f>
        <v>170615.4915</v>
      </c>
      <c r="H10" s="246">
        <f t="shared" si="11"/>
        <v>197469.6097</v>
      </c>
      <c r="I10" s="513">
        <f>I22</f>
        <v>197469.6097</v>
      </c>
      <c r="J10" s="513"/>
      <c r="K10" s="513"/>
      <c r="L10" s="513"/>
      <c r="M10" s="513"/>
      <c r="N10" s="176">
        <f t="shared" ref="N10:O10" si="12">N22</f>
        <v>197469.6097</v>
      </c>
      <c r="O10" s="176">
        <f t="shared" si="12"/>
        <v>197469.6097</v>
      </c>
      <c r="P10" s="345"/>
      <c r="Q10" s="31"/>
      <c r="R10" s="31"/>
      <c r="S10" s="31"/>
    </row>
    <row r="11" spans="1:19" s="9" customFormat="1" ht="37.5" customHeight="1" x14ac:dyDescent="0.25">
      <c r="A11" s="523" t="s">
        <v>26</v>
      </c>
      <c r="B11" s="524" t="s">
        <v>271</v>
      </c>
      <c r="C11" s="516" t="s">
        <v>86</v>
      </c>
      <c r="D11" s="102" t="s">
        <v>40</v>
      </c>
      <c r="E11" s="104"/>
      <c r="F11" s="179">
        <f t="shared" si="0"/>
        <v>0</v>
      </c>
      <c r="G11" s="117">
        <v>0</v>
      </c>
      <c r="H11" s="249">
        <v>0</v>
      </c>
      <c r="I11" s="527">
        <v>0</v>
      </c>
      <c r="J11" s="527"/>
      <c r="K11" s="527"/>
      <c r="L11" s="527"/>
      <c r="M11" s="527"/>
      <c r="N11" s="117">
        <v>0</v>
      </c>
      <c r="O11" s="117">
        <v>0</v>
      </c>
      <c r="P11" s="525" t="s">
        <v>3</v>
      </c>
      <c r="Q11" s="31"/>
      <c r="R11" s="31"/>
      <c r="S11" s="31"/>
    </row>
    <row r="12" spans="1:19" ht="37.5" customHeight="1" x14ac:dyDescent="0.25">
      <c r="A12" s="523"/>
      <c r="B12" s="524"/>
      <c r="C12" s="516"/>
      <c r="D12" s="127" t="s">
        <v>1</v>
      </c>
      <c r="E12" s="71"/>
      <c r="F12" s="179">
        <f t="shared" si="0"/>
        <v>538.57065999999998</v>
      </c>
      <c r="G12" s="117">
        <v>141.46065999999999</v>
      </c>
      <c r="H12" s="292">
        <v>397.11</v>
      </c>
      <c r="I12" s="347">
        <v>0</v>
      </c>
      <c r="J12" s="347"/>
      <c r="K12" s="347"/>
      <c r="L12" s="347"/>
      <c r="M12" s="347"/>
      <c r="N12" s="292">
        <v>0</v>
      </c>
      <c r="O12" s="292">
        <v>0</v>
      </c>
      <c r="P12" s="525"/>
      <c r="Q12" s="31"/>
      <c r="R12" s="31"/>
      <c r="S12" s="31"/>
    </row>
    <row r="13" spans="1:19" ht="57" customHeight="1" x14ac:dyDescent="0.25">
      <c r="A13" s="523"/>
      <c r="B13" s="524"/>
      <c r="C13" s="516"/>
      <c r="D13" s="125" t="s">
        <v>48</v>
      </c>
      <c r="E13" s="117">
        <v>97858.007519999999</v>
      </c>
      <c r="F13" s="179">
        <f t="shared" si="0"/>
        <v>586598.27926999994</v>
      </c>
      <c r="G13" s="117">
        <v>116139.13128</v>
      </c>
      <c r="H13" s="292">
        <v>114975.76281</v>
      </c>
      <c r="I13" s="350">
        <f>118311.639+376.46818</f>
        <v>118688.10717999999</v>
      </c>
      <c r="J13" s="350"/>
      <c r="K13" s="350"/>
      <c r="L13" s="350"/>
      <c r="M13" s="350"/>
      <c r="N13" s="292">
        <v>118397.639</v>
      </c>
      <c r="O13" s="292">
        <v>118397.639</v>
      </c>
      <c r="P13" s="525"/>
      <c r="Q13" s="52" t="e">
        <f>('[1]Лист 1'!$F$476+'[1]Лист 1'!$F$477)/1000</f>
        <v>#REF!</v>
      </c>
      <c r="R13" s="138">
        <v>16611.023000000001</v>
      </c>
      <c r="S13" s="33" t="e">
        <f>Q13-R13</f>
        <v>#REF!</v>
      </c>
    </row>
    <row r="14" spans="1:19" ht="37.5" x14ac:dyDescent="0.25">
      <c r="A14" s="523"/>
      <c r="B14" s="524"/>
      <c r="C14" s="516"/>
      <c r="D14" s="125" t="s">
        <v>87</v>
      </c>
      <c r="E14" s="117"/>
      <c r="F14" s="179">
        <f t="shared" si="0"/>
        <v>0</v>
      </c>
      <c r="G14" s="117">
        <v>0</v>
      </c>
      <c r="H14" s="292">
        <v>0</v>
      </c>
      <c r="I14" s="347">
        <v>0</v>
      </c>
      <c r="J14" s="347"/>
      <c r="K14" s="347"/>
      <c r="L14" s="347"/>
      <c r="M14" s="347"/>
      <c r="N14" s="292">
        <v>0</v>
      </c>
      <c r="O14" s="292">
        <v>0</v>
      </c>
      <c r="P14" s="525"/>
      <c r="Q14" s="52"/>
      <c r="R14" s="139"/>
      <c r="S14" s="33"/>
    </row>
    <row r="15" spans="1:19" s="40" customFormat="1" ht="21" customHeight="1" x14ac:dyDescent="0.25">
      <c r="A15" s="523"/>
      <c r="B15" s="423" t="s">
        <v>178</v>
      </c>
      <c r="C15" s="387" t="s">
        <v>116</v>
      </c>
      <c r="D15" s="387" t="s">
        <v>116</v>
      </c>
      <c r="E15" s="131"/>
      <c r="F15" s="338" t="s">
        <v>117</v>
      </c>
      <c r="G15" s="132" t="s">
        <v>220</v>
      </c>
      <c r="H15" s="287" t="s">
        <v>221</v>
      </c>
      <c r="I15" s="321" t="s">
        <v>123</v>
      </c>
      <c r="J15" s="316" t="s">
        <v>118</v>
      </c>
      <c r="K15" s="316"/>
      <c r="L15" s="316"/>
      <c r="M15" s="316"/>
      <c r="N15" s="287" t="s">
        <v>124</v>
      </c>
      <c r="O15" s="287" t="s">
        <v>125</v>
      </c>
      <c r="P15" s="335" t="s">
        <v>116</v>
      </c>
      <c r="Q15" s="101"/>
      <c r="R15" s="9"/>
      <c r="S15" s="9"/>
    </row>
    <row r="16" spans="1:19" s="40" customFormat="1" ht="25.5" customHeight="1" x14ac:dyDescent="0.25">
      <c r="A16" s="523"/>
      <c r="B16" s="423"/>
      <c r="C16" s="387"/>
      <c r="D16" s="387"/>
      <c r="E16" s="131"/>
      <c r="F16" s="338"/>
      <c r="G16" s="131"/>
      <c r="H16" s="288"/>
      <c r="I16" s="321"/>
      <c r="J16" s="288" t="s">
        <v>119</v>
      </c>
      <c r="K16" s="288" t="s">
        <v>120</v>
      </c>
      <c r="L16" s="288" t="s">
        <v>121</v>
      </c>
      <c r="M16" s="288" t="s">
        <v>122</v>
      </c>
      <c r="N16" s="288"/>
      <c r="O16" s="288"/>
      <c r="P16" s="335"/>
      <c r="Q16" s="101"/>
      <c r="R16" s="9"/>
      <c r="S16" s="9"/>
    </row>
    <row r="17" spans="1:21" s="40" customFormat="1" ht="28.5" customHeight="1" x14ac:dyDescent="0.25">
      <c r="A17" s="523"/>
      <c r="B17" s="423"/>
      <c r="C17" s="387"/>
      <c r="D17" s="387"/>
      <c r="E17" s="131"/>
      <c r="F17" s="157">
        <v>100</v>
      </c>
      <c r="G17" s="133">
        <v>100</v>
      </c>
      <c r="H17" s="189">
        <v>100</v>
      </c>
      <c r="I17" s="189">
        <v>100</v>
      </c>
      <c r="J17" s="189">
        <v>100</v>
      </c>
      <c r="K17" s="189">
        <v>100</v>
      </c>
      <c r="L17" s="189">
        <v>100</v>
      </c>
      <c r="M17" s="189">
        <v>100</v>
      </c>
      <c r="N17" s="189">
        <v>100</v>
      </c>
      <c r="O17" s="189">
        <v>100</v>
      </c>
      <c r="P17" s="335"/>
      <c r="Q17" s="101"/>
      <c r="R17" s="9"/>
      <c r="S17" s="9"/>
    </row>
    <row r="18" spans="1:21" ht="37.5" customHeight="1" x14ac:dyDescent="0.25">
      <c r="A18" s="523" t="s">
        <v>27</v>
      </c>
      <c r="B18" s="524" t="s">
        <v>272</v>
      </c>
      <c r="C18" s="516" t="s">
        <v>86</v>
      </c>
      <c r="D18" s="125" t="s">
        <v>40</v>
      </c>
      <c r="E18" s="117"/>
      <c r="F18" s="179">
        <f>SUM(G18:O18)</f>
        <v>0</v>
      </c>
      <c r="G18" s="117">
        <v>0</v>
      </c>
      <c r="H18" s="292">
        <v>0</v>
      </c>
      <c r="I18" s="347">
        <v>0</v>
      </c>
      <c r="J18" s="347"/>
      <c r="K18" s="347"/>
      <c r="L18" s="347"/>
      <c r="M18" s="347"/>
      <c r="N18" s="292">
        <v>0</v>
      </c>
      <c r="O18" s="292">
        <v>0</v>
      </c>
      <c r="P18" s="525" t="s">
        <v>81</v>
      </c>
      <c r="Q18" s="52"/>
      <c r="R18" s="139"/>
      <c r="S18" s="33"/>
    </row>
    <row r="19" spans="1:21" ht="37.5" x14ac:dyDescent="0.25">
      <c r="A19" s="523"/>
      <c r="B19" s="524"/>
      <c r="C19" s="516"/>
      <c r="D19" s="125" t="s">
        <v>1</v>
      </c>
      <c r="E19" s="117"/>
      <c r="F19" s="179">
        <f>SUM(G19:O19)</f>
        <v>0</v>
      </c>
      <c r="G19" s="117">
        <v>0</v>
      </c>
      <c r="H19" s="292">
        <v>0</v>
      </c>
      <c r="I19" s="347">
        <v>0</v>
      </c>
      <c r="J19" s="347"/>
      <c r="K19" s="347"/>
      <c r="L19" s="347"/>
      <c r="M19" s="347"/>
      <c r="N19" s="292">
        <v>0</v>
      </c>
      <c r="O19" s="292">
        <v>0</v>
      </c>
      <c r="P19" s="525"/>
      <c r="Q19" s="52"/>
      <c r="R19" s="139"/>
      <c r="S19" s="33"/>
    </row>
    <row r="20" spans="1:21" ht="56.25" customHeight="1" x14ac:dyDescent="0.25">
      <c r="A20" s="523"/>
      <c r="B20" s="524"/>
      <c r="C20" s="516"/>
      <c r="D20" s="125" t="s">
        <v>48</v>
      </c>
      <c r="E20" s="117">
        <v>39046.151080000003</v>
      </c>
      <c r="F20" s="179">
        <f>SUM(G20:O20)</f>
        <v>498678.30355999997</v>
      </c>
      <c r="G20" s="117">
        <v>110760.19452</v>
      </c>
      <c r="H20" s="292">
        <v>125993.87864</v>
      </c>
      <c r="I20" s="347">
        <v>87308.076799999995</v>
      </c>
      <c r="J20" s="347"/>
      <c r="K20" s="347"/>
      <c r="L20" s="347"/>
      <c r="M20" s="347"/>
      <c r="N20" s="292">
        <f>87120+188.0768</f>
        <v>87308.076799999995</v>
      </c>
      <c r="O20" s="292">
        <f>87120+188.0768</f>
        <v>87308.076799999995</v>
      </c>
      <c r="P20" s="525"/>
      <c r="Q20" s="52" t="e">
        <f>'[1]Лист 1'!$F$478/1000</f>
        <v>#REF!</v>
      </c>
      <c r="R20" s="139">
        <v>0.27</v>
      </c>
      <c r="S20" s="33" t="e">
        <f>Q20-R20</f>
        <v>#REF!</v>
      </c>
    </row>
    <row r="21" spans="1:21" ht="37.5" x14ac:dyDescent="0.25">
      <c r="A21" s="523"/>
      <c r="B21" s="524"/>
      <c r="C21" s="516"/>
      <c r="D21" s="125" t="s">
        <v>87</v>
      </c>
      <c r="E21" s="117"/>
      <c r="F21" s="179">
        <f>SUM(G21:O21)</f>
        <v>960493.93030000012</v>
      </c>
      <c r="G21" s="117">
        <f>G22</f>
        <v>170615.4915</v>
      </c>
      <c r="H21" s="292">
        <f>H22</f>
        <v>197469.6097</v>
      </c>
      <c r="I21" s="347">
        <f>I22</f>
        <v>197469.6097</v>
      </c>
      <c r="J21" s="347"/>
      <c r="K21" s="347"/>
      <c r="L21" s="347"/>
      <c r="M21" s="347"/>
      <c r="N21" s="292">
        <f t="shared" ref="N21:O21" si="13">N22</f>
        <v>197469.6097</v>
      </c>
      <c r="O21" s="292">
        <f t="shared" si="13"/>
        <v>197469.6097</v>
      </c>
      <c r="P21" s="525"/>
      <c r="Q21" s="52"/>
      <c r="R21" s="139"/>
      <c r="S21" s="33"/>
    </row>
    <row r="22" spans="1:21" ht="93.75" x14ac:dyDescent="0.25">
      <c r="A22" s="523"/>
      <c r="B22" s="524"/>
      <c r="C22" s="516"/>
      <c r="D22" s="125" t="s">
        <v>88</v>
      </c>
      <c r="E22" s="117"/>
      <c r="F22" s="179">
        <f>SUM(G22:O22)</f>
        <v>960493.93030000012</v>
      </c>
      <c r="G22" s="71">
        <v>170615.4915</v>
      </c>
      <c r="H22" s="299">
        <v>197469.6097</v>
      </c>
      <c r="I22" s="528">
        <f>N22</f>
        <v>197469.6097</v>
      </c>
      <c r="J22" s="528"/>
      <c r="K22" s="528"/>
      <c r="L22" s="528"/>
      <c r="M22" s="528"/>
      <c r="N22" s="299">
        <f>H22</f>
        <v>197469.6097</v>
      </c>
      <c r="O22" s="299">
        <f>N22</f>
        <v>197469.6097</v>
      </c>
      <c r="P22" s="525"/>
      <c r="Q22" s="52"/>
      <c r="R22" s="139"/>
      <c r="S22" s="33"/>
    </row>
    <row r="23" spans="1:21" s="40" customFormat="1" ht="22.5" customHeight="1" x14ac:dyDescent="0.25">
      <c r="A23" s="523"/>
      <c r="B23" s="423" t="s">
        <v>185</v>
      </c>
      <c r="C23" s="387" t="s">
        <v>116</v>
      </c>
      <c r="D23" s="387" t="s">
        <v>116</v>
      </c>
      <c r="E23" s="131"/>
      <c r="F23" s="338" t="s">
        <v>117</v>
      </c>
      <c r="G23" s="132" t="s">
        <v>220</v>
      </c>
      <c r="H23" s="287" t="s">
        <v>221</v>
      </c>
      <c r="I23" s="321" t="s">
        <v>123</v>
      </c>
      <c r="J23" s="316" t="s">
        <v>118</v>
      </c>
      <c r="K23" s="316"/>
      <c r="L23" s="316"/>
      <c r="M23" s="316"/>
      <c r="N23" s="287" t="s">
        <v>124</v>
      </c>
      <c r="O23" s="287" t="s">
        <v>125</v>
      </c>
      <c r="P23" s="335" t="s">
        <v>116</v>
      </c>
      <c r="Q23" s="101"/>
      <c r="R23" s="9"/>
      <c r="S23" s="9"/>
    </row>
    <row r="24" spans="1:21" s="40" customFormat="1" ht="20.25" customHeight="1" x14ac:dyDescent="0.25">
      <c r="A24" s="523"/>
      <c r="B24" s="423"/>
      <c r="C24" s="387"/>
      <c r="D24" s="387"/>
      <c r="E24" s="131"/>
      <c r="F24" s="338"/>
      <c r="G24" s="131"/>
      <c r="H24" s="288"/>
      <c r="I24" s="321"/>
      <c r="J24" s="288" t="s">
        <v>119</v>
      </c>
      <c r="K24" s="288" t="s">
        <v>120</v>
      </c>
      <c r="L24" s="288" t="s">
        <v>121</v>
      </c>
      <c r="M24" s="288" t="s">
        <v>122</v>
      </c>
      <c r="N24" s="288"/>
      <c r="O24" s="288"/>
      <c r="P24" s="335"/>
      <c r="Q24" s="101"/>
      <c r="R24" s="9"/>
      <c r="S24" s="9"/>
    </row>
    <row r="25" spans="1:21" s="40" customFormat="1" ht="24.75" customHeight="1" x14ac:dyDescent="0.25">
      <c r="A25" s="523"/>
      <c r="B25" s="423"/>
      <c r="C25" s="387"/>
      <c r="D25" s="387"/>
      <c r="E25" s="131"/>
      <c r="F25" s="157">
        <v>3</v>
      </c>
      <c r="G25" s="133">
        <v>3</v>
      </c>
      <c r="H25" s="189">
        <v>3</v>
      </c>
      <c r="I25" s="189">
        <v>3</v>
      </c>
      <c r="J25" s="189">
        <v>3</v>
      </c>
      <c r="K25" s="189">
        <v>3</v>
      </c>
      <c r="L25" s="189">
        <v>3</v>
      </c>
      <c r="M25" s="189">
        <v>3</v>
      </c>
      <c r="N25" s="189">
        <v>3</v>
      </c>
      <c r="O25" s="189">
        <v>3</v>
      </c>
      <c r="P25" s="335"/>
      <c r="Q25" s="101"/>
      <c r="R25" s="9"/>
      <c r="S25" s="9"/>
    </row>
    <row r="26" spans="1:21" ht="37.5" customHeight="1" x14ac:dyDescent="0.25">
      <c r="A26" s="523" t="s">
        <v>28</v>
      </c>
      <c r="B26" s="524" t="s">
        <v>146</v>
      </c>
      <c r="C26" s="516" t="s">
        <v>86</v>
      </c>
      <c r="D26" s="125" t="s">
        <v>40</v>
      </c>
      <c r="E26" s="117"/>
      <c r="F26" s="179">
        <f>SUM(G26:O26)</f>
        <v>0</v>
      </c>
      <c r="G26" s="117">
        <v>0</v>
      </c>
      <c r="H26" s="292">
        <v>0</v>
      </c>
      <c r="I26" s="347">
        <v>0</v>
      </c>
      <c r="J26" s="347"/>
      <c r="K26" s="347"/>
      <c r="L26" s="347"/>
      <c r="M26" s="347"/>
      <c r="N26" s="292">
        <v>0</v>
      </c>
      <c r="O26" s="292">
        <v>0</v>
      </c>
      <c r="P26" s="525" t="s">
        <v>38</v>
      </c>
      <c r="Q26" s="52"/>
      <c r="R26" s="139"/>
      <c r="S26" s="33"/>
    </row>
    <row r="27" spans="1:21" ht="33.75" customHeight="1" x14ac:dyDescent="0.25">
      <c r="A27" s="523"/>
      <c r="B27" s="524"/>
      <c r="C27" s="516"/>
      <c r="D27" s="125" t="s">
        <v>1</v>
      </c>
      <c r="E27" s="117"/>
      <c r="F27" s="179">
        <f>SUM(G27:O27)</f>
        <v>0</v>
      </c>
      <c r="G27" s="117">
        <v>0</v>
      </c>
      <c r="H27" s="292">
        <v>0</v>
      </c>
      <c r="I27" s="347">
        <v>0</v>
      </c>
      <c r="J27" s="347"/>
      <c r="K27" s="347"/>
      <c r="L27" s="347"/>
      <c r="M27" s="347"/>
      <c r="N27" s="292">
        <v>0</v>
      </c>
      <c r="O27" s="292">
        <v>0</v>
      </c>
      <c r="P27" s="525"/>
      <c r="Q27" s="52"/>
      <c r="R27" s="139"/>
      <c r="S27" s="33"/>
    </row>
    <row r="28" spans="1:21" ht="57.75" customHeight="1" x14ac:dyDescent="0.25">
      <c r="A28" s="523"/>
      <c r="B28" s="524"/>
      <c r="C28" s="516"/>
      <c r="D28" s="125" t="s">
        <v>48</v>
      </c>
      <c r="E28" s="117">
        <v>44371</v>
      </c>
      <c r="F28" s="179">
        <f>SUM(G28:O28)</f>
        <v>52861.491999999998</v>
      </c>
      <c r="G28" s="117">
        <v>10027.492</v>
      </c>
      <c r="H28" s="292">
        <v>8735</v>
      </c>
      <c r="I28" s="347">
        <v>10981</v>
      </c>
      <c r="J28" s="347"/>
      <c r="K28" s="347"/>
      <c r="L28" s="347"/>
      <c r="M28" s="347"/>
      <c r="N28" s="292">
        <v>11559</v>
      </c>
      <c r="O28" s="292">
        <v>11559</v>
      </c>
      <c r="P28" s="525"/>
      <c r="Q28" s="52">
        <v>0</v>
      </c>
      <c r="R28" s="139">
        <v>0</v>
      </c>
      <c r="S28" s="33">
        <f>Q28-R28</f>
        <v>0</v>
      </c>
      <c r="T28" s="5"/>
      <c r="U28" s="5"/>
    </row>
    <row r="29" spans="1:21" ht="31.5" customHeight="1" x14ac:dyDescent="0.25">
      <c r="A29" s="523"/>
      <c r="B29" s="524"/>
      <c r="C29" s="516"/>
      <c r="D29" s="125" t="s">
        <v>87</v>
      </c>
      <c r="E29" s="117"/>
      <c r="F29" s="179">
        <f>SUM(G29:O29)</f>
        <v>0</v>
      </c>
      <c r="G29" s="117">
        <v>0</v>
      </c>
      <c r="H29" s="292">
        <v>0</v>
      </c>
      <c r="I29" s="347">
        <v>0</v>
      </c>
      <c r="J29" s="347"/>
      <c r="K29" s="347"/>
      <c r="L29" s="347"/>
      <c r="M29" s="347"/>
      <c r="N29" s="292">
        <v>0</v>
      </c>
      <c r="O29" s="292">
        <v>0</v>
      </c>
      <c r="P29" s="525"/>
      <c r="Q29" s="33"/>
      <c r="R29" s="140"/>
      <c r="S29" s="33"/>
      <c r="T29" s="5"/>
      <c r="U29" s="5"/>
    </row>
    <row r="30" spans="1:21" s="40" customFormat="1" ht="21" customHeight="1" x14ac:dyDescent="0.25">
      <c r="A30" s="523"/>
      <c r="B30" s="423" t="s">
        <v>179</v>
      </c>
      <c r="C30" s="387" t="s">
        <v>116</v>
      </c>
      <c r="D30" s="387" t="s">
        <v>116</v>
      </c>
      <c r="E30" s="131"/>
      <c r="F30" s="338" t="s">
        <v>117</v>
      </c>
      <c r="G30" s="132" t="s">
        <v>220</v>
      </c>
      <c r="H30" s="287" t="s">
        <v>46</v>
      </c>
      <c r="I30" s="321" t="s">
        <v>123</v>
      </c>
      <c r="J30" s="316" t="s">
        <v>118</v>
      </c>
      <c r="K30" s="316"/>
      <c r="L30" s="316"/>
      <c r="M30" s="316"/>
      <c r="N30" s="287" t="s">
        <v>124</v>
      </c>
      <c r="O30" s="287" t="s">
        <v>125</v>
      </c>
      <c r="P30" s="335" t="s">
        <v>116</v>
      </c>
      <c r="Q30" s="101"/>
      <c r="R30" s="9"/>
      <c r="S30" s="9"/>
    </row>
    <row r="31" spans="1:21" s="40" customFormat="1" ht="20.25" customHeight="1" x14ac:dyDescent="0.25">
      <c r="A31" s="523"/>
      <c r="B31" s="423"/>
      <c r="C31" s="387"/>
      <c r="D31" s="387"/>
      <c r="E31" s="131"/>
      <c r="F31" s="338"/>
      <c r="G31" s="131"/>
      <c r="H31" s="288"/>
      <c r="I31" s="321"/>
      <c r="J31" s="288" t="s">
        <v>119</v>
      </c>
      <c r="K31" s="288" t="s">
        <v>120</v>
      </c>
      <c r="L31" s="288" t="s">
        <v>121</v>
      </c>
      <c r="M31" s="288" t="s">
        <v>122</v>
      </c>
      <c r="N31" s="288"/>
      <c r="O31" s="288"/>
      <c r="P31" s="335"/>
      <c r="Q31" s="101"/>
      <c r="R31" s="9"/>
      <c r="S31" s="9"/>
    </row>
    <row r="32" spans="1:21" s="40" customFormat="1" ht="27.75" customHeight="1" x14ac:dyDescent="0.25">
      <c r="A32" s="523"/>
      <c r="B32" s="423"/>
      <c r="C32" s="387"/>
      <c r="D32" s="387"/>
      <c r="E32" s="131"/>
      <c r="F32" s="157">
        <f>I32+G32+H32+N32+O32</f>
        <v>80</v>
      </c>
      <c r="G32" s="133">
        <v>16</v>
      </c>
      <c r="H32" s="133">
        <v>16</v>
      </c>
      <c r="I32" s="133">
        <v>16</v>
      </c>
      <c r="J32" s="133">
        <v>6</v>
      </c>
      <c r="K32" s="133">
        <v>6</v>
      </c>
      <c r="L32" s="133">
        <v>15</v>
      </c>
      <c r="M32" s="133">
        <v>16</v>
      </c>
      <c r="N32" s="133">
        <v>16</v>
      </c>
      <c r="O32" s="133">
        <v>16</v>
      </c>
      <c r="P32" s="335"/>
      <c r="Q32" s="101"/>
      <c r="R32" s="9"/>
      <c r="S32" s="9"/>
    </row>
    <row r="33" spans="1:25" s="9" customFormat="1" ht="36.75" customHeight="1" x14ac:dyDescent="0.25">
      <c r="A33" s="380" t="s">
        <v>184</v>
      </c>
      <c r="B33" s="381"/>
      <c r="C33" s="381"/>
      <c r="D33" s="381"/>
      <c r="E33" s="153">
        <f>E36</f>
        <v>181275.1586</v>
      </c>
      <c r="F33" s="158">
        <f t="shared" ref="F33:F46" si="14">SUM(G33:O33)</f>
        <v>2099170.5757900001</v>
      </c>
      <c r="G33" s="153">
        <f t="shared" ref="G33:H33" si="15">G34+G35+G36+G37</f>
        <v>407683.76996000001</v>
      </c>
      <c r="H33" s="153">
        <f t="shared" si="15"/>
        <v>447571.36115000001</v>
      </c>
      <c r="I33" s="526">
        <f>I34+I35+I36+I37</f>
        <v>414446.79368</v>
      </c>
      <c r="J33" s="526"/>
      <c r="K33" s="526"/>
      <c r="L33" s="526"/>
      <c r="M33" s="526"/>
      <c r="N33" s="153">
        <f t="shared" ref="N33:O33" si="16">N34+N35+N36+N37</f>
        <v>414734.32550000004</v>
      </c>
      <c r="O33" s="153">
        <f t="shared" si="16"/>
        <v>414734.32550000004</v>
      </c>
      <c r="P33" s="154"/>
      <c r="Q33" s="32"/>
      <c r="R33" s="32"/>
      <c r="S33" s="32"/>
      <c r="X33" s="45"/>
      <c r="Y33" s="45"/>
    </row>
    <row r="34" spans="1:25" s="9" customFormat="1" ht="18.75" x14ac:dyDescent="0.25">
      <c r="A34" s="520" t="s">
        <v>40</v>
      </c>
      <c r="B34" s="520"/>
      <c r="C34" s="520"/>
      <c r="D34" s="520"/>
      <c r="E34" s="99"/>
      <c r="F34" s="158">
        <f t="shared" si="14"/>
        <v>0</v>
      </c>
      <c r="G34" s="99">
        <f t="shared" ref="G34:H34" si="17">G6</f>
        <v>0</v>
      </c>
      <c r="H34" s="99">
        <f t="shared" si="17"/>
        <v>0</v>
      </c>
      <c r="I34" s="519">
        <f>I6</f>
        <v>0</v>
      </c>
      <c r="J34" s="519"/>
      <c r="K34" s="519"/>
      <c r="L34" s="519"/>
      <c r="M34" s="519"/>
      <c r="N34" s="99">
        <f t="shared" ref="N34:O34" si="18">N6</f>
        <v>0</v>
      </c>
      <c r="O34" s="99">
        <f t="shared" si="18"/>
        <v>0</v>
      </c>
      <c r="P34" s="12"/>
      <c r="Q34" s="32"/>
      <c r="R34" s="32"/>
      <c r="S34" s="32"/>
      <c r="X34" s="45"/>
      <c r="Y34" s="45"/>
    </row>
    <row r="35" spans="1:25" ht="18.75" x14ac:dyDescent="0.25">
      <c r="A35" s="382" t="s">
        <v>1</v>
      </c>
      <c r="B35" s="382"/>
      <c r="C35" s="382"/>
      <c r="D35" s="382"/>
      <c r="E35" s="48">
        <f>E7</f>
        <v>0</v>
      </c>
      <c r="F35" s="158">
        <f t="shared" si="14"/>
        <v>538.57065999999998</v>
      </c>
      <c r="G35" s="48">
        <f t="shared" ref="G35:H35" si="19">G7</f>
        <v>141.46065999999999</v>
      </c>
      <c r="H35" s="48">
        <f t="shared" si="19"/>
        <v>397.11</v>
      </c>
      <c r="I35" s="469">
        <f>I7</f>
        <v>0</v>
      </c>
      <c r="J35" s="469"/>
      <c r="K35" s="469"/>
      <c r="L35" s="469"/>
      <c r="M35" s="469"/>
      <c r="N35" s="48">
        <f t="shared" ref="N35:O35" si="20">N7</f>
        <v>0</v>
      </c>
      <c r="O35" s="48">
        <f t="shared" si="20"/>
        <v>0</v>
      </c>
      <c r="P35" s="12"/>
      <c r="Q35" s="32"/>
      <c r="R35" s="32"/>
      <c r="S35" s="32"/>
      <c r="X35" s="46"/>
      <c r="Y35" s="46"/>
    </row>
    <row r="36" spans="1:25" ht="18.75" x14ac:dyDescent="0.25">
      <c r="A36" s="382" t="s">
        <v>48</v>
      </c>
      <c r="B36" s="382"/>
      <c r="C36" s="382"/>
      <c r="D36" s="382"/>
      <c r="E36" s="48">
        <f>E8</f>
        <v>181275.1586</v>
      </c>
      <c r="F36" s="158">
        <f t="shared" si="14"/>
        <v>1138138.0748299998</v>
      </c>
      <c r="G36" s="48">
        <f t="shared" ref="G36:H36" si="21">G8</f>
        <v>236926.81779999999</v>
      </c>
      <c r="H36" s="48">
        <f t="shared" si="21"/>
        <v>249704.64145</v>
      </c>
      <c r="I36" s="469">
        <f>I8</f>
        <v>216977.18397999997</v>
      </c>
      <c r="J36" s="469"/>
      <c r="K36" s="469"/>
      <c r="L36" s="469"/>
      <c r="M36" s="469"/>
      <c r="N36" s="48">
        <f t="shared" ref="N36:O36" si="22">N8</f>
        <v>217264.71580000001</v>
      </c>
      <c r="O36" s="48">
        <f t="shared" si="22"/>
        <v>217264.71580000001</v>
      </c>
      <c r="P36" s="12"/>
      <c r="Q36" s="32"/>
      <c r="R36" s="32"/>
      <c r="S36" s="32"/>
      <c r="U36" s="46">
        <f>I36</f>
        <v>216977.18397999997</v>
      </c>
      <c r="X36" s="46"/>
      <c r="Y36" s="46"/>
    </row>
    <row r="37" spans="1:25" ht="18.75" x14ac:dyDescent="0.25">
      <c r="A37" s="382" t="s">
        <v>87</v>
      </c>
      <c r="B37" s="382"/>
      <c r="C37" s="382"/>
      <c r="D37" s="382"/>
      <c r="E37" s="48"/>
      <c r="F37" s="158">
        <f t="shared" si="14"/>
        <v>960493.93030000012</v>
      </c>
      <c r="G37" s="48">
        <f t="shared" ref="G37:H37" si="23">G9</f>
        <v>170615.4915</v>
      </c>
      <c r="H37" s="48">
        <f t="shared" si="23"/>
        <v>197469.6097</v>
      </c>
      <c r="I37" s="469">
        <f>I9</f>
        <v>197469.6097</v>
      </c>
      <c r="J37" s="469"/>
      <c r="K37" s="469"/>
      <c r="L37" s="469"/>
      <c r="M37" s="469"/>
      <c r="N37" s="48">
        <f t="shared" ref="N37:O37" si="24">N9</f>
        <v>197469.6097</v>
      </c>
      <c r="O37" s="48">
        <f t="shared" si="24"/>
        <v>197469.6097</v>
      </c>
      <c r="P37" s="12"/>
      <c r="Q37" s="32"/>
      <c r="R37" s="32"/>
      <c r="S37" s="32"/>
      <c r="X37" s="46"/>
      <c r="Y37" s="46"/>
    </row>
    <row r="38" spans="1:25" ht="18.75" x14ac:dyDescent="0.3">
      <c r="A38" s="452" t="s">
        <v>88</v>
      </c>
      <c r="B38" s="452"/>
      <c r="C38" s="452"/>
      <c r="D38" s="452"/>
      <c r="E38" s="37" t="e">
        <f>#REF!+'Подпрограмма 1'!#REF!+'Подпрограмма 2'!#REF!</f>
        <v>#REF!</v>
      </c>
      <c r="F38" s="158">
        <f t="shared" si="14"/>
        <v>960493.93030000012</v>
      </c>
      <c r="G38" s="93">
        <f t="shared" ref="G38:H38" si="25">G10</f>
        <v>170615.4915</v>
      </c>
      <c r="H38" s="93">
        <f t="shared" si="25"/>
        <v>197469.6097</v>
      </c>
      <c r="I38" s="481">
        <f>I10</f>
        <v>197469.6097</v>
      </c>
      <c r="J38" s="481"/>
      <c r="K38" s="481"/>
      <c r="L38" s="481"/>
      <c r="M38" s="481"/>
      <c r="N38" s="93">
        <f t="shared" ref="N38:O38" si="26">N10</f>
        <v>197469.6097</v>
      </c>
      <c r="O38" s="93">
        <f t="shared" si="26"/>
        <v>197469.6097</v>
      </c>
      <c r="P38" s="6"/>
      <c r="Q38" s="106" t="e">
        <f>#REF!+'Подпрограмма 1'!#REF!+'Подпрограмма 2'!#REF!</f>
        <v>#REF!</v>
      </c>
      <c r="R38" s="9"/>
      <c r="S38" s="9"/>
      <c r="T38" s="4"/>
      <c r="U38" s="4"/>
      <c r="X38" s="46"/>
      <c r="Y38" s="46"/>
    </row>
    <row r="39" spans="1:25" s="9" customFormat="1" ht="36.75" customHeight="1" x14ac:dyDescent="0.25">
      <c r="A39" s="511" t="s">
        <v>17</v>
      </c>
      <c r="B39" s="511"/>
      <c r="C39" s="511"/>
      <c r="D39" s="511"/>
      <c r="E39" s="177" t="e">
        <f>E40+E41+E42+E45+E46</f>
        <v>#REF!</v>
      </c>
      <c r="F39" s="180">
        <f t="shared" si="14"/>
        <v>69825376.628629997</v>
      </c>
      <c r="G39" s="146">
        <f>G40+G41+G42+G44</f>
        <v>12803361.490590002</v>
      </c>
      <c r="H39" s="250">
        <f t="shared" ref="H39" si="27">H40+H41+H42+H44</f>
        <v>13263134.16708</v>
      </c>
      <c r="I39" s="530">
        <f>I40+I41+I42+I44</f>
        <v>14583930.010599999</v>
      </c>
      <c r="J39" s="530"/>
      <c r="K39" s="530"/>
      <c r="L39" s="530"/>
      <c r="M39" s="530"/>
      <c r="N39" s="146">
        <f t="shared" ref="N39:O39" si="28">N40+N41+N42+N44</f>
        <v>14590876.645180002</v>
      </c>
      <c r="O39" s="146">
        <f t="shared" si="28"/>
        <v>14584074.315180002</v>
      </c>
      <c r="P39" s="178"/>
      <c r="Q39" s="20"/>
      <c r="T39" s="8"/>
      <c r="U39" s="8"/>
      <c r="V39" s="115">
        <v>64839775.624750003</v>
      </c>
      <c r="W39" s="45">
        <f t="shared" ref="W39:W46" si="29">F39-V39</f>
        <v>4985601.0038799942</v>
      </c>
      <c r="X39" s="45">
        <v>12803361.490590002</v>
      </c>
      <c r="Y39" s="45"/>
    </row>
    <row r="40" spans="1:25" s="9" customFormat="1" ht="26.25" customHeight="1" x14ac:dyDescent="0.25">
      <c r="A40" s="512" t="s">
        <v>40</v>
      </c>
      <c r="B40" s="512"/>
      <c r="C40" s="512"/>
      <c r="D40" s="512"/>
      <c r="E40" s="105" t="e">
        <f>'Подпрограмма 1'!E396+'Подпрограмма 2'!E95</f>
        <v>#REF!</v>
      </c>
      <c r="F40" s="180">
        <f t="shared" si="14"/>
        <v>2255308.4837400001</v>
      </c>
      <c r="G40" s="128">
        <f>'Подпрограмма 1'!G396+'Подпрограмма 2'!G95+'Подпрограмма 3'!G34</f>
        <v>398561.31916999992</v>
      </c>
      <c r="H40" s="256">
        <f>'Подпрограмма 1'!H396+'Подпрограмма 2'!H95+'Подпрограмма 3'!H34</f>
        <v>463676.47893000004</v>
      </c>
      <c r="I40" s="529">
        <f>'Подпрограмма 1'!I396+'Подпрограмма 2'!I95+'Подпрограмма 3'!I34</f>
        <v>476817.81564000004</v>
      </c>
      <c r="J40" s="529"/>
      <c r="K40" s="529"/>
      <c r="L40" s="529"/>
      <c r="M40" s="529"/>
      <c r="N40" s="128">
        <f>'Подпрограмма 1'!N396+'Подпрограмма 2'!N95+'Подпрограмма 3'!N34</f>
        <v>463826.65</v>
      </c>
      <c r="O40" s="128">
        <f>'Подпрограмма 1'!O396+'Подпрограмма 2'!O95+'Подпрограмма 3'!O34</f>
        <v>452426.22000000003</v>
      </c>
      <c r="P40" s="19"/>
      <c r="Q40" s="20" t="e">
        <f>#REF!</f>
        <v>#REF!</v>
      </c>
      <c r="T40" s="8"/>
      <c r="U40" s="8"/>
      <c r="V40" s="115">
        <v>1872051.01917</v>
      </c>
      <c r="W40" s="45">
        <f t="shared" si="29"/>
        <v>383257.46457000007</v>
      </c>
      <c r="X40" s="116">
        <v>398561.31916999992</v>
      </c>
      <c r="Y40" s="116">
        <f t="shared" ref="Y40:Y46" si="30">G40-X40</f>
        <v>0</v>
      </c>
    </row>
    <row r="41" spans="1:25" s="9" customFormat="1" ht="24" customHeight="1" x14ac:dyDescent="0.25">
      <c r="A41" s="512" t="s">
        <v>1</v>
      </c>
      <c r="B41" s="512"/>
      <c r="C41" s="512"/>
      <c r="D41" s="512"/>
      <c r="E41" s="105" t="e">
        <f>#REF!+'Подпрограмма 1'!E397+'Подпрограмма 2'!E96+#REF!</f>
        <v>#REF!</v>
      </c>
      <c r="F41" s="180">
        <f t="shared" si="14"/>
        <v>40672494.251450002</v>
      </c>
      <c r="G41" s="256">
        <f>'Подпрограмма 1'!G397+'Подпрограмма 2'!G96+'Подпрограмма 3'!G35</f>
        <v>7623938.0609600022</v>
      </c>
      <c r="H41" s="256">
        <f>'Подпрограмма 1'!H397+'Подпрограмма 2'!H96+'Подпрограмма 3'!H35</f>
        <v>7799971.7568800012</v>
      </c>
      <c r="I41" s="529">
        <f>'Подпрограмма 1'!I397+'Подпрограмма 2'!I96+'Подпрограмма 3'!I35</f>
        <v>8421925.383609999</v>
      </c>
      <c r="J41" s="529"/>
      <c r="K41" s="529"/>
      <c r="L41" s="529"/>
      <c r="M41" s="529"/>
      <c r="N41" s="128">
        <f>'Подпрограмма 1'!N397+'Подпрограмма 2'!N96+'Подпрограмма 3'!N35</f>
        <v>8410709.4100000001</v>
      </c>
      <c r="O41" s="128">
        <f>'Подпрограмма 1'!O397+'Подпрограмма 2'!O96+'Подпрограмма 3'!O35</f>
        <v>8415949.6400000006</v>
      </c>
      <c r="P41" s="19"/>
      <c r="Q41" s="21" t="e">
        <f>#REF!+'Подпрограмма 1'!#REF!+'Подпрограмма 2'!#REF!+#REF!</f>
        <v>#REF!</v>
      </c>
      <c r="T41" s="8"/>
      <c r="U41" s="8"/>
      <c r="V41" s="115">
        <v>39441712.982210003</v>
      </c>
      <c r="W41" s="45">
        <f t="shared" si="29"/>
        <v>1230781.2692399994</v>
      </c>
      <c r="X41" s="116">
        <v>7623938.0609600022</v>
      </c>
      <c r="Y41" s="116">
        <f t="shared" si="30"/>
        <v>0</v>
      </c>
    </row>
    <row r="42" spans="1:25" s="9" customFormat="1" ht="24" customHeight="1" x14ac:dyDescent="0.25">
      <c r="A42" s="512" t="s">
        <v>48</v>
      </c>
      <c r="B42" s="512"/>
      <c r="C42" s="512"/>
      <c r="D42" s="512"/>
      <c r="E42" s="105" t="e">
        <f>#REF!+'Подпрограмма 1'!E398+'Подпрограмма 2'!E97+#REF!+'Подпрограмма 3'!E36</f>
        <v>#REF!</v>
      </c>
      <c r="F42" s="180">
        <f t="shared" si="14"/>
        <v>22796803.704520006</v>
      </c>
      <c r="G42" s="256">
        <f>'Подпрограмма 1'!G398+'Подпрограмма 2'!G97+'Подпрограмма 3'!G36</f>
        <v>4095859.6682799999</v>
      </c>
      <c r="H42" s="256">
        <f>'Подпрограмма 1'!H398+'Подпрограмма 2'!H97+'Подпрограмма 3'!H36</f>
        <v>4128790.1930699996</v>
      </c>
      <c r="I42" s="529">
        <f>'Подпрограмма 1'!I398+'Подпрограмма 2'!I97+'Подпрограмма 3'!I36</f>
        <v>4836829.4751700005</v>
      </c>
      <c r="J42" s="529"/>
      <c r="K42" s="529"/>
      <c r="L42" s="529"/>
      <c r="M42" s="529"/>
      <c r="N42" s="128">
        <f>'Подпрограмма 1'!N398+'Подпрограмма 2'!N97+'Подпрограмма 3'!N36</f>
        <v>4867983.2490000017</v>
      </c>
      <c r="O42" s="128">
        <f>'Подпрограмма 1'!O398+'Подпрограмма 2'!O97+'Подпрограмма 3'!O36</f>
        <v>4867341.1190000018</v>
      </c>
      <c r="P42" s="19"/>
      <c r="Q42" s="21" t="e">
        <f>#REF!+'Подпрограмма 1'!#REF!+'Подпрограмма 2'!#REF!+#REF!+#REF!</f>
        <v>#REF!</v>
      </c>
      <c r="T42" s="8"/>
      <c r="U42" s="8"/>
      <c r="V42" s="115">
        <v>19909798.706069998</v>
      </c>
      <c r="W42" s="45">
        <f t="shared" si="29"/>
        <v>2887004.9984500073</v>
      </c>
      <c r="X42" s="116">
        <v>4095859.6682799999</v>
      </c>
      <c r="Y42" s="116">
        <f t="shared" si="30"/>
        <v>0</v>
      </c>
    </row>
    <row r="43" spans="1:25" s="9" customFormat="1" ht="22.5" customHeight="1" x14ac:dyDescent="0.3">
      <c r="A43" s="452" t="s">
        <v>59</v>
      </c>
      <c r="B43" s="452"/>
      <c r="C43" s="452"/>
      <c r="D43" s="452"/>
      <c r="E43" s="120" t="e">
        <f>#REF!</f>
        <v>#REF!</v>
      </c>
      <c r="F43" s="181">
        <f t="shared" si="14"/>
        <v>2798298</v>
      </c>
      <c r="G43" s="119">
        <f>'Подпрограмма 1'!G399</f>
        <v>413035</v>
      </c>
      <c r="H43" s="255">
        <f>'Подпрограмма 1'!H399</f>
        <v>493052</v>
      </c>
      <c r="I43" s="481">
        <f>'Подпрограмма 1'!I399</f>
        <v>630737</v>
      </c>
      <c r="J43" s="481"/>
      <c r="K43" s="481"/>
      <c r="L43" s="481"/>
      <c r="M43" s="481"/>
      <c r="N43" s="119">
        <f>'Подпрограмма 1'!N399</f>
        <v>630737</v>
      </c>
      <c r="O43" s="119">
        <f>'Подпрограмма 1'!O399</f>
        <v>630737</v>
      </c>
      <c r="P43" s="6"/>
      <c r="V43" s="115">
        <v>2529243</v>
      </c>
      <c r="W43" s="45">
        <f t="shared" si="29"/>
        <v>269055</v>
      </c>
      <c r="X43" s="116">
        <v>413035</v>
      </c>
      <c r="Y43" s="116">
        <f t="shared" si="30"/>
        <v>0</v>
      </c>
    </row>
    <row r="44" spans="1:25" s="9" customFormat="1" ht="22.5" customHeight="1" x14ac:dyDescent="0.3">
      <c r="A44" s="453" t="s">
        <v>87</v>
      </c>
      <c r="B44" s="453"/>
      <c r="C44" s="453"/>
      <c r="D44" s="453"/>
      <c r="E44" s="120"/>
      <c r="F44" s="180">
        <f t="shared" si="14"/>
        <v>4100770.1889200006</v>
      </c>
      <c r="G44" s="120">
        <f>G45+G46</f>
        <v>685002.44218000001</v>
      </c>
      <c r="H44" s="257">
        <f>H45+H46</f>
        <v>870695.73820000014</v>
      </c>
      <c r="I44" s="531">
        <f>I45+I46</f>
        <v>848357.3361800001</v>
      </c>
      <c r="J44" s="531"/>
      <c r="K44" s="531"/>
      <c r="L44" s="531"/>
      <c r="M44" s="531"/>
      <c r="N44" s="120">
        <f t="shared" ref="N44:O44" si="31">N45+N46</f>
        <v>848357.3361800001</v>
      </c>
      <c r="O44" s="120">
        <f t="shared" si="31"/>
        <v>848357.3361800001</v>
      </c>
      <c r="P44" s="6"/>
      <c r="V44" s="115">
        <v>3616212.9173000003</v>
      </c>
      <c r="W44" s="45">
        <f t="shared" si="29"/>
        <v>484557.27162000025</v>
      </c>
      <c r="X44" s="116">
        <v>685002.44218000001</v>
      </c>
      <c r="Y44" s="116">
        <f t="shared" si="30"/>
        <v>0</v>
      </c>
    </row>
    <row r="45" spans="1:25" s="9" customFormat="1" ht="26.25" customHeight="1" x14ac:dyDescent="0.3">
      <c r="A45" s="452" t="s">
        <v>88</v>
      </c>
      <c r="B45" s="452"/>
      <c r="C45" s="452"/>
      <c r="D45" s="452"/>
      <c r="E45" s="107" t="e">
        <f>#REF!+'Подпрограмма 1'!E401+'Подпрограмма 2'!E99</f>
        <v>#REF!</v>
      </c>
      <c r="F45" s="181">
        <f t="shared" si="14"/>
        <v>3978891.0249199998</v>
      </c>
      <c r="G45" s="119">
        <f>'Подпрограмма 1'!G401+'Подпрограмма 2'!G99+'Подпрограмма 3'!G38</f>
        <v>661811.04018000001</v>
      </c>
      <c r="H45" s="255">
        <f>'Подпрограмма 1'!H401+'Подпрограмма 2'!H99+'Подпрограмма 3'!H38</f>
        <v>846169.42820000008</v>
      </c>
      <c r="I45" s="481">
        <f>'Подпрограмма 1'!I401+'Подпрограмма 2'!I99+'Подпрограмма 3'!I38</f>
        <v>823636.85218000005</v>
      </c>
      <c r="J45" s="481"/>
      <c r="K45" s="481"/>
      <c r="L45" s="481"/>
      <c r="M45" s="481"/>
      <c r="N45" s="119">
        <f>'Подпрограмма 1'!N401+'Подпрограмма 2'!N99+'Подпрограмма 3'!N38</f>
        <v>823636.85218000005</v>
      </c>
      <c r="O45" s="119">
        <f>'Подпрограмма 1'!O401+'Подпрограмма 2'!O99+'Подпрограмма 3'!O38</f>
        <v>823636.85218000005</v>
      </c>
      <c r="P45" s="6"/>
      <c r="Q45" s="106" t="e">
        <f>#REF!+'Подпрограмма 1'!F395+'Подпрограмма 2'!F94</f>
        <v>#REF!</v>
      </c>
      <c r="T45" s="8"/>
      <c r="U45" s="8"/>
      <c r="V45" s="115">
        <v>3494139.5792999999</v>
      </c>
      <c r="W45" s="45">
        <f t="shared" si="29"/>
        <v>484751.4456199999</v>
      </c>
      <c r="X45" s="116">
        <v>661811.04018000001</v>
      </c>
      <c r="Y45" s="116">
        <f t="shared" si="30"/>
        <v>0</v>
      </c>
    </row>
    <row r="46" spans="1:25" s="9" customFormat="1" ht="27.75" customHeight="1" x14ac:dyDescent="0.3">
      <c r="A46" s="452" t="s">
        <v>89</v>
      </c>
      <c r="B46" s="452"/>
      <c r="C46" s="452"/>
      <c r="D46" s="452"/>
      <c r="E46" s="107" t="e">
        <f>#REF!+'Подпрограмма 1'!E402</f>
        <v>#REF!</v>
      </c>
      <c r="F46" s="181">
        <f t="shared" si="14"/>
        <v>121879.16399999999</v>
      </c>
      <c r="G46" s="119">
        <f>'Подпрограмма 1'!G402</f>
        <v>23191.402000000002</v>
      </c>
      <c r="H46" s="255">
        <f>'Подпрограмма 1'!H402</f>
        <v>24526.31</v>
      </c>
      <c r="I46" s="481">
        <f>'Подпрограмма 1'!I402</f>
        <v>24720.484</v>
      </c>
      <c r="J46" s="481"/>
      <c r="K46" s="481"/>
      <c r="L46" s="481"/>
      <c r="M46" s="481"/>
      <c r="N46" s="119">
        <f>'Подпрограмма 1'!N402</f>
        <v>24720.484</v>
      </c>
      <c r="O46" s="119">
        <f>'Подпрограмма 1'!O402</f>
        <v>24720.484</v>
      </c>
      <c r="P46" s="6"/>
      <c r="Q46" s="106" t="e">
        <f>#REF!+'Подпрограмма 1'!F396</f>
        <v>#REF!</v>
      </c>
      <c r="T46" s="8"/>
      <c r="U46" s="8"/>
      <c r="V46" s="115">
        <v>122073.33799999999</v>
      </c>
      <c r="W46" s="45">
        <f t="shared" si="29"/>
        <v>-194.17399999999907</v>
      </c>
      <c r="X46" s="116">
        <v>23191.402000000002</v>
      </c>
      <c r="Y46" s="116">
        <f t="shared" si="30"/>
        <v>0</v>
      </c>
    </row>
    <row r="47" spans="1:25" s="9" customFormat="1" ht="18.75" x14ac:dyDescent="0.3">
      <c r="A47" s="65"/>
      <c r="B47" s="65"/>
      <c r="C47" s="65"/>
      <c r="D47" s="65"/>
      <c r="E47" s="66"/>
      <c r="F47" s="195"/>
      <c r="G47" s="67"/>
      <c r="H47" s="67"/>
      <c r="I47" s="67"/>
      <c r="J47" s="67"/>
      <c r="K47" s="67"/>
      <c r="L47" s="67"/>
      <c r="M47" s="67"/>
      <c r="N47" s="67"/>
      <c r="O47" s="67"/>
      <c r="P47" s="68"/>
      <c r="Q47" s="106"/>
      <c r="T47" s="8"/>
      <c r="U47" s="8"/>
    </row>
    <row r="48" spans="1:25" s="9" customFormat="1" ht="18" x14ac:dyDescent="0.25">
      <c r="A48" s="20"/>
      <c r="B48" s="20"/>
      <c r="C48" s="20"/>
      <c r="D48" s="20"/>
      <c r="E48" s="20"/>
      <c r="F48" s="196"/>
      <c r="G48" s="21"/>
      <c r="H48" s="258"/>
      <c r="I48" s="532"/>
      <c r="J48" s="532"/>
      <c r="K48" s="532"/>
      <c r="L48" s="532"/>
      <c r="M48" s="21"/>
      <c r="N48" s="21"/>
      <c r="O48" s="21"/>
      <c r="P48" s="22" t="s">
        <v>115</v>
      </c>
      <c r="Q48" s="22"/>
      <c r="U48" s="45">
        <f>U36+'Подпрограмма 2'!Q97+'Подпрограмма 1'!Q398</f>
        <v>4836829.4751699995</v>
      </c>
    </row>
    <row r="49" spans="1:17" s="9" customFormat="1" ht="18.75" x14ac:dyDescent="0.25">
      <c r="A49" s="23"/>
      <c r="B49" s="43" t="s">
        <v>230</v>
      </c>
      <c r="C49" s="23"/>
      <c r="D49" s="23"/>
      <c r="E49" s="23"/>
      <c r="F49" s="23" t="s">
        <v>227</v>
      </c>
      <c r="G49" s="23" t="s">
        <v>231</v>
      </c>
      <c r="H49" s="27"/>
      <c r="I49" s="23"/>
      <c r="J49" s="23"/>
      <c r="K49" s="23"/>
      <c r="L49" s="23"/>
      <c r="M49" s="23"/>
      <c r="N49" s="26"/>
      <c r="O49" s="26"/>
      <c r="P49" s="26"/>
      <c r="Q49" s="23"/>
    </row>
    <row r="50" spans="1:17" s="9" customFormat="1" ht="18.75" x14ac:dyDescent="0.25">
      <c r="A50" s="23"/>
      <c r="B50" s="27"/>
      <c r="C50" s="27"/>
      <c r="D50" s="197"/>
      <c r="E50" s="27"/>
      <c r="F50" s="27"/>
      <c r="G50" s="198"/>
      <c r="H50" s="199"/>
      <c r="I50" s="532"/>
      <c r="J50" s="532"/>
      <c r="K50" s="532"/>
      <c r="L50" s="532"/>
      <c r="M50" s="27"/>
      <c r="N50" s="27"/>
      <c r="O50" s="27"/>
      <c r="P50" s="27"/>
      <c r="Q50" s="27"/>
    </row>
    <row r="51" spans="1:17" s="9" customFormat="1" ht="35.1" customHeight="1" x14ac:dyDescent="0.25">
      <c r="A51" s="20"/>
      <c r="B51" s="20"/>
      <c r="C51" s="197"/>
      <c r="D51" s="197"/>
      <c r="E51" s="197"/>
      <c r="F51" s="197"/>
      <c r="G51" s="43"/>
      <c r="H51" s="43"/>
      <c r="I51" s="532"/>
      <c r="J51" s="532"/>
      <c r="K51" s="532"/>
      <c r="L51" s="532"/>
      <c r="M51" s="23"/>
      <c r="N51" s="43"/>
      <c r="O51" s="43"/>
      <c r="P51" s="20"/>
      <c r="Q51" s="20"/>
    </row>
    <row r="52" spans="1:17" s="9" customFormat="1" ht="18.75" x14ac:dyDescent="0.25">
      <c r="A52" s="20"/>
      <c r="B52" s="23" t="s">
        <v>18</v>
      </c>
      <c r="C52" s="23"/>
      <c r="D52" s="23"/>
      <c r="E52" s="23"/>
      <c r="F52" s="23" t="s">
        <v>227</v>
      </c>
      <c r="G52" s="43" t="s">
        <v>39</v>
      </c>
      <c r="H52" s="43"/>
      <c r="I52" s="23"/>
      <c r="J52" s="23"/>
      <c r="K52" s="23"/>
      <c r="L52" s="23"/>
      <c r="M52" s="23"/>
      <c r="N52" s="43"/>
      <c r="O52" s="43"/>
      <c r="P52" s="20"/>
      <c r="Q52" s="20"/>
    </row>
    <row r="53" spans="1:17" ht="18.75" x14ac:dyDescent="0.25">
      <c r="A53" s="20"/>
      <c r="B53" s="28"/>
      <c r="C53" s="28"/>
      <c r="D53" s="28"/>
      <c r="E53" s="28"/>
      <c r="F53" s="182"/>
      <c r="G53" s="24"/>
      <c r="H53" s="24"/>
      <c r="I53" s="23"/>
      <c r="J53" s="23"/>
      <c r="K53" s="23"/>
      <c r="L53" s="23"/>
      <c r="M53" s="23"/>
      <c r="N53" s="43"/>
      <c r="O53" s="43"/>
      <c r="P53" s="20"/>
      <c r="Q53" s="20"/>
    </row>
    <row r="54" spans="1:17" ht="18.75" x14ac:dyDescent="0.25">
      <c r="A54" s="20"/>
      <c r="B54" s="28"/>
      <c r="C54" s="28"/>
      <c r="D54" s="28"/>
      <c r="E54" s="28"/>
      <c r="F54" s="183"/>
      <c r="G54" s="24"/>
      <c r="H54" s="24"/>
      <c r="I54" s="25"/>
      <c r="J54" s="23"/>
      <c r="K54" s="23"/>
      <c r="L54" s="23"/>
      <c r="M54" s="23"/>
      <c r="N54" s="43"/>
      <c r="O54" s="43"/>
      <c r="P54" s="20"/>
      <c r="Q54" s="20"/>
    </row>
    <row r="55" spans="1:17" ht="18.75" hidden="1" x14ac:dyDescent="0.3">
      <c r="B55" s="482" t="s">
        <v>19</v>
      </c>
      <c r="C55" s="483"/>
      <c r="D55" s="483"/>
      <c r="E55" s="56" t="e">
        <f>#REF!+'Подпрограмма 1'!E405+'Подпрограмма 2'!E103</f>
        <v>#REF!</v>
      </c>
      <c r="F55" s="57">
        <f t="shared" ref="F55:F67" si="32">SUM(I55:O55)</f>
        <v>0</v>
      </c>
      <c r="G55" s="56">
        <f>'Подпрограмма 1'!F404+'Подпрограмма 2'!F102</f>
        <v>0</v>
      </c>
      <c r="H55" s="56" t="e">
        <f>'Подпрограмма 1'!#REF!+'Подпрограмма 2'!#REF!</f>
        <v>#REF!</v>
      </c>
      <c r="I55" s="475">
        <f>'Подпрограмма 1'!I404+'Подпрограмма 2'!I102</f>
        <v>0</v>
      </c>
      <c r="J55" s="476"/>
      <c r="K55" s="476"/>
      <c r="L55" s="476"/>
      <c r="M55" s="477"/>
      <c r="N55" s="56">
        <f>'Подпрограмма 1'!N404+'Подпрограмма 2'!N102</f>
        <v>0</v>
      </c>
      <c r="O55" s="56">
        <f>'Подпрограмма 1'!O404+'Подпрограмма 2'!O102</f>
        <v>0</v>
      </c>
      <c r="P55" s="7"/>
    </row>
    <row r="56" spans="1:17" ht="18.75" hidden="1" x14ac:dyDescent="0.3">
      <c r="B56" s="482" t="s">
        <v>21</v>
      </c>
      <c r="C56" s="483"/>
      <c r="D56" s="483"/>
      <c r="E56" s="56" t="e">
        <f>#REF!+'Подпрограмма 1'!E404</f>
        <v>#REF!</v>
      </c>
      <c r="F56" s="57">
        <f t="shared" si="32"/>
        <v>426113.27789999999</v>
      </c>
      <c r="G56" s="56">
        <f>'Подпрограмма 1'!F405+'Подпрограмма 2'!F103</f>
        <v>426113.27789999999</v>
      </c>
      <c r="H56" s="56" t="e">
        <f>'Подпрограмма 1'!#REF!+'Подпрограмма 2'!#REF!</f>
        <v>#REF!</v>
      </c>
      <c r="I56" s="475">
        <f>'Подпрограмма 1'!I405+'Подпрограмма 2'!I103</f>
        <v>95328.797900000005</v>
      </c>
      <c r="J56" s="476"/>
      <c r="K56" s="476"/>
      <c r="L56" s="476"/>
      <c r="M56" s="477"/>
      <c r="N56" s="56">
        <f>'Подпрограмма 1'!N405+'Подпрограмма 2'!N103</f>
        <v>165392.24</v>
      </c>
      <c r="O56" s="56">
        <f>'Подпрограмма 1'!O405+'Подпрограмма 2'!O103</f>
        <v>165392.24</v>
      </c>
      <c r="P56" s="7"/>
    </row>
    <row r="57" spans="1:17" ht="18.75" hidden="1" x14ac:dyDescent="0.3">
      <c r="B57" s="484" t="s">
        <v>20</v>
      </c>
      <c r="C57" s="485"/>
      <c r="D57" s="485"/>
      <c r="E57" s="58" t="e">
        <f>SUM(E55:E56)</f>
        <v>#REF!</v>
      </c>
      <c r="F57" s="57">
        <f t="shared" si="32"/>
        <v>426113.27789999999</v>
      </c>
      <c r="G57" s="58">
        <f>SUM(G55:G56)</f>
        <v>426113.27789999999</v>
      </c>
      <c r="H57" s="58" t="e">
        <f>SUM(H55:H56)</f>
        <v>#REF!</v>
      </c>
      <c r="I57" s="478">
        <f>SUM(I55:I56)</f>
        <v>95328.797900000005</v>
      </c>
      <c r="J57" s="479"/>
      <c r="K57" s="479"/>
      <c r="L57" s="479"/>
      <c r="M57" s="480"/>
      <c r="N57" s="58">
        <f>SUM(N55:N56)</f>
        <v>165392.24</v>
      </c>
      <c r="O57" s="58">
        <f>SUM(O55:O56)</f>
        <v>165392.24</v>
      </c>
      <c r="P57" s="7"/>
    </row>
    <row r="58" spans="1:17" ht="18.75" hidden="1" x14ac:dyDescent="0.3">
      <c r="B58" s="482" t="s">
        <v>61</v>
      </c>
      <c r="C58" s="483"/>
      <c r="D58" s="483"/>
      <c r="E58" s="56" t="e">
        <f>#REF!+'Подпрограмма 1'!E407</f>
        <v>#REF!</v>
      </c>
      <c r="F58" s="57">
        <f t="shared" si="32"/>
        <v>0</v>
      </c>
      <c r="G58" s="56">
        <f>'Подпрограмма 1'!F407</f>
        <v>0</v>
      </c>
      <c r="H58" s="56" t="e">
        <f>'Подпрограмма 1'!#REF!</f>
        <v>#REF!</v>
      </c>
      <c r="I58" s="475">
        <f>'Подпрограмма 1'!I407</f>
        <v>0</v>
      </c>
      <c r="J58" s="476"/>
      <c r="K58" s="476"/>
      <c r="L58" s="476"/>
      <c r="M58" s="477"/>
      <c r="N58" s="56">
        <f>'Подпрограмма 1'!N407</f>
        <v>0</v>
      </c>
      <c r="O58" s="56">
        <f>'Подпрограмма 1'!O407</f>
        <v>0</v>
      </c>
      <c r="P58" s="7"/>
    </row>
    <row r="59" spans="1:17" ht="18.75" hidden="1" x14ac:dyDescent="0.3">
      <c r="B59" s="482" t="s">
        <v>62</v>
      </c>
      <c r="C59" s="483"/>
      <c r="D59" s="483"/>
      <c r="E59" s="56" t="e">
        <f>#REF!+'Подпрограмма 1'!E408</f>
        <v>#REF!</v>
      </c>
      <c r="F59" s="57">
        <f t="shared" si="32"/>
        <v>20700</v>
      </c>
      <c r="G59" s="56">
        <f>'Подпрограмма 1'!F408</f>
        <v>20700</v>
      </c>
      <c r="H59" s="56" t="e">
        <f>'Подпрограмма 1'!#REF!</f>
        <v>#REF!</v>
      </c>
      <c r="I59" s="475">
        <f>'Подпрограмма 1'!I408</f>
        <v>6900</v>
      </c>
      <c r="J59" s="476"/>
      <c r="K59" s="476"/>
      <c r="L59" s="476"/>
      <c r="M59" s="477"/>
      <c r="N59" s="56">
        <f>'Подпрограмма 1'!N408</f>
        <v>6900</v>
      </c>
      <c r="O59" s="56">
        <f>'Подпрограмма 1'!O408</f>
        <v>6900</v>
      </c>
      <c r="P59" s="7"/>
    </row>
    <row r="60" spans="1:17" ht="18.75" hidden="1" x14ac:dyDescent="0.3">
      <c r="B60" s="484" t="s">
        <v>63</v>
      </c>
      <c r="C60" s="485"/>
      <c r="D60" s="485"/>
      <c r="E60" s="58" t="e">
        <f>SUM(E58:E59)</f>
        <v>#REF!</v>
      </c>
      <c r="F60" s="57">
        <f t="shared" si="32"/>
        <v>20700</v>
      </c>
      <c r="G60" s="58">
        <f>SUM(G58:G59)</f>
        <v>20700</v>
      </c>
      <c r="H60" s="58" t="e">
        <f>SUM(H58:H59)</f>
        <v>#REF!</v>
      </c>
      <c r="I60" s="478">
        <f>SUM(I58:I59)</f>
        <v>6900</v>
      </c>
      <c r="J60" s="479"/>
      <c r="K60" s="479"/>
      <c r="L60" s="479"/>
      <c r="M60" s="480"/>
      <c r="N60" s="58">
        <f>SUM(N58:N59)</f>
        <v>6900</v>
      </c>
      <c r="O60" s="58">
        <f>SUM(O58:O59)</f>
        <v>6900</v>
      </c>
      <c r="P60" s="7"/>
    </row>
    <row r="61" spans="1:17" ht="18.75" hidden="1" x14ac:dyDescent="0.3">
      <c r="B61" s="482" t="s">
        <v>43</v>
      </c>
      <c r="C61" s="483"/>
      <c r="D61" s="483"/>
      <c r="E61" s="47" t="e">
        <f>E40</f>
        <v>#REF!</v>
      </c>
      <c r="F61" s="57">
        <f t="shared" si="32"/>
        <v>1393070.68564</v>
      </c>
      <c r="G61" s="47">
        <f t="shared" ref="G61:H61" si="33">G40</f>
        <v>398561.31916999992</v>
      </c>
      <c r="H61" s="47">
        <f t="shared" si="33"/>
        <v>463676.47893000004</v>
      </c>
      <c r="I61" s="475">
        <f>I40</f>
        <v>476817.81564000004</v>
      </c>
      <c r="J61" s="476"/>
      <c r="K61" s="476"/>
      <c r="L61" s="476"/>
      <c r="M61" s="477"/>
      <c r="N61" s="47">
        <f t="shared" ref="N61:O61" si="34">N40</f>
        <v>463826.65</v>
      </c>
      <c r="O61" s="47">
        <f t="shared" si="34"/>
        <v>452426.22000000003</v>
      </c>
    </row>
    <row r="62" spans="1:17" ht="18.75" hidden="1" x14ac:dyDescent="0.3">
      <c r="B62" s="482" t="s">
        <v>64</v>
      </c>
      <c r="C62" s="483"/>
      <c r="D62" s="483"/>
      <c r="E62" s="56" t="e">
        <f>E42-E55-E58-#REF!</f>
        <v>#REF!</v>
      </c>
      <c r="F62" s="57">
        <f t="shared" si="32"/>
        <v>25227884.43361</v>
      </c>
      <c r="G62" s="56">
        <f t="shared" ref="G62:H62" si="35">G41-G55-G59</f>
        <v>7603238.0609600022</v>
      </c>
      <c r="H62" s="56" t="e">
        <f t="shared" si="35"/>
        <v>#REF!</v>
      </c>
      <c r="I62" s="475">
        <f>I41-I55-I59</f>
        <v>8415025.383609999</v>
      </c>
      <c r="J62" s="476"/>
      <c r="K62" s="476"/>
      <c r="L62" s="476"/>
      <c r="M62" s="477"/>
      <c r="N62" s="56">
        <f t="shared" ref="N62:O62" si="36">N41-N55-N59</f>
        <v>8403809.4100000001</v>
      </c>
      <c r="O62" s="56">
        <f t="shared" si="36"/>
        <v>8409049.6400000006</v>
      </c>
      <c r="P62" s="7"/>
    </row>
    <row r="63" spans="1:17" ht="18.75" hidden="1" x14ac:dyDescent="0.3">
      <c r="B63" s="482" t="s">
        <v>23</v>
      </c>
      <c r="C63" s="483"/>
      <c r="D63" s="483"/>
      <c r="E63" s="56" t="e">
        <f>E41-E56-E59-#REF!</f>
        <v>#REF!</v>
      </c>
      <c r="F63" s="57">
        <f t="shared" si="32"/>
        <v>14146040.565270003</v>
      </c>
      <c r="G63" s="56">
        <f t="shared" ref="G63:H63" si="37">G42-G56-G58</f>
        <v>3669746.3903799998</v>
      </c>
      <c r="H63" s="56" t="e">
        <f t="shared" si="37"/>
        <v>#REF!</v>
      </c>
      <c r="I63" s="475">
        <f>I42-I56-I58</f>
        <v>4741500.6772700008</v>
      </c>
      <c r="J63" s="476"/>
      <c r="K63" s="476"/>
      <c r="L63" s="476"/>
      <c r="M63" s="477"/>
      <c r="N63" s="56">
        <f t="shared" ref="N63:O63" si="38">N42-N56-N58</f>
        <v>4702591.0090000015</v>
      </c>
      <c r="O63" s="56">
        <f t="shared" si="38"/>
        <v>4701948.8790000016</v>
      </c>
      <c r="P63" s="7"/>
    </row>
    <row r="64" spans="1:17" ht="18.75" hidden="1" x14ac:dyDescent="0.3">
      <c r="B64" s="482" t="s">
        <v>87</v>
      </c>
      <c r="C64" s="483"/>
      <c r="D64" s="486"/>
      <c r="E64" s="56"/>
      <c r="F64" s="57">
        <f t="shared" si="32"/>
        <v>2545072.0085400003</v>
      </c>
      <c r="G64" s="56">
        <f t="shared" ref="G64:H64" si="39">G65+G66</f>
        <v>685002.44218000001</v>
      </c>
      <c r="H64" s="56">
        <f t="shared" si="39"/>
        <v>870695.73820000014</v>
      </c>
      <c r="I64" s="475">
        <f>I65+I66</f>
        <v>848357.3361800001</v>
      </c>
      <c r="J64" s="476"/>
      <c r="K64" s="476"/>
      <c r="L64" s="476"/>
      <c r="M64" s="477"/>
      <c r="N64" s="56">
        <f t="shared" ref="N64:O64" si="40">N65+N66</f>
        <v>848357.3361800001</v>
      </c>
      <c r="O64" s="56">
        <f t="shared" si="40"/>
        <v>848357.3361800001</v>
      </c>
      <c r="P64" s="7"/>
    </row>
    <row r="65" spans="1:19" ht="18.75" hidden="1" x14ac:dyDescent="0.3">
      <c r="B65" s="521" t="s">
        <v>88</v>
      </c>
      <c r="C65" s="522"/>
      <c r="D65" s="522"/>
      <c r="E65" s="56" t="e">
        <f>E45-#REF!</f>
        <v>#REF!</v>
      </c>
      <c r="F65" s="57">
        <f t="shared" si="32"/>
        <v>2470910.5565400003</v>
      </c>
      <c r="G65" s="56">
        <f t="shared" ref="G65:H65" si="41">G45</f>
        <v>661811.04018000001</v>
      </c>
      <c r="H65" s="56">
        <f t="shared" si="41"/>
        <v>846169.42820000008</v>
      </c>
      <c r="I65" s="475">
        <f>I45</f>
        <v>823636.85218000005</v>
      </c>
      <c r="J65" s="476"/>
      <c r="K65" s="476"/>
      <c r="L65" s="476"/>
      <c r="M65" s="477"/>
      <c r="N65" s="56">
        <f t="shared" ref="N65:O65" si="42">N45</f>
        <v>823636.85218000005</v>
      </c>
      <c r="O65" s="56">
        <f t="shared" si="42"/>
        <v>823636.85218000005</v>
      </c>
      <c r="P65" s="7"/>
    </row>
    <row r="66" spans="1:19" ht="18.75" hidden="1" x14ac:dyDescent="0.3">
      <c r="B66" s="521" t="s">
        <v>89</v>
      </c>
      <c r="C66" s="522"/>
      <c r="D66" s="522"/>
      <c r="E66" s="56" t="e">
        <f>E46</f>
        <v>#REF!</v>
      </c>
      <c r="F66" s="57">
        <f t="shared" si="32"/>
        <v>74161.452000000005</v>
      </c>
      <c r="G66" s="56">
        <f t="shared" ref="G66:H66" si="43">G46</f>
        <v>23191.402000000002</v>
      </c>
      <c r="H66" s="56">
        <f t="shared" si="43"/>
        <v>24526.31</v>
      </c>
      <c r="I66" s="475">
        <f>I46</f>
        <v>24720.484</v>
      </c>
      <c r="J66" s="476"/>
      <c r="K66" s="476"/>
      <c r="L66" s="476"/>
      <c r="M66" s="477"/>
      <c r="N66" s="56">
        <f t="shared" ref="N66:O66" si="44">N46</f>
        <v>24720.484</v>
      </c>
      <c r="O66" s="56">
        <f t="shared" si="44"/>
        <v>24720.484</v>
      </c>
      <c r="P66" s="7"/>
    </row>
    <row r="67" spans="1:19" ht="18.75" hidden="1" x14ac:dyDescent="0.3">
      <c r="B67" s="484" t="s">
        <v>24</v>
      </c>
      <c r="C67" s="485"/>
      <c r="D67" s="485"/>
      <c r="E67" s="58" t="e">
        <f>SUM(E61:E66)</f>
        <v>#REF!</v>
      </c>
      <c r="F67" s="57">
        <f t="shared" si="32"/>
        <v>45857139.7016</v>
      </c>
      <c r="G67" s="57">
        <f>SUM(G61:G66)</f>
        <v>13041550.654870003</v>
      </c>
      <c r="H67" s="57" t="e">
        <f>SUM(H61:H66)</f>
        <v>#REF!</v>
      </c>
      <c r="I67" s="534">
        <f>SUM(I61:I66)</f>
        <v>15330058.54888</v>
      </c>
      <c r="J67" s="535"/>
      <c r="K67" s="535"/>
      <c r="L67" s="535"/>
      <c r="M67" s="536"/>
      <c r="N67" s="57">
        <f>SUM(N61:N66)</f>
        <v>15266941.741360001</v>
      </c>
      <c r="O67" s="57">
        <f>SUM(O61:O66)</f>
        <v>15260139.411360003</v>
      </c>
      <c r="P67" s="7"/>
    </row>
    <row r="68" spans="1:19" ht="15" hidden="1" customHeight="1" x14ac:dyDescent="0.25">
      <c r="A68" s="15"/>
      <c r="B68" s="15"/>
      <c r="C68" s="16"/>
      <c r="D68" s="16"/>
      <c r="E68" s="16"/>
      <c r="F68" s="184"/>
      <c r="G68" s="42"/>
      <c r="H68" s="51"/>
      <c r="I68" s="17"/>
      <c r="J68" s="17"/>
      <c r="K68" s="17"/>
      <c r="L68" s="17"/>
      <c r="M68" s="17"/>
      <c r="N68" s="18"/>
      <c r="O68" s="18"/>
      <c r="P68" s="15"/>
      <c r="Q68" s="15"/>
      <c r="R68" s="15"/>
      <c r="S68" s="15"/>
    </row>
    <row r="69" spans="1:19" hidden="1" x14ac:dyDescent="0.25">
      <c r="E69" s="4"/>
      <c r="F69" s="171"/>
      <c r="G69" s="4"/>
      <c r="H69" s="4"/>
      <c r="I69" s="4"/>
      <c r="J69" s="4"/>
      <c r="K69" s="4"/>
      <c r="L69" s="4"/>
      <c r="M69" s="4"/>
      <c r="N69" s="4"/>
      <c r="O69" s="4"/>
    </row>
    <row r="70" spans="1:19" ht="15.75" hidden="1" x14ac:dyDescent="0.25">
      <c r="C70" s="7"/>
      <c r="D70" s="7"/>
      <c r="E70" s="7"/>
      <c r="F70" s="185">
        <f>F57+F60+F61+F62+F63</f>
        <v>41213808.962420002</v>
      </c>
      <c r="G70" s="111">
        <f t="shared" ref="G70:H70" si="45">G57+G60+G61+G62+G63</f>
        <v>12118359.048410002</v>
      </c>
      <c r="H70" s="111" t="e">
        <f t="shared" si="45"/>
        <v>#REF!</v>
      </c>
      <c r="I70" s="533">
        <f>I57+I60+I61+I62+I63</f>
        <v>13735572.674419999</v>
      </c>
      <c r="J70" s="533"/>
      <c r="K70" s="533"/>
      <c r="L70" s="533"/>
      <c r="M70" s="533"/>
      <c r="N70" s="111">
        <f t="shared" ref="N70:O70" si="46">N57+N60+N61+N62+N63</f>
        <v>13742519.309000002</v>
      </c>
      <c r="O70" s="111">
        <f t="shared" si="46"/>
        <v>13735716.979000002</v>
      </c>
    </row>
    <row r="71" spans="1:19" ht="21" hidden="1" x14ac:dyDescent="0.35">
      <c r="E71" s="4"/>
      <c r="H71" s="70"/>
      <c r="I71" s="533"/>
      <c r="J71" s="533"/>
      <c r="K71" s="533"/>
      <c r="L71" s="533"/>
      <c r="M71" s="533"/>
      <c r="N71" s="70"/>
      <c r="O71" s="70"/>
    </row>
    <row r="72" spans="1:19" ht="15.75" hidden="1" x14ac:dyDescent="0.25">
      <c r="E72" s="4"/>
      <c r="F72" s="186"/>
      <c r="G72" s="41"/>
      <c r="H72" s="41"/>
      <c r="I72" s="533"/>
      <c r="J72" s="533"/>
      <c r="K72" s="533"/>
      <c r="L72" s="533"/>
      <c r="M72" s="533"/>
      <c r="N72" s="11"/>
      <c r="O72" s="11"/>
    </row>
    <row r="73" spans="1:19" ht="15.75" hidden="1" x14ac:dyDescent="0.25">
      <c r="E73" s="4"/>
      <c r="F73" s="186"/>
      <c r="G73" s="41"/>
      <c r="H73" s="60"/>
      <c r="I73" s="533"/>
      <c r="J73" s="533"/>
      <c r="K73" s="533"/>
      <c r="L73" s="533"/>
      <c r="M73" s="533"/>
      <c r="N73" s="4"/>
      <c r="O73" s="4"/>
    </row>
    <row r="74" spans="1:19" ht="15.75" x14ac:dyDescent="0.25">
      <c r="E74" s="4"/>
      <c r="F74" s="186"/>
      <c r="G74" s="41"/>
      <c r="H74" s="41"/>
      <c r="I74" s="533"/>
      <c r="J74" s="533"/>
      <c r="K74" s="533"/>
      <c r="L74" s="533"/>
      <c r="M74" s="533"/>
      <c r="N74" s="11"/>
      <c r="O74" s="11"/>
    </row>
    <row r="75" spans="1:19" ht="15.75" x14ac:dyDescent="0.25">
      <c r="E75" s="11"/>
      <c r="F75" s="186"/>
      <c r="G75" s="41"/>
      <c r="H75" s="41"/>
      <c r="I75" s="533"/>
      <c r="J75" s="533"/>
      <c r="K75" s="533"/>
      <c r="L75" s="533"/>
      <c r="M75" s="533"/>
      <c r="N75" s="11"/>
      <c r="O75" s="11"/>
    </row>
    <row r="76" spans="1:19" ht="18.75" x14ac:dyDescent="0.3">
      <c r="F76" s="186"/>
      <c r="I76" s="59"/>
      <c r="J76" s="59"/>
      <c r="K76" s="59"/>
      <c r="L76" s="59"/>
      <c r="M76" s="59"/>
    </row>
    <row r="77" spans="1:19" x14ac:dyDescent="0.25">
      <c r="E77" s="11"/>
      <c r="F77" s="186"/>
      <c r="G77" s="41"/>
      <c r="H77" s="41"/>
      <c r="I77" s="11"/>
      <c r="J77" s="11"/>
      <c r="K77" s="11"/>
      <c r="L77" s="11"/>
      <c r="M77" s="11"/>
      <c r="N77" s="41"/>
      <c r="O77" s="11"/>
    </row>
    <row r="78" spans="1:19" ht="18.75" x14ac:dyDescent="0.3">
      <c r="E78" s="11"/>
      <c r="F78" s="186"/>
      <c r="G78" s="41"/>
      <c r="H78" s="41"/>
      <c r="I78" s="59"/>
      <c r="J78" s="59"/>
      <c r="K78" s="59"/>
      <c r="L78" s="59"/>
      <c r="M78" s="59"/>
      <c r="N78" s="11"/>
      <c r="O78" s="11"/>
    </row>
    <row r="79" spans="1:19" ht="18.75" x14ac:dyDescent="0.3">
      <c r="F79" s="186"/>
      <c r="G79" s="41"/>
      <c r="I79" s="59"/>
      <c r="J79" s="59"/>
      <c r="K79" s="59"/>
      <c r="L79" s="59"/>
      <c r="M79" s="59"/>
    </row>
    <row r="80" spans="1:19" ht="18.75" x14ac:dyDescent="0.3">
      <c r="I80" s="61"/>
      <c r="J80" s="61"/>
      <c r="K80" s="61"/>
      <c r="L80" s="61"/>
      <c r="M80" s="61"/>
    </row>
    <row r="81" spans="6:15" x14ac:dyDescent="0.25">
      <c r="F81" s="186"/>
      <c r="G81" s="41"/>
      <c r="H81" s="41"/>
      <c r="I81" s="11"/>
      <c r="J81" s="11"/>
      <c r="K81" s="11"/>
      <c r="L81" s="11"/>
      <c r="M81" s="11"/>
      <c r="N81" s="11"/>
      <c r="O81" s="11"/>
    </row>
    <row r="82" spans="6:15" x14ac:dyDescent="0.25">
      <c r="F82" s="186"/>
      <c r="G82" s="41"/>
      <c r="H82" s="41"/>
      <c r="I82" s="11"/>
      <c r="J82" s="11"/>
      <c r="K82" s="11"/>
      <c r="L82" s="11"/>
      <c r="M82" s="11"/>
      <c r="N82" s="11"/>
      <c r="O82" s="11"/>
    </row>
    <row r="83" spans="6:15" x14ac:dyDescent="0.25">
      <c r="F83" s="171"/>
      <c r="G83" s="39"/>
      <c r="H83" s="39"/>
      <c r="I83" s="4"/>
      <c r="J83" s="4"/>
      <c r="K83" s="4"/>
      <c r="L83" s="4"/>
      <c r="M83" s="4"/>
      <c r="N83" s="4"/>
      <c r="O83" s="4"/>
    </row>
  </sheetData>
  <mergeCells count="130">
    <mergeCell ref="I71:M71"/>
    <mergeCell ref="I72:M72"/>
    <mergeCell ref="I73:M73"/>
    <mergeCell ref="I74:M74"/>
    <mergeCell ref="I75:M75"/>
    <mergeCell ref="I38:M38"/>
    <mergeCell ref="I37:M37"/>
    <mergeCell ref="I36:M36"/>
    <mergeCell ref="I58:M58"/>
    <mergeCell ref="I57:M57"/>
    <mergeCell ref="I56:M56"/>
    <mergeCell ref="I55:M55"/>
    <mergeCell ref="I63:M63"/>
    <mergeCell ref="I62:M62"/>
    <mergeCell ref="I61:M61"/>
    <mergeCell ref="I60:M60"/>
    <mergeCell ref="I59:M59"/>
    <mergeCell ref="I70:M70"/>
    <mergeCell ref="I67:M67"/>
    <mergeCell ref="I66:M66"/>
    <mergeCell ref="I65:M65"/>
    <mergeCell ref="I64:M64"/>
    <mergeCell ref="I50:L50"/>
    <mergeCell ref="I51:L51"/>
    <mergeCell ref="I41:M41"/>
    <mergeCell ref="I40:M40"/>
    <mergeCell ref="I39:M39"/>
    <mergeCell ref="I46:M46"/>
    <mergeCell ref="I45:M45"/>
    <mergeCell ref="I44:M44"/>
    <mergeCell ref="I43:M43"/>
    <mergeCell ref="I42:M42"/>
    <mergeCell ref="I48:L48"/>
    <mergeCell ref="A37:D37"/>
    <mergeCell ref="P30:P32"/>
    <mergeCell ref="F23:F24"/>
    <mergeCell ref="I23:I24"/>
    <mergeCell ref="J23:M23"/>
    <mergeCell ref="P23:P25"/>
    <mergeCell ref="A18:A25"/>
    <mergeCell ref="I21:M21"/>
    <mergeCell ref="I20:M20"/>
    <mergeCell ref="I19:M19"/>
    <mergeCell ref="I18:M18"/>
    <mergeCell ref="A26:A32"/>
    <mergeCell ref="C18:C22"/>
    <mergeCell ref="P26:P29"/>
    <mergeCell ref="B26:B29"/>
    <mergeCell ref="C26:C29"/>
    <mergeCell ref="I28:M28"/>
    <mergeCell ref="I27:M27"/>
    <mergeCell ref="A36:D36"/>
    <mergeCell ref="I35:M35"/>
    <mergeCell ref="A35:D35"/>
    <mergeCell ref="C23:C25"/>
    <mergeCell ref="D23:D25"/>
    <mergeCell ref="B30:B32"/>
    <mergeCell ref="I22:M22"/>
    <mergeCell ref="F15:F16"/>
    <mergeCell ref="F30:F31"/>
    <mergeCell ref="I30:I31"/>
    <mergeCell ref="J30:M30"/>
    <mergeCell ref="B15:B17"/>
    <mergeCell ref="C15:C17"/>
    <mergeCell ref="D15:D17"/>
    <mergeCell ref="B23:B25"/>
    <mergeCell ref="B67:D67"/>
    <mergeCell ref="A38:D38"/>
    <mergeCell ref="B61:D61"/>
    <mergeCell ref="B55:D55"/>
    <mergeCell ref="B64:D64"/>
    <mergeCell ref="B56:D56"/>
    <mergeCell ref="B57:D57"/>
    <mergeCell ref="B58:D58"/>
    <mergeCell ref="B59:D59"/>
    <mergeCell ref="B60:D60"/>
    <mergeCell ref="A42:D42"/>
    <mergeCell ref="A45:D45"/>
    <mergeCell ref="A43:D43"/>
    <mergeCell ref="B62:D62"/>
    <mergeCell ref="B63:D63"/>
    <mergeCell ref="A46:D46"/>
    <mergeCell ref="P5:P10"/>
    <mergeCell ref="C30:C32"/>
    <mergeCell ref="D30:D32"/>
    <mergeCell ref="I15:I16"/>
    <mergeCell ref="J15:M15"/>
    <mergeCell ref="I34:M34"/>
    <mergeCell ref="A34:D34"/>
    <mergeCell ref="B65:D65"/>
    <mergeCell ref="B66:D66"/>
    <mergeCell ref="P15:P17"/>
    <mergeCell ref="A11:A17"/>
    <mergeCell ref="A33:D33"/>
    <mergeCell ref="B11:B14"/>
    <mergeCell ref="C11:C14"/>
    <mergeCell ref="P18:P22"/>
    <mergeCell ref="I26:M26"/>
    <mergeCell ref="P11:P14"/>
    <mergeCell ref="I33:M33"/>
    <mergeCell ref="I29:M29"/>
    <mergeCell ref="B18:B22"/>
    <mergeCell ref="I14:M14"/>
    <mergeCell ref="I13:M13"/>
    <mergeCell ref="I12:M12"/>
    <mergeCell ref="I11:M11"/>
    <mergeCell ref="G1:O1"/>
    <mergeCell ref="A39:D39"/>
    <mergeCell ref="A44:D44"/>
    <mergeCell ref="A40:D40"/>
    <mergeCell ref="A41:D41"/>
    <mergeCell ref="I2:M2"/>
    <mergeCell ref="I3:M3"/>
    <mergeCell ref="I10:M10"/>
    <mergeCell ref="I9:M9"/>
    <mergeCell ref="I8:M8"/>
    <mergeCell ref="I7:M7"/>
    <mergeCell ref="I6:M6"/>
    <mergeCell ref="I5:M5"/>
    <mergeCell ref="A4:P4"/>
    <mergeCell ref="F1:F2"/>
    <mergeCell ref="P1:P2"/>
    <mergeCell ref="B5:B10"/>
    <mergeCell ref="C5:C10"/>
    <mergeCell ref="A1:A2"/>
    <mergeCell ref="B1:B2"/>
    <mergeCell ref="C1:C2"/>
    <mergeCell ref="D1:D2"/>
    <mergeCell ref="E1:E2"/>
    <mergeCell ref="A5:A10"/>
  </mergeCells>
  <pageMargins left="0.39370078740157483" right="0.19685039370078741" top="0.59055118110236227" bottom="0.19685039370078741" header="0.39370078740157483" footer="0"/>
  <pageSetup paperSize="9" scale="45" firstPageNumber="23" orientation="landscape" useFirstPageNumber="1" r:id="rId1"/>
  <headerFooter>
    <oddHeader>&amp;C&amp;"Times New Roman,обычный"&amp;12&amp;K000000&amp;P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Подпрограмма 1</vt:lpstr>
      <vt:lpstr>Подпрограмма 2</vt:lpstr>
      <vt:lpstr>Подпрограмма 3</vt:lpstr>
      <vt:lpstr>'Подпрограмма 1'!Заголовки_для_печати</vt:lpstr>
      <vt:lpstr>'Подпрограмма 2'!Заголовки_для_печати</vt:lpstr>
      <vt:lpstr>'Подпрограмма 3'!Заголовки_для_печати</vt:lpstr>
      <vt:lpstr>'Подпрограмма 1'!Область_печати</vt:lpstr>
      <vt:lpstr>'Подпрограмма 2'!Область_печати</vt:lpstr>
      <vt:lpstr>'Подпрограмма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Самуйлик Анастасия Михайловна</dc:creator>
  <cp:lastModifiedBy>User</cp:lastModifiedBy>
  <cp:lastPrinted>2025-03-21T07:46:48Z</cp:lastPrinted>
  <dcterms:created xsi:type="dcterms:W3CDTF">2020-11-02T07:16:17Z</dcterms:created>
  <dcterms:modified xsi:type="dcterms:W3CDTF">2025-03-21T07:49:36Z</dcterms:modified>
</cp:coreProperties>
</file>