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10.4\общая\ГУБЕРНСКАЯ\ПРОГРАММА ОБРАЗОВАНИЕ 2023-2027\2025\4. Программа №  от  - уточнение\"/>
    </mc:Choice>
  </mc:AlternateContent>
  <bookViews>
    <workbookView xWindow="10680" yWindow="3825" windowWidth="22680" windowHeight="12435" tabRatio="733" activeTab="1"/>
  </bookViews>
  <sheets>
    <sheet name="Подпрограмма 1" sheetId="2" r:id="rId1"/>
    <sheet name="Подпрограмма 2" sheetId="3" r:id="rId2"/>
    <sheet name="Подпрограмма 3" sheetId="9" r:id="rId3"/>
  </sheets>
  <externalReferences>
    <externalReference r:id="rId4"/>
  </externalReferences>
  <definedNames>
    <definedName name="_xlnm._FilterDatabase" localSheetId="0" hidden="1">'Подпрограмма 1'!$A$13:$U$405</definedName>
    <definedName name="_xlnm._FilterDatabase" localSheetId="1" hidden="1">'Подпрограмма 2'!$A$6:$AA$102</definedName>
    <definedName name="_xlnm.Print_Titles" localSheetId="0">'Подпрограмма 1'!$11:$14</definedName>
    <definedName name="_xlnm.Print_Titles" localSheetId="1">'Подпрограмма 2'!$1:$4</definedName>
    <definedName name="_xlnm.Print_Titles" localSheetId="2">'Подпрограмма 3'!$1:$3</definedName>
    <definedName name="_xlnm.Print_Area" localSheetId="0">'Подпрограмма 1'!$A$1:$P$405</definedName>
    <definedName name="_xlnm.Print_Area" localSheetId="1">'Подпрограмма 2'!$A$1:$P$102</definedName>
    <definedName name="_xlnm.Print_Area" localSheetId="2">'Подпрограмма 3'!$A$1:$P$52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3" l="1"/>
  <c r="F390" i="2"/>
  <c r="F176" i="2" l="1"/>
  <c r="I20" i="9" l="1"/>
  <c r="I13" i="9"/>
  <c r="I68" i="3"/>
  <c r="I34" i="3"/>
  <c r="I26" i="3"/>
  <c r="I136" i="2"/>
  <c r="I115" i="2"/>
  <c r="I108" i="2"/>
  <c r="O98" i="2"/>
  <c r="N98" i="2"/>
  <c r="I98" i="2"/>
  <c r="I91" i="2"/>
  <c r="I82" i="2"/>
  <c r="I46" i="2"/>
  <c r="O378" i="2"/>
  <c r="O377" i="2"/>
  <c r="N378" i="2"/>
  <c r="N377" i="2"/>
  <c r="I378" i="2"/>
  <c r="I377" i="2"/>
  <c r="O168" i="2"/>
  <c r="O167" i="2"/>
  <c r="N168" i="2"/>
  <c r="N167" i="2"/>
  <c r="I168" i="2"/>
  <c r="I167" i="2"/>
  <c r="I367" i="2"/>
  <c r="I366" i="2"/>
  <c r="I365" i="2"/>
  <c r="I212" i="2"/>
  <c r="H17" i="2"/>
  <c r="G19" i="2"/>
  <c r="G251" i="2"/>
  <c r="I23" i="3" l="1"/>
  <c r="N23" i="3"/>
  <c r="O23" i="3"/>
  <c r="N63" i="3" l="1"/>
  <c r="O63" i="3"/>
  <c r="N64" i="3"/>
  <c r="O64" i="3"/>
  <c r="N65" i="3"/>
  <c r="O65" i="3"/>
  <c r="O62" i="3"/>
  <c r="N62" i="3"/>
  <c r="I63" i="3"/>
  <c r="I64" i="3"/>
  <c r="I65" i="3"/>
  <c r="I62" i="3"/>
  <c r="G63" i="3"/>
  <c r="H63" i="3"/>
  <c r="G64" i="3"/>
  <c r="H64" i="3"/>
  <c r="G65" i="3"/>
  <c r="H65" i="3"/>
  <c r="H62" i="3"/>
  <c r="G62" i="3"/>
  <c r="N20" i="3"/>
  <c r="O20" i="3"/>
  <c r="O19" i="3"/>
  <c r="N19" i="3"/>
  <c r="I20" i="3"/>
  <c r="I21" i="3"/>
  <c r="I19" i="3"/>
  <c r="G20" i="3"/>
  <c r="H20" i="3"/>
  <c r="G21" i="3"/>
  <c r="H21" i="3"/>
  <c r="H19" i="3"/>
  <c r="G19" i="3"/>
  <c r="O250" i="2"/>
  <c r="O251" i="2"/>
  <c r="N252" i="2"/>
  <c r="O252" i="2"/>
  <c r="O249" i="2"/>
  <c r="N249" i="2"/>
  <c r="I252" i="2"/>
  <c r="I249" i="2"/>
  <c r="G252" i="2"/>
  <c r="H252" i="2"/>
  <c r="G250" i="2"/>
  <c r="H250" i="2"/>
  <c r="H251" i="2"/>
  <c r="H249" i="2"/>
  <c r="G249" i="2"/>
  <c r="G239" i="2"/>
  <c r="H239" i="2"/>
  <c r="H238" i="2"/>
  <c r="G238" i="2"/>
  <c r="O20" i="2" l="1"/>
  <c r="N20" i="2"/>
  <c r="O18" i="2"/>
  <c r="N18" i="2"/>
  <c r="O17" i="2"/>
  <c r="N17" i="2"/>
  <c r="I17" i="2"/>
  <c r="H20" i="2"/>
  <c r="G18" i="2"/>
  <c r="H18" i="2"/>
  <c r="H19" i="2"/>
  <c r="G17" i="2"/>
  <c r="G150" i="2"/>
  <c r="I84" i="2"/>
  <c r="H84" i="2"/>
  <c r="H21" i="2" s="1"/>
  <c r="H23" i="3"/>
  <c r="G23" i="3"/>
  <c r="F45" i="3"/>
  <c r="N374" i="2" l="1"/>
  <c r="O374" i="2"/>
  <c r="N375" i="2"/>
  <c r="O375" i="2"/>
  <c r="N376" i="2"/>
  <c r="O376" i="2"/>
  <c r="O373" i="2"/>
  <c r="N373" i="2"/>
  <c r="F32" i="9"/>
  <c r="I373" i="2"/>
  <c r="F76" i="2"/>
  <c r="F75" i="2"/>
  <c r="F74" i="2"/>
  <c r="F73" i="2"/>
  <c r="F397" i="2" l="1"/>
  <c r="F371" i="2"/>
  <c r="N350" i="2" l="1"/>
  <c r="O350" i="2"/>
  <c r="N351" i="2"/>
  <c r="O351" i="2"/>
  <c r="N352" i="2"/>
  <c r="O352" i="2"/>
  <c r="O349" i="2"/>
  <c r="N349" i="2"/>
  <c r="I350" i="2"/>
  <c r="I351" i="2"/>
  <c r="I352" i="2"/>
  <c r="I349" i="2"/>
  <c r="G350" i="2"/>
  <c r="H350" i="2"/>
  <c r="G351" i="2"/>
  <c r="H351" i="2"/>
  <c r="G352" i="2"/>
  <c r="H352" i="2"/>
  <c r="H349" i="2"/>
  <c r="G349" i="2"/>
  <c r="N324" i="2"/>
  <c r="O324" i="2"/>
  <c r="N325" i="2"/>
  <c r="O325" i="2"/>
  <c r="N326" i="2"/>
  <c r="O326" i="2"/>
  <c r="O323" i="2"/>
  <c r="N323" i="2"/>
  <c r="I324" i="2"/>
  <c r="I325" i="2"/>
  <c r="I326" i="2"/>
  <c r="I323" i="2"/>
  <c r="G325" i="2"/>
  <c r="H325" i="2"/>
  <c r="G326" i="2"/>
  <c r="H326" i="2"/>
  <c r="H323" i="2"/>
  <c r="H324" i="2"/>
  <c r="G324" i="2"/>
  <c r="G323" i="2"/>
  <c r="I149" i="2" l="1"/>
  <c r="I150" i="2"/>
  <c r="I152" i="2"/>
  <c r="I151" i="2"/>
  <c r="R399" i="2" s="1"/>
  <c r="F147" i="2"/>
  <c r="S148" i="2" l="1"/>
  <c r="S147" i="2"/>
  <c r="N22" i="9" l="1"/>
  <c r="I22" i="9" s="1"/>
  <c r="H21" i="9"/>
  <c r="H59" i="9"/>
  <c r="H58" i="9"/>
  <c r="H60" i="9" s="1"/>
  <c r="H56" i="9"/>
  <c r="H55" i="9"/>
  <c r="H57" i="9" s="1"/>
  <c r="H10" i="9"/>
  <c r="H38" i="9" s="1"/>
  <c r="H9" i="9"/>
  <c r="H8" i="9"/>
  <c r="H36" i="9" s="1"/>
  <c r="H7" i="9"/>
  <c r="H35" i="9" s="1"/>
  <c r="H6" i="9"/>
  <c r="H34" i="9" s="1"/>
  <c r="F84" i="3"/>
  <c r="F17" i="3"/>
  <c r="H27" i="3"/>
  <c r="H22" i="3" s="1"/>
  <c r="H107" i="3"/>
  <c r="H90" i="3"/>
  <c r="H89" i="3"/>
  <c r="H88" i="3"/>
  <c r="H87" i="3"/>
  <c r="H86" i="3"/>
  <c r="H77" i="3"/>
  <c r="H76" i="3"/>
  <c r="H75" i="3"/>
  <c r="H74" i="3"/>
  <c r="H49" i="3"/>
  <c r="H48" i="3"/>
  <c r="H50" i="3"/>
  <c r="H47" i="3"/>
  <c r="H102" i="3"/>
  <c r="H112" i="3" s="1"/>
  <c r="H111" i="3" s="1"/>
  <c r="H10" i="3"/>
  <c r="H101" i="3" s="1"/>
  <c r="H9" i="3"/>
  <c r="H8" i="3"/>
  <c r="H7" i="3"/>
  <c r="H98" i="3" s="1"/>
  <c r="F389" i="2"/>
  <c r="F388" i="2"/>
  <c r="F387" i="2"/>
  <c r="F386" i="2"/>
  <c r="F385" i="2"/>
  <c r="F384" i="2"/>
  <c r="F383" i="2"/>
  <c r="I362" i="2"/>
  <c r="I363" i="2"/>
  <c r="R400" i="2" s="1"/>
  <c r="I364" i="2"/>
  <c r="I361" i="2"/>
  <c r="O364" i="2"/>
  <c r="N364" i="2"/>
  <c r="O363" i="2"/>
  <c r="N363" i="2"/>
  <c r="O362" i="2"/>
  <c r="N362" i="2"/>
  <c r="O361" i="2"/>
  <c r="N361" i="2"/>
  <c r="G362" i="2"/>
  <c r="H362" i="2"/>
  <c r="G363" i="2"/>
  <c r="H363" i="2"/>
  <c r="G364" i="2"/>
  <c r="H364" i="2"/>
  <c r="H361" i="2"/>
  <c r="G361" i="2"/>
  <c r="F370" i="2"/>
  <c r="F369" i="2"/>
  <c r="F368" i="2"/>
  <c r="F367" i="2"/>
  <c r="F366" i="2"/>
  <c r="F365" i="2"/>
  <c r="E362" i="2"/>
  <c r="E361" i="2"/>
  <c r="F347" i="2"/>
  <c r="F340" i="2"/>
  <c r="F333" i="2"/>
  <c r="F309" i="2"/>
  <c r="F396" i="2"/>
  <c r="F395" i="2"/>
  <c r="F394" i="2"/>
  <c r="F393" i="2"/>
  <c r="F392" i="2"/>
  <c r="F391" i="2"/>
  <c r="F382" i="2"/>
  <c r="F381" i="2"/>
  <c r="F380" i="2"/>
  <c r="F379" i="2"/>
  <c r="F378" i="2"/>
  <c r="F377" i="2"/>
  <c r="F356" i="2"/>
  <c r="F353" i="2"/>
  <c r="F344" i="2"/>
  <c r="F343" i="2"/>
  <c r="F342" i="2"/>
  <c r="F341" i="2"/>
  <c r="F337" i="2"/>
  <c r="F336" i="2"/>
  <c r="F335" i="2"/>
  <c r="F334" i="2"/>
  <c r="F329" i="2"/>
  <c r="F328" i="2"/>
  <c r="F327" i="2"/>
  <c r="F318" i="2"/>
  <c r="F317" i="2"/>
  <c r="F316" i="2"/>
  <c r="F315" i="2"/>
  <c r="F306" i="2"/>
  <c r="F305" i="2"/>
  <c r="F304" i="2"/>
  <c r="F303" i="2"/>
  <c r="F256" i="2"/>
  <c r="F253" i="2"/>
  <c r="F244" i="2"/>
  <c r="F241" i="2"/>
  <c r="F232" i="2"/>
  <c r="F231" i="2"/>
  <c r="F230" i="2"/>
  <c r="F229" i="2"/>
  <c r="F220" i="2"/>
  <c r="F219" i="2"/>
  <c r="F218" i="2"/>
  <c r="F217" i="2"/>
  <c r="F213" i="2"/>
  <c r="F212" i="2"/>
  <c r="F211" i="2"/>
  <c r="F210" i="2"/>
  <c r="F201" i="2"/>
  <c r="F200" i="2"/>
  <c r="F199" i="2"/>
  <c r="F198" i="2"/>
  <c r="F194" i="2"/>
  <c r="F193" i="2"/>
  <c r="F192" i="2"/>
  <c r="F191" i="2"/>
  <c r="F187" i="2"/>
  <c r="F186" i="2"/>
  <c r="F185" i="2"/>
  <c r="F184" i="2"/>
  <c r="F180" i="2"/>
  <c r="F179" i="2"/>
  <c r="F177" i="2"/>
  <c r="F168" i="2"/>
  <c r="F169" i="2"/>
  <c r="F170" i="2"/>
  <c r="F167" i="2"/>
  <c r="F161" i="2"/>
  <c r="F162" i="2"/>
  <c r="F163" i="2"/>
  <c r="F153" i="2"/>
  <c r="F155" i="2"/>
  <c r="F156" i="2"/>
  <c r="F144" i="2"/>
  <c r="F143" i="2"/>
  <c r="F142" i="2"/>
  <c r="F141" i="2"/>
  <c r="F137" i="2"/>
  <c r="F136" i="2"/>
  <c r="F135" i="2"/>
  <c r="F134" i="2"/>
  <c r="F130" i="2"/>
  <c r="F129" i="2"/>
  <c r="F128" i="2"/>
  <c r="F127" i="2"/>
  <c r="F123" i="2"/>
  <c r="F122" i="2"/>
  <c r="F121" i="2"/>
  <c r="F120" i="2"/>
  <c r="F112" i="2"/>
  <c r="F116" i="2"/>
  <c r="F114" i="2"/>
  <c r="F113" i="2"/>
  <c r="F109" i="2"/>
  <c r="F108" i="2"/>
  <c r="F107" i="2"/>
  <c r="F106" i="2"/>
  <c r="F102" i="2"/>
  <c r="F101" i="2"/>
  <c r="F99" i="2"/>
  <c r="F98" i="2"/>
  <c r="F96" i="2"/>
  <c r="F92" i="2"/>
  <c r="F90" i="2"/>
  <c r="F89" i="2"/>
  <c r="F85" i="2"/>
  <c r="F83" i="2"/>
  <c r="F81" i="2"/>
  <c r="F80" i="2"/>
  <c r="F69" i="2"/>
  <c r="F68" i="2"/>
  <c r="F67" i="2"/>
  <c r="F66" i="2"/>
  <c r="F62" i="2"/>
  <c r="F61" i="2"/>
  <c r="F60" i="2"/>
  <c r="F59" i="2"/>
  <c r="F55" i="2"/>
  <c r="F54" i="2"/>
  <c r="F53" i="2"/>
  <c r="F52" i="2"/>
  <c r="F48" i="2"/>
  <c r="F47" i="2"/>
  <c r="F46" i="2"/>
  <c r="F45" i="2"/>
  <c r="F44" i="2"/>
  <c r="F40" i="2"/>
  <c r="F41" i="2"/>
  <c r="F38" i="2"/>
  <c r="F39" i="2"/>
  <c r="F34" i="2"/>
  <c r="F33" i="2"/>
  <c r="F32" i="2"/>
  <c r="F31" i="2"/>
  <c r="F27" i="2"/>
  <c r="F25" i="2"/>
  <c r="F24" i="2"/>
  <c r="F297" i="2"/>
  <c r="F291" i="2"/>
  <c r="F263" i="2"/>
  <c r="F270" i="2"/>
  <c r="F277" i="2"/>
  <c r="F287" i="2"/>
  <c r="F285" i="2"/>
  <c r="F284" i="2"/>
  <c r="F286" i="2"/>
  <c r="F290" i="2"/>
  <c r="F283" i="2"/>
  <c r="F276" i="2"/>
  <c r="F269" i="2"/>
  <c r="F262" i="2"/>
  <c r="F259" i="2"/>
  <c r="F166" i="2"/>
  <c r="H99" i="3" l="1"/>
  <c r="H109" i="3" s="1"/>
  <c r="H6" i="3"/>
  <c r="H100" i="3"/>
  <c r="H85" i="3"/>
  <c r="F17" i="2"/>
  <c r="H108" i="3"/>
  <c r="H110" i="3"/>
  <c r="H46" i="3"/>
  <c r="F364" i="2"/>
  <c r="H5" i="9"/>
  <c r="H37" i="9"/>
  <c r="H33" i="9" s="1"/>
  <c r="H18" i="3"/>
  <c r="H73" i="3"/>
  <c r="H61" i="3"/>
  <c r="F362" i="2"/>
  <c r="F361" i="2"/>
  <c r="I360" i="2"/>
  <c r="N360" i="2"/>
  <c r="H360" i="2"/>
  <c r="G360" i="2"/>
  <c r="O360" i="2"/>
  <c r="F363" i="2"/>
  <c r="I20" i="2"/>
  <c r="F30" i="2"/>
  <c r="H97" i="3" l="1"/>
  <c r="H113" i="3"/>
  <c r="F360" i="2"/>
  <c r="O100" i="2" l="1"/>
  <c r="N100" i="2"/>
  <c r="I100" i="2"/>
  <c r="I21" i="2" s="1"/>
  <c r="G412" i="2" l="1"/>
  <c r="G408" i="2"/>
  <c r="G409" i="2" s="1"/>
  <c r="G376" i="2"/>
  <c r="G375" i="2"/>
  <c r="G374" i="2"/>
  <c r="G373" i="2"/>
  <c r="F326" i="2"/>
  <c r="G314" i="2"/>
  <c r="G313" i="2"/>
  <c r="G312" i="2"/>
  <c r="G311" i="2"/>
  <c r="G302" i="2"/>
  <c r="G301" i="2"/>
  <c r="G300" i="2"/>
  <c r="G299" i="2"/>
  <c r="G240" i="2"/>
  <c r="G237" i="2"/>
  <c r="G228" i="2"/>
  <c r="G227" i="2"/>
  <c r="G401" i="2" s="1"/>
  <c r="G226" i="2"/>
  <c r="G225" i="2"/>
  <c r="G209" i="2"/>
  <c r="G208" i="2"/>
  <c r="G207" i="2"/>
  <c r="G206" i="2"/>
  <c r="G152" i="2"/>
  <c r="G151" i="2"/>
  <c r="G149" i="2"/>
  <c r="G100" i="2"/>
  <c r="G84" i="2"/>
  <c r="G23" i="2"/>
  <c r="G22" i="2"/>
  <c r="G20" i="2"/>
  <c r="G399" i="2" l="1"/>
  <c r="G400" i="2"/>
  <c r="F100" i="2"/>
  <c r="G21" i="2"/>
  <c r="G403" i="2" s="1"/>
  <c r="G413" i="2"/>
  <c r="G414" i="2"/>
  <c r="G402" i="2"/>
  <c r="G43" i="9" s="1"/>
  <c r="G404" i="2"/>
  <c r="G310" i="2"/>
  <c r="G405" i="2"/>
  <c r="G46" i="9" s="1"/>
  <c r="G348" i="2"/>
  <c r="G224" i="2"/>
  <c r="G248" i="2"/>
  <c r="G148" i="2"/>
  <c r="G236" i="2"/>
  <c r="G205" i="2"/>
  <c r="G322" i="2"/>
  <c r="G298" i="2"/>
  <c r="G372" i="2"/>
  <c r="O20" i="9"/>
  <c r="N20" i="9"/>
  <c r="O34" i="3"/>
  <c r="O21" i="3" s="1"/>
  <c r="N34" i="3"/>
  <c r="N21" i="3" s="1"/>
  <c r="O115" i="2"/>
  <c r="N115" i="2"/>
  <c r="O91" i="2"/>
  <c r="N91" i="2"/>
  <c r="F91" i="2" l="1"/>
  <c r="G415" i="2"/>
  <c r="G16" i="2"/>
  <c r="G398" i="2"/>
  <c r="F115" i="2"/>
  <c r="G418" i="2"/>
  <c r="G417" i="2"/>
  <c r="G416" i="2" l="1"/>
  <c r="G419" i="2" s="1"/>
  <c r="N82" i="2"/>
  <c r="O82" i="2"/>
  <c r="I376" i="2"/>
  <c r="H376" i="2"/>
  <c r="I375" i="2"/>
  <c r="H375" i="2"/>
  <c r="E375" i="2"/>
  <c r="H374" i="2"/>
  <c r="E374" i="2"/>
  <c r="H373" i="2"/>
  <c r="E373" i="2"/>
  <c r="F373" i="2" l="1"/>
  <c r="F375" i="2"/>
  <c r="F376" i="2"/>
  <c r="F82" i="2"/>
  <c r="E372" i="2"/>
  <c r="N372" i="2"/>
  <c r="O372" i="2"/>
  <c r="I374" i="2"/>
  <c r="I372" i="2" s="1"/>
  <c r="H372" i="2"/>
  <c r="F372" i="2" l="1"/>
  <c r="F374" i="2"/>
  <c r="F355" i="2"/>
  <c r="F354" i="2" l="1"/>
  <c r="F52" i="3"/>
  <c r="O22" i="9" l="1"/>
  <c r="F60" i="3" l="1"/>
  <c r="I26" i="2" l="1"/>
  <c r="I19" i="2" l="1"/>
  <c r="Q399" i="2" s="1"/>
  <c r="H150" i="2"/>
  <c r="I243" i="2" l="1"/>
  <c r="I242" i="2"/>
  <c r="I255" i="2"/>
  <c r="I254" i="2"/>
  <c r="I250" i="2" s="1"/>
  <c r="I265" i="2"/>
  <c r="I264" i="2"/>
  <c r="I271" i="2"/>
  <c r="I272" i="2"/>
  <c r="I279" i="2"/>
  <c r="I278" i="2"/>
  <c r="I293" i="2"/>
  <c r="F293" i="2" s="1"/>
  <c r="I292" i="2"/>
  <c r="F292" i="2" s="1"/>
  <c r="I251" i="2" l="1"/>
  <c r="F242" i="2"/>
  <c r="I238" i="2"/>
  <c r="F243" i="2"/>
  <c r="I239" i="2"/>
  <c r="I208" i="2"/>
  <c r="Q400" i="2" s="1"/>
  <c r="I207" i="2"/>
  <c r="F330" i="2"/>
  <c r="F294" i="2"/>
  <c r="F280" i="2"/>
  <c r="F273" i="2"/>
  <c r="F266" i="2"/>
  <c r="H412" i="2"/>
  <c r="H408" i="2"/>
  <c r="H409" i="2" s="1"/>
  <c r="H314" i="2"/>
  <c r="H313" i="2"/>
  <c r="H312" i="2"/>
  <c r="H311" i="2"/>
  <c r="H300" i="2"/>
  <c r="H302" i="2"/>
  <c r="H301" i="2"/>
  <c r="H299" i="2"/>
  <c r="H240" i="2"/>
  <c r="H237" i="2"/>
  <c r="H228" i="2"/>
  <c r="H227" i="2"/>
  <c r="H226" i="2"/>
  <c r="H225" i="2"/>
  <c r="H208" i="2"/>
  <c r="H209" i="2"/>
  <c r="H207" i="2"/>
  <c r="H206" i="2"/>
  <c r="H151" i="2"/>
  <c r="H152" i="2"/>
  <c r="H149" i="2"/>
  <c r="H23" i="2"/>
  <c r="H22" i="2"/>
  <c r="F91" i="3"/>
  <c r="F92" i="3"/>
  <c r="F93" i="3"/>
  <c r="F79" i="3"/>
  <c r="F80" i="3"/>
  <c r="F81" i="3"/>
  <c r="F67" i="3"/>
  <c r="F69" i="3"/>
  <c r="F66" i="3"/>
  <c r="F40" i="3"/>
  <c r="F41" i="3"/>
  <c r="F42" i="3"/>
  <c r="F39" i="3"/>
  <c r="F33" i="3"/>
  <c r="F34" i="3"/>
  <c r="F35" i="3"/>
  <c r="F32" i="3"/>
  <c r="F24" i="3"/>
  <c r="F25" i="3"/>
  <c r="F28" i="3"/>
  <c r="F11" i="3"/>
  <c r="F12" i="3"/>
  <c r="F13" i="3"/>
  <c r="F14" i="3"/>
  <c r="G107" i="3"/>
  <c r="G88" i="3"/>
  <c r="G89" i="3"/>
  <c r="G87" i="3"/>
  <c r="G86" i="3"/>
  <c r="G77" i="3"/>
  <c r="G76" i="3"/>
  <c r="G75" i="3"/>
  <c r="G74" i="3"/>
  <c r="G49" i="3"/>
  <c r="G48" i="3"/>
  <c r="G50" i="3"/>
  <c r="G47" i="3"/>
  <c r="G27" i="3"/>
  <c r="G22" i="3" s="1"/>
  <c r="G102" i="3"/>
  <c r="G10" i="3"/>
  <c r="G9" i="3"/>
  <c r="G8" i="3"/>
  <c r="G7" i="3"/>
  <c r="G98" i="3" s="1"/>
  <c r="F27" i="9"/>
  <c r="F28" i="9"/>
  <c r="F29" i="9"/>
  <c r="F26" i="9"/>
  <c r="F19" i="9"/>
  <c r="F22" i="9"/>
  <c r="F18" i="9"/>
  <c r="F12" i="9"/>
  <c r="F13" i="9"/>
  <c r="F14" i="9"/>
  <c r="F11" i="9"/>
  <c r="G21" i="9"/>
  <c r="G9" i="9" s="1"/>
  <c r="G37" i="9" s="1"/>
  <c r="G6" i="9"/>
  <c r="I6" i="9"/>
  <c r="G7" i="9"/>
  <c r="G35" i="9" s="1"/>
  <c r="I7" i="9"/>
  <c r="G8" i="9"/>
  <c r="I8" i="9"/>
  <c r="G10" i="9"/>
  <c r="G38" i="9" s="1"/>
  <c r="I10" i="9"/>
  <c r="G34" i="9"/>
  <c r="H399" i="2" l="1"/>
  <c r="H400" i="2"/>
  <c r="H41" i="9" s="1"/>
  <c r="G6" i="3"/>
  <c r="G100" i="3"/>
  <c r="G99" i="3"/>
  <c r="G41" i="9" s="1"/>
  <c r="H403" i="2"/>
  <c r="H401" i="2"/>
  <c r="H42" i="9" s="1"/>
  <c r="G101" i="3"/>
  <c r="G40" i="9"/>
  <c r="H40" i="9"/>
  <c r="G45" i="9"/>
  <c r="H402" i="2"/>
  <c r="H404" i="2"/>
  <c r="H45" i="9" s="1"/>
  <c r="H405" i="2"/>
  <c r="H46" i="9" s="1"/>
  <c r="H224" i="2"/>
  <c r="Y46" i="9"/>
  <c r="G36" i="9"/>
  <c r="G33" i="9" s="1"/>
  <c r="G112" i="3"/>
  <c r="G111" i="3" s="1"/>
  <c r="G61" i="3"/>
  <c r="G46" i="3"/>
  <c r="H298" i="2"/>
  <c r="H310" i="2"/>
  <c r="H348" i="2"/>
  <c r="H322" i="2"/>
  <c r="H248" i="2"/>
  <c r="H148" i="2"/>
  <c r="H205" i="2"/>
  <c r="H236" i="2"/>
  <c r="G85" i="3"/>
  <c r="G73" i="3"/>
  <c r="G18" i="3"/>
  <c r="G5" i="9"/>
  <c r="G109" i="3" l="1"/>
  <c r="Y43" i="9"/>
  <c r="H43" i="9"/>
  <c r="G42" i="9"/>
  <c r="Y42" i="9" s="1"/>
  <c r="H418" i="2"/>
  <c r="H417" i="2"/>
  <c r="Y45" i="9"/>
  <c r="G44" i="9"/>
  <c r="G108" i="3"/>
  <c r="G110" i="3"/>
  <c r="H414" i="2"/>
  <c r="Y41" i="9"/>
  <c r="H415" i="2"/>
  <c r="H16" i="2"/>
  <c r="Y40" i="9"/>
  <c r="G97" i="3"/>
  <c r="H416" i="2" l="1"/>
  <c r="G113" i="3"/>
  <c r="Y44" i="9"/>
  <c r="G39" i="9"/>
  <c r="H398" i="2"/>
  <c r="H413" i="2"/>
  <c r="H419" i="2" s="1"/>
  <c r="F20" i="9" l="1"/>
  <c r="N278" i="2" l="1"/>
  <c r="F278" i="2" s="1"/>
  <c r="N271" i="2"/>
  <c r="F271" i="2" s="1"/>
  <c r="N264" i="2"/>
  <c r="F264" i="2" s="1"/>
  <c r="N254" i="2"/>
  <c r="N279" i="2"/>
  <c r="F279" i="2" s="1"/>
  <c r="F254" i="2" l="1"/>
  <c r="N250" i="2"/>
  <c r="N272" i="2"/>
  <c r="F272" i="2" s="1"/>
  <c r="N265" i="2" l="1"/>
  <c r="F265" i="2" s="1"/>
  <c r="N255" i="2"/>
  <c r="N207" i="2"/>
  <c r="O207" i="2"/>
  <c r="F255" i="2" l="1"/>
  <c r="N251" i="2"/>
  <c r="F207" i="2"/>
  <c r="F68" i="3" l="1"/>
  <c r="N21" i="9"/>
  <c r="O21" i="9"/>
  <c r="F26" i="3" l="1"/>
  <c r="F64" i="3"/>
  <c r="O178" i="2"/>
  <c r="N178" i="2"/>
  <c r="O149" i="2"/>
  <c r="O154" i="2"/>
  <c r="N154" i="2"/>
  <c r="F154" i="2" s="1"/>
  <c r="F178" i="2" l="1"/>
  <c r="O151" i="2"/>
  <c r="N150" i="2"/>
  <c r="N151" i="2"/>
  <c r="O150" i="2"/>
  <c r="F150" i="2" l="1"/>
  <c r="O26" i="2"/>
  <c r="O19" i="2" s="1"/>
  <c r="N26" i="2"/>
  <c r="F26" i="2" l="1"/>
  <c r="F19" i="2" s="1"/>
  <c r="N19" i="2"/>
  <c r="O248" i="2" l="1"/>
  <c r="N248" i="2"/>
  <c r="I21" i="9" l="1"/>
  <c r="I9" i="9" l="1"/>
  <c r="F21" i="9"/>
  <c r="I5" i="9" l="1"/>
  <c r="I47" i="3"/>
  <c r="N47" i="3"/>
  <c r="O47" i="3"/>
  <c r="N50" i="3"/>
  <c r="O50" i="3"/>
  <c r="I50" i="3"/>
  <c r="F251" i="2"/>
  <c r="I97" i="2"/>
  <c r="I18" i="2" s="1"/>
  <c r="F97" i="2" l="1"/>
  <c r="F18" i="2" s="1"/>
  <c r="F54" i="3"/>
  <c r="F53" i="3"/>
  <c r="F51" i="3"/>
  <c r="F50" i="3"/>
  <c r="E49" i="3"/>
  <c r="E48" i="3"/>
  <c r="F47" i="3"/>
  <c r="E46" i="3" l="1"/>
  <c r="O228" i="2"/>
  <c r="N228" i="2"/>
  <c r="I228" i="2"/>
  <c r="O227" i="2"/>
  <c r="N227" i="2"/>
  <c r="E227" i="2"/>
  <c r="E224" i="2" s="1"/>
  <c r="O226" i="2"/>
  <c r="N226" i="2"/>
  <c r="I226" i="2"/>
  <c r="O225" i="2"/>
  <c r="N225" i="2"/>
  <c r="I225" i="2"/>
  <c r="F228" i="2" l="1"/>
  <c r="F226" i="2"/>
  <c r="F225" i="2"/>
  <c r="O224" i="2"/>
  <c r="N224" i="2"/>
  <c r="I227" i="2"/>
  <c r="F227" i="2" l="1"/>
  <c r="I224" i="2"/>
  <c r="F224" i="2" s="1"/>
  <c r="F151" i="2" l="1"/>
  <c r="O314" i="2" l="1"/>
  <c r="N314" i="2"/>
  <c r="I314" i="2"/>
  <c r="O313" i="2"/>
  <c r="N313" i="2"/>
  <c r="I313" i="2"/>
  <c r="E313" i="2"/>
  <c r="O312" i="2"/>
  <c r="N312" i="2"/>
  <c r="I312" i="2"/>
  <c r="E312" i="2"/>
  <c r="O311" i="2"/>
  <c r="N311" i="2"/>
  <c r="I311" i="2"/>
  <c r="E311" i="2"/>
  <c r="F250" i="2"/>
  <c r="F314" i="2" l="1"/>
  <c r="F311" i="2"/>
  <c r="F312" i="2"/>
  <c r="F313" i="2"/>
  <c r="I310" i="2"/>
  <c r="E310" i="2"/>
  <c r="N310" i="2"/>
  <c r="O310" i="2"/>
  <c r="F310" i="2" l="1"/>
  <c r="N23" i="2"/>
  <c r="N405" i="2" s="1"/>
  <c r="O23" i="2"/>
  <c r="O405" i="2" s="1"/>
  <c r="I23" i="2"/>
  <c r="F23" i="2" l="1"/>
  <c r="I405" i="2"/>
  <c r="F411" i="2"/>
  <c r="G59" i="9" s="1"/>
  <c r="F405" i="2" l="1"/>
  <c r="H66" i="9"/>
  <c r="N58" i="9"/>
  <c r="O58" i="9"/>
  <c r="N59" i="9"/>
  <c r="O59" i="9"/>
  <c r="N55" i="9"/>
  <c r="O55" i="9"/>
  <c r="I59" i="9"/>
  <c r="I58" i="9"/>
  <c r="I56" i="9"/>
  <c r="I55" i="9"/>
  <c r="O56" i="9" l="1"/>
  <c r="N56" i="9"/>
  <c r="I418" i="2" l="1"/>
  <c r="F325" i="2" l="1"/>
  <c r="F249" i="2"/>
  <c r="N46" i="9" l="1"/>
  <c r="N66" i="9" s="1"/>
  <c r="O46" i="9"/>
  <c r="O66" i="9" s="1"/>
  <c r="I38" i="9"/>
  <c r="O9" i="9"/>
  <c r="O37" i="9" s="1"/>
  <c r="I34" i="9"/>
  <c r="N6" i="9"/>
  <c r="N34" i="9" s="1"/>
  <c r="O6" i="9"/>
  <c r="O34" i="9" s="1"/>
  <c r="N7" i="9"/>
  <c r="N35" i="9" s="1"/>
  <c r="O7" i="9"/>
  <c r="O35" i="9" s="1"/>
  <c r="N8" i="9"/>
  <c r="N36" i="9" s="1"/>
  <c r="O8" i="9"/>
  <c r="O36" i="9" s="1"/>
  <c r="N9" i="9"/>
  <c r="N37" i="9" s="1"/>
  <c r="N10" i="9"/>
  <c r="N38" i="9" s="1"/>
  <c r="O10" i="9"/>
  <c r="I36" i="9"/>
  <c r="U36" i="9" s="1"/>
  <c r="I35" i="9"/>
  <c r="F6" i="9" l="1"/>
  <c r="F34" i="9"/>
  <c r="F35" i="9"/>
  <c r="F7" i="9"/>
  <c r="F8" i="9"/>
  <c r="F10" i="9"/>
  <c r="F9" i="9"/>
  <c r="O38" i="9"/>
  <c r="N33" i="9"/>
  <c r="O33" i="9"/>
  <c r="N5" i="9"/>
  <c r="O5" i="9"/>
  <c r="O77" i="3"/>
  <c r="N77" i="3"/>
  <c r="I77" i="3"/>
  <c r="O76" i="3"/>
  <c r="N76" i="3"/>
  <c r="I76" i="3"/>
  <c r="E76" i="3"/>
  <c r="O75" i="3"/>
  <c r="N75" i="3"/>
  <c r="I75" i="3"/>
  <c r="E75" i="3"/>
  <c r="O74" i="3"/>
  <c r="N74" i="3"/>
  <c r="I74" i="3"/>
  <c r="E74" i="3"/>
  <c r="F90" i="3"/>
  <c r="O89" i="3"/>
  <c r="N89" i="3"/>
  <c r="I89" i="3"/>
  <c r="O88" i="3"/>
  <c r="N88" i="3"/>
  <c r="I88" i="3"/>
  <c r="O87" i="3"/>
  <c r="N87" i="3"/>
  <c r="I87" i="3"/>
  <c r="E87" i="3"/>
  <c r="O86" i="3"/>
  <c r="N86" i="3"/>
  <c r="I86" i="3"/>
  <c r="E86" i="3"/>
  <c r="F76" i="3" l="1"/>
  <c r="F77" i="3"/>
  <c r="F38" i="9"/>
  <c r="F87" i="3"/>
  <c r="F36" i="9"/>
  <c r="F65" i="3"/>
  <c r="F75" i="3"/>
  <c r="F5" i="9"/>
  <c r="N73" i="3"/>
  <c r="F88" i="3"/>
  <c r="F74" i="3"/>
  <c r="F78" i="3"/>
  <c r="I48" i="3"/>
  <c r="F62" i="3"/>
  <c r="F89" i="3"/>
  <c r="I49" i="3"/>
  <c r="F63" i="3"/>
  <c r="N49" i="3"/>
  <c r="O48" i="3"/>
  <c r="O49" i="3"/>
  <c r="N48" i="3"/>
  <c r="N85" i="3"/>
  <c r="I73" i="3"/>
  <c r="E73" i="3"/>
  <c r="I85" i="3"/>
  <c r="I37" i="9"/>
  <c r="O73" i="3"/>
  <c r="O85" i="3"/>
  <c r="O61" i="3"/>
  <c r="N61" i="3"/>
  <c r="I61" i="3"/>
  <c r="F48" i="3" l="1"/>
  <c r="I33" i="9"/>
  <c r="F33" i="9" s="1"/>
  <c r="F37" i="9"/>
  <c r="F86" i="3"/>
  <c r="F61" i="3"/>
  <c r="I46" i="3"/>
  <c r="F85" i="3"/>
  <c r="F73" i="3"/>
  <c r="O46" i="3"/>
  <c r="N46" i="3"/>
  <c r="F49" i="3"/>
  <c r="N102" i="3"/>
  <c r="O102" i="3"/>
  <c r="F46" i="3" l="1"/>
  <c r="I102" i="3"/>
  <c r="F102" i="3" s="1"/>
  <c r="F23" i="3"/>
  <c r="F19" i="3"/>
  <c r="F20" i="3"/>
  <c r="F21" i="3"/>
  <c r="O112" i="3"/>
  <c r="O111" i="3" s="1"/>
  <c r="N112" i="3"/>
  <c r="N111" i="3" s="1"/>
  <c r="I112" i="3" l="1"/>
  <c r="I111" i="3" s="1"/>
  <c r="N27" i="3"/>
  <c r="N22" i="3" s="1"/>
  <c r="O27" i="3"/>
  <c r="O22" i="3" s="1"/>
  <c r="I27" i="3"/>
  <c r="I22" i="3" s="1"/>
  <c r="I101" i="3" s="1"/>
  <c r="N7" i="3"/>
  <c r="N98" i="3" s="1"/>
  <c r="O7" i="3"/>
  <c r="O98" i="3" s="1"/>
  <c r="N8" i="3"/>
  <c r="N99" i="3" s="1"/>
  <c r="O8" i="3"/>
  <c r="O99" i="3" s="1"/>
  <c r="N9" i="3"/>
  <c r="N100" i="3" s="1"/>
  <c r="O9" i="3"/>
  <c r="O100" i="3" s="1"/>
  <c r="N10" i="3"/>
  <c r="O10" i="3"/>
  <c r="I10" i="3"/>
  <c r="I9" i="3"/>
  <c r="I8" i="3"/>
  <c r="I99" i="3" s="1"/>
  <c r="I7" i="3"/>
  <c r="I98" i="3" s="1"/>
  <c r="O101" i="3" l="1"/>
  <c r="N101" i="3"/>
  <c r="I100" i="3"/>
  <c r="Q100" i="3" s="1"/>
  <c r="N18" i="3"/>
  <c r="O18" i="3"/>
  <c r="F10" i="3"/>
  <c r="F7" i="3"/>
  <c r="I108" i="3"/>
  <c r="F8" i="3"/>
  <c r="F27" i="3"/>
  <c r="F9" i="3"/>
  <c r="N108" i="3"/>
  <c r="N110" i="3"/>
  <c r="O110" i="3"/>
  <c r="O109" i="3"/>
  <c r="F98" i="3" l="1"/>
  <c r="F101" i="3"/>
  <c r="F99" i="3"/>
  <c r="I110" i="3"/>
  <c r="F100" i="3"/>
  <c r="I18" i="3"/>
  <c r="F18" i="3" s="1"/>
  <c r="F22" i="3"/>
  <c r="N97" i="3"/>
  <c r="O97" i="3"/>
  <c r="I109" i="3"/>
  <c r="N109" i="3"/>
  <c r="N113" i="3" s="1"/>
  <c r="O108" i="3"/>
  <c r="O113" i="3" s="1"/>
  <c r="I97" i="3"/>
  <c r="F352" i="2"/>
  <c r="F324" i="2"/>
  <c r="F323" i="2"/>
  <c r="N299" i="2"/>
  <c r="O299" i="2"/>
  <c r="N300" i="2"/>
  <c r="O300" i="2"/>
  <c r="N301" i="2"/>
  <c r="O301" i="2"/>
  <c r="N302" i="2"/>
  <c r="O302" i="2"/>
  <c r="I302" i="2"/>
  <c r="I301" i="2"/>
  <c r="I401" i="2" s="1"/>
  <c r="I300" i="2"/>
  <c r="I400" i="2" s="1"/>
  <c r="I299" i="2"/>
  <c r="E301" i="2"/>
  <c r="E298" i="2" s="1"/>
  <c r="F252" i="2"/>
  <c r="F301" i="2" l="1"/>
  <c r="F300" i="2"/>
  <c r="F302" i="2"/>
  <c r="F349" i="2"/>
  <c r="F350" i="2"/>
  <c r="F299" i="2"/>
  <c r="F351" i="2"/>
  <c r="I113" i="3"/>
  <c r="I248" i="2"/>
  <c r="F248" i="2" s="1"/>
  <c r="F97" i="3"/>
  <c r="I322" i="2"/>
  <c r="N348" i="2"/>
  <c r="O348" i="2"/>
  <c r="I348" i="2"/>
  <c r="O322" i="2"/>
  <c r="N322" i="2"/>
  <c r="I298" i="2"/>
  <c r="N298" i="2"/>
  <c r="O298" i="2"/>
  <c r="F298" i="2" l="1"/>
  <c r="F322" i="2"/>
  <c r="F348" i="2"/>
  <c r="N237" i="2"/>
  <c r="O237" i="2"/>
  <c r="N238" i="2"/>
  <c r="N400" i="2" s="1"/>
  <c r="O238" i="2"/>
  <c r="O400" i="2" s="1"/>
  <c r="N239" i="2"/>
  <c r="O239" i="2"/>
  <c r="N240" i="2"/>
  <c r="O240" i="2"/>
  <c r="I240" i="2"/>
  <c r="I237" i="2"/>
  <c r="N206" i="2"/>
  <c r="O206" i="2"/>
  <c r="O399" i="2" s="1"/>
  <c r="N208" i="2"/>
  <c r="N401" i="2" s="1"/>
  <c r="O208" i="2"/>
  <c r="O401" i="2" s="1"/>
  <c r="N209" i="2"/>
  <c r="O209" i="2"/>
  <c r="I209" i="2"/>
  <c r="I403" i="2" s="1"/>
  <c r="I206" i="2"/>
  <c r="I399" i="2" s="1"/>
  <c r="H62" i="9"/>
  <c r="E239" i="2"/>
  <c r="E236" i="2" s="1"/>
  <c r="O152" i="2"/>
  <c r="N152" i="2"/>
  <c r="N160" i="2"/>
  <c r="N402" i="2"/>
  <c r="N22" i="2"/>
  <c r="N404" i="2" s="1"/>
  <c r="N45" i="9" s="1"/>
  <c r="O22" i="2"/>
  <c r="O404" i="2" s="1"/>
  <c r="O45" i="9" s="1"/>
  <c r="I402" i="2"/>
  <c r="O402" i="2" l="1"/>
  <c r="O43" i="9" s="1"/>
  <c r="H61" i="9"/>
  <c r="H67" i="9" s="1"/>
  <c r="O41" i="9"/>
  <c r="O62" i="9" s="1"/>
  <c r="F237" i="2"/>
  <c r="F206" i="2"/>
  <c r="F152" i="2"/>
  <c r="F209" i="2"/>
  <c r="F240" i="2"/>
  <c r="N43" i="9"/>
  <c r="F20" i="2"/>
  <c r="N149" i="2"/>
  <c r="N399" i="2" s="1"/>
  <c r="F160" i="2"/>
  <c r="F208" i="2"/>
  <c r="F239" i="2"/>
  <c r="F238" i="2"/>
  <c r="O40" i="9"/>
  <c r="O65" i="9"/>
  <c r="O64" i="9" s="1"/>
  <c r="O44" i="9"/>
  <c r="N65" i="9"/>
  <c r="N64" i="9" s="1"/>
  <c r="N44" i="9"/>
  <c r="I43" i="9"/>
  <c r="I236" i="2"/>
  <c r="I205" i="2"/>
  <c r="O205" i="2"/>
  <c r="O148" i="2"/>
  <c r="N205" i="2"/>
  <c r="O236" i="2"/>
  <c r="N236" i="2"/>
  <c r="I148" i="2"/>
  <c r="N84" i="2"/>
  <c r="N21" i="2" s="1"/>
  <c r="N403" i="2" s="1"/>
  <c r="O84" i="2"/>
  <c r="O21" i="2" s="1"/>
  <c r="O403" i="2" s="1"/>
  <c r="E81" i="2"/>
  <c r="H63" i="9" l="1"/>
  <c r="Q401" i="2"/>
  <c r="U48" i="9" s="1"/>
  <c r="O61" i="9"/>
  <c r="F149" i="2"/>
  <c r="N40" i="9"/>
  <c r="H70" i="9"/>
  <c r="F400" i="2"/>
  <c r="F84" i="2"/>
  <c r="F21" i="2" s="1"/>
  <c r="F16" i="2" s="1"/>
  <c r="F205" i="2"/>
  <c r="F236" i="2"/>
  <c r="F402" i="2"/>
  <c r="F43" i="9"/>
  <c r="W43" i="9" s="1"/>
  <c r="I42" i="9"/>
  <c r="I41" i="9"/>
  <c r="N61" i="9" l="1"/>
  <c r="F401" i="2"/>
  <c r="F399" i="2"/>
  <c r="I16" i="2"/>
  <c r="O42" i="9"/>
  <c r="O51" i="9" s="1"/>
  <c r="I63" i="9"/>
  <c r="I62" i="9"/>
  <c r="N16" i="2"/>
  <c r="O16" i="2"/>
  <c r="O63" i="9" l="1"/>
  <c r="F403" i="2"/>
  <c r="O39" i="9"/>
  <c r="O398" i="2"/>
  <c r="I107" i="3" l="1"/>
  <c r="I412" i="2"/>
  <c r="I409" i="2" l="1"/>
  <c r="E38" i="9" l="1"/>
  <c r="E251" i="2" l="1"/>
  <c r="E250" i="2"/>
  <c r="E248" i="2" l="1"/>
  <c r="E35" i="9" l="1"/>
  <c r="N42" i="9" l="1"/>
  <c r="N63" i="9" s="1"/>
  <c r="N41" i="9"/>
  <c r="N148" i="2"/>
  <c r="F148" i="2" s="1"/>
  <c r="N51" i="9" l="1"/>
  <c r="F42" i="9"/>
  <c r="W42" i="9" s="1"/>
  <c r="N398" i="2"/>
  <c r="N39" i="9"/>
  <c r="N62" i="9"/>
  <c r="F41" i="9" l="1"/>
  <c r="W41" i="9" s="1"/>
  <c r="E151" i="2"/>
  <c r="E150" i="2"/>
  <c r="E149" i="2" l="1"/>
  <c r="E402" i="2" l="1"/>
  <c r="E64" i="3" l="1"/>
  <c r="E21" i="3"/>
  <c r="E148" i="2" l="1"/>
  <c r="E18" i="2"/>
  <c r="E17" i="2"/>
  <c r="E20" i="2" l="1"/>
  <c r="E63" i="3" l="1"/>
  <c r="E61" i="3" s="1"/>
  <c r="E324" i="2"/>
  <c r="E323" i="2"/>
  <c r="E98" i="3" l="1"/>
  <c r="E108" i="3" s="1"/>
  <c r="F105" i="3" l="1"/>
  <c r="E59" i="9" l="1"/>
  <c r="E58" i="9"/>
  <c r="N107" i="3"/>
  <c r="O107" i="3"/>
  <c r="E107" i="3"/>
  <c r="O412" i="2"/>
  <c r="N412" i="2"/>
  <c r="E412" i="2"/>
  <c r="E363" i="2" s="1"/>
  <c r="E360" i="2" s="1"/>
  <c r="F410" i="2"/>
  <c r="G58" i="9" s="1"/>
  <c r="G60" i="9" s="1"/>
  <c r="E408" i="2"/>
  <c r="E55" i="9" s="1"/>
  <c r="E407" i="2"/>
  <c r="F412" i="2" l="1"/>
  <c r="I60" i="9"/>
  <c r="F58" i="9"/>
  <c r="F59" i="9"/>
  <c r="N57" i="9"/>
  <c r="F107" i="3"/>
  <c r="F106" i="3"/>
  <c r="O409" i="2"/>
  <c r="E409" i="2"/>
  <c r="F407" i="2"/>
  <c r="G55" i="9" s="1"/>
  <c r="G62" i="9" s="1"/>
  <c r="F408" i="2"/>
  <c r="E56" i="9"/>
  <c r="E57" i="9" s="1"/>
  <c r="N409" i="2"/>
  <c r="O57" i="9"/>
  <c r="E60" i="9"/>
  <c r="O60" i="9"/>
  <c r="N60" i="9"/>
  <c r="G56" i="9" l="1"/>
  <c r="G63" i="9" s="1"/>
  <c r="N70" i="9"/>
  <c r="O70" i="9"/>
  <c r="F56" i="9"/>
  <c r="F55" i="9"/>
  <c r="I57" i="9"/>
  <c r="F60" i="9"/>
  <c r="F409" i="2"/>
  <c r="G57" i="9" l="1"/>
  <c r="F57" i="9"/>
  <c r="E98" i="2" l="1"/>
  <c r="E19" i="2" s="1"/>
  <c r="E208" i="2" l="1"/>
  <c r="I22" i="2"/>
  <c r="F22" i="2" s="1"/>
  <c r="E23" i="2"/>
  <c r="E22" i="2"/>
  <c r="Q38" i="9"/>
  <c r="I404" i="2" l="1"/>
  <c r="G65" i="9"/>
  <c r="I46" i="9"/>
  <c r="F46" i="9" s="1"/>
  <c r="W46" i="9" s="1"/>
  <c r="E205" i="2"/>
  <c r="E43" i="9"/>
  <c r="F404" i="2" l="1"/>
  <c r="I45" i="9"/>
  <c r="I417" i="2"/>
  <c r="I416" i="2" s="1"/>
  <c r="G66" i="9"/>
  <c r="G64" i="9" s="1"/>
  <c r="I66" i="9"/>
  <c r="Q40" i="9"/>
  <c r="F45" i="9" l="1"/>
  <c r="W45" i="9" s="1"/>
  <c r="H44" i="9"/>
  <c r="H39" i="9" s="1"/>
  <c r="H65" i="9"/>
  <c r="H64" i="9" s="1"/>
  <c r="I65" i="9"/>
  <c r="I64" i="9" s="1"/>
  <c r="F64" i="9" s="1"/>
  <c r="I44" i="9"/>
  <c r="E23" i="3"/>
  <c r="E102" i="3" s="1"/>
  <c r="N418" i="2"/>
  <c r="E325" i="2"/>
  <c r="E399" i="2"/>
  <c r="E350" i="2" s="1"/>
  <c r="O418" i="2"/>
  <c r="E16" i="2"/>
  <c r="F44" i="9" l="1"/>
  <c r="W44" i="9" s="1"/>
  <c r="F418" i="2"/>
  <c r="E112" i="3"/>
  <c r="F111" i="3"/>
  <c r="O417" i="2"/>
  <c r="O416" i="2" s="1"/>
  <c r="N417" i="2"/>
  <c r="N416" i="2" s="1"/>
  <c r="F108" i="3"/>
  <c r="O413" i="2"/>
  <c r="N413" i="2"/>
  <c r="E413" i="2"/>
  <c r="E401" i="2"/>
  <c r="E415" i="2" s="1"/>
  <c r="E322" i="2"/>
  <c r="E18" i="3"/>
  <c r="F417" i="2" l="1"/>
  <c r="F416" i="2"/>
  <c r="F112" i="3"/>
  <c r="E8" i="9" l="1"/>
  <c r="E5" i="9" s="1"/>
  <c r="E36" i="9" l="1"/>
  <c r="E33" i="9" s="1"/>
  <c r="S28" i="9" l="1"/>
  <c r="Q20" i="9"/>
  <c r="S20" i="9" s="1"/>
  <c r="Q13" i="9"/>
  <c r="S13" i="9" s="1"/>
  <c r="T98" i="3"/>
  <c r="E40" i="9" l="1"/>
  <c r="E61" i="9" s="1"/>
  <c r="E99" i="3"/>
  <c r="E9" i="3"/>
  <c r="E100" i="3" s="1"/>
  <c r="E109" i="3" l="1"/>
  <c r="E88" i="3" s="1"/>
  <c r="E85" i="3" s="1"/>
  <c r="I415" i="2"/>
  <c r="I414" i="2"/>
  <c r="N415" i="2"/>
  <c r="O414" i="2"/>
  <c r="N414" i="2"/>
  <c r="E97" i="3"/>
  <c r="E110" i="3"/>
  <c r="E113" i="3" s="1"/>
  <c r="Q42" i="9"/>
  <c r="N419" i="2" l="1"/>
  <c r="F414" i="2"/>
  <c r="O415" i="2"/>
  <c r="O419" i="2" s="1"/>
  <c r="F109" i="3"/>
  <c r="F415" i="2" l="1"/>
  <c r="E400" i="2"/>
  <c r="E414" i="2" l="1"/>
  <c r="E351" i="2"/>
  <c r="Q41" i="9"/>
  <c r="E6" i="3" l="1"/>
  <c r="N6" i="3" l="1"/>
  <c r="O6" i="3"/>
  <c r="I6" i="3"/>
  <c r="F6" i="3" l="1"/>
  <c r="F110" i="3"/>
  <c r="F113" i="3" l="1"/>
  <c r="E42" i="9"/>
  <c r="E62" i="9" s="1"/>
  <c r="N67" i="9" l="1"/>
  <c r="O67" i="9"/>
  <c r="F65" i="9"/>
  <c r="F66" i="9"/>
  <c r="F62" i="9" l="1"/>
  <c r="E41" i="9"/>
  <c r="E63" i="9" s="1"/>
  <c r="E405" i="2"/>
  <c r="E418" i="2" s="1"/>
  <c r="F63" i="9" l="1"/>
  <c r="E404" i="2"/>
  <c r="E398" i="2" l="1"/>
  <c r="E349" i="2" s="1"/>
  <c r="E348" i="2" s="1"/>
  <c r="E417" i="2"/>
  <c r="E46" i="9" l="1"/>
  <c r="E66" i="9" s="1"/>
  <c r="E45" i="9" l="1"/>
  <c r="E39" i="9" l="1"/>
  <c r="E65" i="9"/>
  <c r="E67" i="9" s="1"/>
  <c r="T102" i="3"/>
  <c r="T99" i="3"/>
  <c r="T100" i="3" l="1"/>
  <c r="E419" i="2" l="1"/>
  <c r="I40" i="9" l="1"/>
  <c r="I51" i="9" s="1"/>
  <c r="I398" i="2"/>
  <c r="F398" i="2" s="1"/>
  <c r="I413" i="2"/>
  <c r="F40" i="9" l="1"/>
  <c r="W40" i="9" s="1"/>
  <c r="Q45" i="9"/>
  <c r="Q46" i="9"/>
  <c r="F413" i="2"/>
  <c r="I419" i="2"/>
  <c r="F419" i="2" s="1"/>
  <c r="I39" i="9"/>
  <c r="F39" i="9" s="1"/>
  <c r="W39" i="9" s="1"/>
  <c r="I61" i="9"/>
  <c r="I70" i="9" s="1"/>
  <c r="G61" i="9" l="1"/>
  <c r="F61" i="9"/>
  <c r="F70" i="9" s="1"/>
  <c r="I67" i="9"/>
  <c r="F67" i="9" s="1"/>
  <c r="G70" i="9" l="1"/>
  <c r="G67" i="9"/>
</calcChain>
</file>

<file path=xl/comments1.xml><?xml version="1.0" encoding="utf-8"?>
<comments xmlns="http://schemas.openxmlformats.org/spreadsheetml/2006/main">
  <authors>
    <author>Губернская Екатерина Геннадьевна</author>
  </authors>
  <commentList>
    <comment ref="G26" authorId="0" shapeId="0">
      <text>
        <r>
          <rPr>
            <b/>
            <sz val="9"/>
            <color rgb="FF000000"/>
            <rFont val="Tahoma"/>
            <family val="2"/>
            <charset val="204"/>
          </rPr>
          <t>Губернская Екатерина Геннадьевна:</t>
        </r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 xml:space="preserve">164,566 - хэс
</t>
        </r>
      </text>
    </comment>
  </commentList>
</comments>
</file>

<file path=xl/sharedStrings.xml><?xml version="1.0" encoding="utf-8"?>
<sst xmlns="http://schemas.openxmlformats.org/spreadsheetml/2006/main" count="1628" uniqueCount="279">
  <si>
    <t>№ п/п</t>
  </si>
  <si>
    <t>Средства бюджета Московской области</t>
  </si>
  <si>
    <t>Итого:</t>
  </si>
  <si>
    <t>Управление образования</t>
  </si>
  <si>
    <t>№ п.п</t>
  </si>
  <si>
    <t>Мероприятия по реализации Программы</t>
  </si>
  <si>
    <t>Источники финансирования</t>
  </si>
  <si>
    <t>Всего                       (тыс. руб.)</t>
  </si>
  <si>
    <t>3</t>
  </si>
  <si>
    <t>5</t>
  </si>
  <si>
    <t>7</t>
  </si>
  <si>
    <t>9</t>
  </si>
  <si>
    <t>10</t>
  </si>
  <si>
    <t>1</t>
  </si>
  <si>
    <t>11</t>
  </si>
  <si>
    <t>Объем финансирования по годам (тыс. рублей)</t>
  </si>
  <si>
    <t>Объем финансирования по годам (тыс. руб.)</t>
  </si>
  <si>
    <t>ВСЕГО по Муниципальной программе, в том числе</t>
  </si>
  <si>
    <t>Начальник Управления бухгалтерского учета и отчетности, главный бухгалтер</t>
  </si>
  <si>
    <t>Администрация средства бюджета Московской области</t>
  </si>
  <si>
    <t>Администрация всего</t>
  </si>
  <si>
    <t>Администрация средства бюджета Одинцовского района</t>
  </si>
  <si>
    <t>Управление (за разницей) средства бюджета Одинцовского района</t>
  </si>
  <si>
    <t>Управление (за разницей) средства Московской области</t>
  </si>
  <si>
    <t>Управление все расходы (за разницей)</t>
  </si>
  <si>
    <t>Управление все расходы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</si>
  <si>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</si>
  <si>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</si>
  <si>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</si>
  <si>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</si>
  <si>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</si>
  <si>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</si>
  <si>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</si>
  <si>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</si>
  <si>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</si>
  <si>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6</t>
  </si>
  <si>
    <t>8</t>
  </si>
  <si>
    <t>4</t>
  </si>
  <si>
    <t>УМЦ "Развитие образования", Управление образования</t>
  </si>
  <si>
    <t xml:space="preserve">Н.А. Стародубова </t>
  </si>
  <si>
    <t>Средства федерального бюджета</t>
  </si>
  <si>
    <t>Стало</t>
  </si>
  <si>
    <t>Было</t>
  </si>
  <si>
    <t>Управление (за разницей) средства федерального бюджета</t>
  </si>
  <si>
    <t>Объем финансирования в 2019 году (тыс. руб.)</t>
  </si>
  <si>
    <t>2023 год</t>
  </si>
  <si>
    <t>2024 год</t>
  </si>
  <si>
    <t>Средства бюджета  Одинцовского городского округа</t>
  </si>
  <si>
    <t>Средства бюджета Одинцовского городского округа</t>
  </si>
  <si>
    <t xml:space="preserve">Средства бюджета Одинцовского городского округа </t>
  </si>
  <si>
    <t>Срок исполнения мероприятия</t>
  </si>
  <si>
    <t>4.1</t>
  </si>
  <si>
    <t>5.1</t>
  </si>
  <si>
    <t>Срок исполнения меропиятия</t>
  </si>
  <si>
    <t>8.1</t>
  </si>
  <si>
    <t>Объем финансирования в 2019 году (тыс.руб.)</t>
  </si>
  <si>
    <t>1.5</t>
  </si>
  <si>
    <t>6.1</t>
  </si>
  <si>
    <t>7.1</t>
  </si>
  <si>
    <t>в том числе за счет средств родительской платы за присмотр и уход за детьми</t>
  </si>
  <si>
    <t>Управление образования, МКУ "Централизованная бухгалтерия", МКУ ХЭС</t>
  </si>
  <si>
    <t>ФКУ средства бюджета Одинцовского городского округа</t>
  </si>
  <si>
    <t>ФКУ средства бюджета Московской области</t>
  </si>
  <si>
    <t>ФКУ всего</t>
  </si>
  <si>
    <t>Управление (за разницей) средства бюджета Одинцовского городского округа</t>
  </si>
  <si>
    <t>Управление образования, МАОУ "ОЦЭВ"</t>
  </si>
  <si>
    <t xml:space="preserve">к постановлению Администрации Одинцовского </t>
  </si>
  <si>
    <t>городского округа Московской области</t>
  </si>
  <si>
    <t>2.5</t>
  </si>
  <si>
    <t>1.6</t>
  </si>
  <si>
    <t>1.7</t>
  </si>
  <si>
    <t>1.8</t>
  </si>
  <si>
    <t>1.9</t>
  </si>
  <si>
    <t>1.10</t>
  </si>
  <si>
    <t>2</t>
  </si>
  <si>
    <t>Основное мероприятие 01. "Финансовое обеспечение деятельности образовательных организаций"</t>
  </si>
  <si>
    <t>Основное мероприятие 01. "Создание условий для реализации полномочий органов местного самоуправления"</t>
  </si>
  <si>
    <t>1.11</t>
  </si>
  <si>
    <t>1.12</t>
  </si>
  <si>
    <t>1.13</t>
  </si>
  <si>
    <t>Основное мероприятие 08. Модернизация школьных систем образования в рамках государственной программы Российской Федерации "Развитие образования"</t>
  </si>
  <si>
    <t>УМЦ "Развитие образования",     МБОУ ОРЦ "Сопровождение", МАУ "Комбинат питания "Доброе кафе"</t>
  </si>
  <si>
    <t>2025 год</t>
  </si>
  <si>
    <t>2026 год</t>
  </si>
  <si>
    <t>2027 год</t>
  </si>
  <si>
    <t>ПЕРЕЧЕНЬ МЕРОПРИЯТИЙ МУНИЦИПАЛЬНОЙ ПРОГРАММЫ ОДИНЦОВСКОГО ГОРОДСКОГО ОКРУГА                                                                                                                                                                                                                                                                                                                         МОСКОВСКОЙ ОБЛАСТИ "ОБРАЗОВАНИЕ" НА 2023-2027 ГОДЫ</t>
  </si>
  <si>
    <t>2023-2027 годы</t>
  </si>
  <si>
    <t>Внебюджетные источники</t>
  </si>
  <si>
    <t>в том числе за счет доходов от предпринимательской и иной, приносящей доход деятельности</t>
  </si>
  <si>
    <t>в том числе за счет средств  родительской платы за присмотр и уход за детьми</t>
  </si>
  <si>
    <t>Управление образования, МКУ ХЭС</t>
  </si>
  <si>
    <t>1.14</t>
  </si>
  <si>
    <t>1.15</t>
  </si>
  <si>
    <t>Основное мероприятие 02.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</si>
  <si>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Мероприятие 02.01.
Компенсация проезда к месту учебы и обратно отдельным категориям обучающихся по очной форме обучения муниципальных общеобразовательных организаций</t>
  </si>
  <si>
    <t>Управление образования, МАУ "Комбинат питания "Доброе Кафе"</t>
  </si>
  <si>
    <t>Основное мероприятие 04. "Обеспечение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экзамена"</t>
  </si>
  <si>
    <t>Мероприятие 04.01.
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</si>
  <si>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Основное мероприятие 07. "Проведение капитального ремонта объектов дошкольного образования, закупка оборудования"</t>
  </si>
  <si>
    <t xml:space="preserve">Мероприятие 07.01. 
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  </t>
  </si>
  <si>
    <t>Мероприятие 08.03. 
Разработка проектно-сметной документации на проведение капитального ремонта зданий муниципальных общеобразовательных организаций</t>
  </si>
  <si>
    <t>Мероприятие 08.04. 
Благоустройство территорий муниципальных общеобразовательных организаций, в зданиях которых выполнен капитальный ремонт</t>
  </si>
  <si>
    <t>Мероприятие 08.05. 
Обеспечение в отношении объектов капитального ремонта требований к антитеррористической защищенности объектов (территорий), установленных законодательством</t>
  </si>
  <si>
    <t>Мероприятие 09.01. 
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</si>
  <si>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Мероприятие Е1.02.
Обеспечение условий для функционирования центров образования естественно-научной и технологической направленностей</t>
  </si>
  <si>
    <t>9.1</t>
  </si>
  <si>
    <t>10.1</t>
  </si>
  <si>
    <t>Мероприятие Р2.01.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</si>
  <si>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Основное мероприятие 01. "Реализация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детей"</t>
  </si>
  <si>
    <t>Основное мероприятие 04. "Обеспечение функционирования модели персонифицированного финансирования дополнительного образования детей"</t>
  </si>
  <si>
    <t>Мероприятие ЕВ.01. 
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</si>
  <si>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Мероприятие Е1.01.
Создание детского технопарка "Кванториум"</t>
  </si>
  <si>
    <t>Основное мероприятие 09. "Обеспечение условий доступности для инвалидов объектов и предоставляемых услуг в сфере образования"</t>
  </si>
  <si>
    <t>Основное мероприятие 02. "Финансовое обеспечение деятельности организаций дополнительного образования"</t>
  </si>
  <si>
    <t>Управление образования, Финансово-казначесйское управление, руководители организаций, МКУ "Централизованная бухгалтерия"</t>
  </si>
  <si>
    <t>».</t>
  </si>
  <si>
    <t>Х</t>
  </si>
  <si>
    <t>Всего</t>
  </si>
  <si>
    <t>в том числе по кварталам:</t>
  </si>
  <si>
    <t>I</t>
  </si>
  <si>
    <t>II</t>
  </si>
  <si>
    <t>III</t>
  </si>
  <si>
    <t>IV</t>
  </si>
  <si>
    <t>2025</t>
  </si>
  <si>
    <t>2026</t>
  </si>
  <si>
    <t>2027</t>
  </si>
  <si>
    <t>Мероприятие 01.01.                                                                                        Проведение капитального ремонта, технического переоснащения и благоустройства территорий учреждений образования</t>
  </si>
  <si>
    <t>Мероприятие 01.02.                                                                                         Обеспечение подвоза обучающихся к месту обучения в муниципальные общеобразовательные организации в Московской области за счет средств местного бюджета</t>
  </si>
  <si>
    <t>Мероприятие 01.07.                                                                                         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</si>
  <si>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01.10.                                                                                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</si>
  <si>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02.02.                                                                                     Приобретение автобусов для доставки обучающихся в общеобразовательные организации, расположенные в сельских населенных пунктах</t>
  </si>
  <si>
    <t>Мероприятие 02.08.                                                                              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</si>
  <si>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Мероприятие 02.10.                                                                                          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</si>
  <si>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Мероприятие 01.17.                                                                                         Расходы на обеспечение деятельности (оказание услуг) муниципальных учреждений - дошкольные образовательные организации                                                                        </t>
  </si>
  <si>
    <t>Мероприятие 01.19.                                                                              Профессиональная физическая охрана муниципальных учреждений дошкольного образования</t>
  </si>
  <si>
    <t>Мероприятие 02.13.                                                                                                 Создание и содержание дополнительных мест для детей в возрасте от 1,5 до 7 лет в организациях, осуществляющих присмотр и уход за детьми</t>
  </si>
  <si>
    <t>Мероприятие 08.01.                                                                                        Проведение работ по капитальному ремонту зданий региональных (муниципальных) общеобразовательных организаций</t>
  </si>
  <si>
    <t xml:space="preserve">Мероприятие Е1.03.                                                                                           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</t>
  </si>
  <si>
    <t>Мероприятия подпрограммы</t>
  </si>
  <si>
    <t>Мероприятие 01.01.                                                                                                    Стипендии в области образования, культуры и искусства (юные дарования, одаренные дети)</t>
  </si>
  <si>
    <t>Мероприятие 02.01.                                                                                                    Расходы на обеспечение деятельности (оказание услуг) муниципальных учреждений - организации дополнительного образования</t>
  </si>
  <si>
    <t>Мероприятие 02.03.                                                                                   Профессиональная физическая охрана муниципальных учреждений дополнительного образования</t>
  </si>
  <si>
    <t xml:space="preserve">Мероприятие Е1.01.                                                                                               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
</t>
  </si>
  <si>
    <t>Подпрограмма 2 "Дополнительное образование, воспитание и психолого-социальное сопровождение детей"</t>
  </si>
  <si>
    <t>Подпрограмма 1 "Общее образование"</t>
  </si>
  <si>
    <t>Подпрограмма 4 "Обеспечивающая подпрограмма"</t>
  </si>
  <si>
    <t>Мероприятие 01.03.                                                                                   Мероприятия в сфере образования</t>
  </si>
  <si>
    <t>Мероприятие 08.08. 
Устройство спортивных и детских площадок на территории муниципальных общеобразовательных организаций</t>
  </si>
  <si>
    <t>Мероприятие ЕВ.01. 
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</si>
  <si>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ЕВ. Федеральный проект "Патриотическое воспитание граждан Российской Федерации" национального проекта "Образование"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</si>
  <si>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муниципальных дошкольных и общеобразовательных организациях, в общей численности обучающихся в муниципальных дошкольных и общеобразовательных организациях, %</t>
  </si>
  <si>
    <t>Доля обучающихся, обеспеченных общедоступным и бесплатным дошкольным, начальным общим, основным общим, средним общим образованием, дополнительным образованием в частных дошкольных и общеобразовательных организациях, в общей численности обучающихся в частных дошкольных и общеобразовательных организациях,%</t>
  </si>
  <si>
    <t>Выплачена компенсация родительской платы за присмотр и уход за детьми, осваивающими образовательные программы дошкольного образования, в общем числе обратившихся, %</t>
  </si>
  <si>
    <t>В муниципальных общеобразовательных организациях улучшена материально-техническая база, проведен текущий ремонт, шт.</t>
  </si>
  <si>
    <t xml:space="preserve">Обеспечение общеобразовательных учреждений  услугой по охране объектов и имущества, % </t>
  </si>
  <si>
    <t>Обеспечено финансирование муниципальных организаций - дошкольные образовательные организации, шт.</t>
  </si>
  <si>
    <t xml:space="preserve">Обеспечение  дошкольных образовательных учреждений  услугой по охране объектов и имущества, % </t>
  </si>
  <si>
    <t>Выплачена компенсация за проезд отдельным категориям обучающихся по очной форме обучения муниципальных общеобразовательных организаций в общем  числе обратившихся,%</t>
  </si>
  <si>
    <t>Приобретены автобусы для доставки обучающихся в общеобразовательные организации, расположенные в сельских населенных пунктах,шт.</t>
  </si>
  <si>
    <t>Доля обучающихся, получающих начальное общее образование в  муниципальных образовательных организациях, получающих бесплатное горячее питание, к общему количеству обучающихся, получающих начальное общее образование в муниципальных образовательных организациях,%</t>
  </si>
  <si>
    <t>Доля детодней, в которые отдельные категории обучающихся муниципальных общеобразовательных организаций в Московской области получали бесплатное питание, от общего количества детодней, в которые отдельные категории обучающихся в муниципальных общеобразовательных организаций в Московской области посещали образовательную организацию, %</t>
  </si>
  <si>
    <t>Обеспечено содержание созданных дополнительных мест для детей в возрасте от 1,5 до 7 лет в организациях, осуществляющих присмотр и уход за детьми, место</t>
  </si>
  <si>
    <t>Проведен капитальный ремонт дошкольных образовательных организаций, шт.</t>
  </si>
  <si>
    <t>Выполнены в полном объеме мероприятия по капитальному ремонту общеобразовательных организаций, шт.</t>
  </si>
  <si>
    <t>Оснащены средствами обучения и воспитания отремонтированные здания общеобразовательных организаций, шт.</t>
  </si>
  <si>
    <t>Разработана проектно-сметная документация на проведение капитального ремонта зданий муниципальных общеобразовательных организаций в Московской области, шт.</t>
  </si>
  <si>
    <t>Объекты капитального ремонта приведены в соответствие с требованиями, установленными законодательством по антитеррористической защищённости, шт.</t>
  </si>
  <si>
    <t xml:space="preserve">Осуществлено устройство спортивных и детских площадок на территории муниципальных общеобразовательных организаций, шт. </t>
  </si>
  <si>
    <t>Созданы условия для получения детьми-инвалидами качественного образования в муниципальных образовательных организаций: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шт.</t>
  </si>
  <si>
    <t>В общеобразовательных организациях, расположенных в сельской местности и малых городах, созданы и функционируют центры образования естественно-научной и технологической направленностей, шт.</t>
  </si>
  <si>
    <t>В Московской области реализованы дополнительные мероприятия по созданию центров образования естественно-научной и технологической направленностей, шт.</t>
  </si>
  <si>
    <t>Обновлена материально-техническая база в организациях, осуществляющих образовательную деятельность исключительно по адаптированным основным общеобразовательным программам, шт.</t>
  </si>
  <si>
    <t>Доля воспитанников в частных дошкольных образовательных организациях,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обеспеченных содержанием, в общей численности воспитанников, зачисленных  в частные дошкольные образовательные организации, частные общеобразовательные организации и к индивидуальным предпринимателям, осуществляющим образовательную деятельность по основным общеобразовательным программам дошкольного образования, посредством информационной системы управления дошкольными образовательными организациями Московской области, %</t>
  </si>
  <si>
    <t>Произведены выплаты в области образования, культуры и искусства (юные дарования, одаренные дети), человек</t>
  </si>
  <si>
    <t>Обеспечено финансирование муниципальных организаций дополнительного образования, шт.</t>
  </si>
  <si>
    <t>Обеспечение  дополнительного образования  услугой по охране объектов и имущества, %</t>
  </si>
  <si>
    <t>100% внедрение и обеспечение функционирования модели персонифицированного финансирования дополнительного образования детей, %</t>
  </si>
  <si>
    <t>Созданы детские технопарки «Кванториум», шт.</t>
  </si>
  <si>
    <t>Обеспечение 100% эффективной деятельности аппарата управления,%</t>
  </si>
  <si>
    <t xml:space="preserve">Количество проведенных мероприятий в сфере образования, штук </t>
  </si>
  <si>
    <t>Обеспечение подвоза обучающихся к месту учебы и обратно, %</t>
  </si>
  <si>
    <t>Обеспечены пункты проведения итоговой аттестации и проведена государственная итоговая аттестация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экзамена, %</t>
  </si>
  <si>
    <t>Итого Подпрограмма 1 "Общее образование", в том числе:</t>
  </si>
  <si>
    <t>Итого Подпрограмма 2 "Дополнительное образование, воспитание и психолого-социальное сопровождение детей", в том числе:</t>
  </si>
  <si>
    <t xml:space="preserve"> Итого Подпрограмма 4 "Обеспечивающая подпрограмма", в том числе:</t>
  </si>
  <si>
    <t>Обеспечено финансирование муниципальных организаций, шт.</t>
  </si>
  <si>
    <t>Благоустроены территории  муниципальных общеобразовательных организаций, шт.</t>
  </si>
  <si>
    <t xml:space="preserve">«Приложение 1 к муниципальной программе </t>
  </si>
  <si>
    <t xml:space="preserve">Количество общеобразовательных учреждений, в которых созданы условия, отвечающие требованиям СанПиН. (Проведение капитального ремонта, технического переоснащения и благоустройства территорий), шт.                         </t>
  </si>
  <si>
    <t>Основное мероприятие 06. "Предоставление добровольных имущественных взносов на обеспечение деятельности общеобразовательных организаций"</t>
  </si>
  <si>
    <t>Мероприятие 06.01.
Предоставление добровольных имущественных взносов на обеспечение деятельности общеобразовательных организаций</t>
  </si>
  <si>
    <t>Количество общеобразовательных организаций, которым предоставлен добровольный имущественный взнос на обеспечение деятельности общеобразовательных организаций, шт.</t>
  </si>
  <si>
    <t>7.2</t>
  </si>
  <si>
    <t>7.3</t>
  </si>
  <si>
    <t>7.4</t>
  </si>
  <si>
    <t>7.5</t>
  </si>
  <si>
    <t>7.6</t>
  </si>
  <si>
    <t>Мероприятие 01.03.                                                                                         Обеспечение условий для функционирования центров образования естественно-научной и технологической направленностей за счет средств местного бюджета</t>
  </si>
  <si>
    <t>1.16</t>
  </si>
  <si>
    <t>В общеобразовательных организациях, расположенных в сельской местности и малых городах, обеспечены условия для функционирования центров образования естественно-научной и технологической направленностей за счет средств местного бюджета, шт.</t>
  </si>
  <si>
    <t>2.6</t>
  </si>
  <si>
    <t>Мероприятие 02.14.                                                                                                 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</si>
  <si>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Не взимается плата за присмотр и уход за детьми из семей граждан, участвующих в специальной военной операции, в общем числе обратившихся, %</t>
  </si>
  <si>
    <t>Мероприятие 03.05.                                                                                                        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</si>
  <si>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4.2</t>
  </si>
  <si>
    <t xml:space="preserve"> </t>
  </si>
  <si>
    <t>МКУ ХЭС</t>
  </si>
  <si>
    <t>2024-2027 годы</t>
  </si>
  <si>
    <t>Мероприятие 04.02.                                                                                                        Внедрение и обеспечение функционирования модели персонифицированного финансирования дополнительного образования детей</t>
  </si>
  <si>
    <t>1.17</t>
  </si>
  <si>
    <t xml:space="preserve">Мероприятие 02.18.                                                                                                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</t>
  </si>
  <si>
    <t>Мероприятие 04.03.
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</si>
  <si>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Доля отдельных категорий обучающихся по очной форме обучения в частных общеобразовательных организациях, обеспеченных питанием, к общему количеству обучающихся отдельных категорий обучающихся по очной форме обучения в частных общеобразовательных организациях, %</t>
  </si>
  <si>
    <t>Доля работников, получивших компенсацию, в общей численности работников, привлеченных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аттестации, %</t>
  </si>
  <si>
    <t>Созданы комфортные условия для реализации современных образовательных программ в зданиях муниципальных общеобразовательных организаций, ед.</t>
  </si>
  <si>
    <t>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</si>
  <si>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Муниципальные общеобразовательные организации, в том числе структурные подразделения указанных организаций, оснащены государственными символами Российской Федерации, ед.</t>
  </si>
  <si>
    <t>Мероприятие 08.02.                                                                                              Оснащение отремонтированных зданий общеобразовательных организаций средствами обучения и воспитания</t>
  </si>
  <si>
    <t xml:space="preserve">Мероприятие 01.21.                                                                                                 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 </t>
  </si>
  <si>
    <t>Мероприятие 01.22.                                                                                        Укрепление материально-технической базы, содержание имущества и проведение текущего ремонта общеобразовательных организаций</t>
  </si>
  <si>
    <t>2023</t>
  </si>
  <si>
    <t>2024</t>
  </si>
  <si>
    <t>10.2</t>
  </si>
  <si>
    <t>10.3</t>
  </si>
  <si>
    <t>12</t>
  </si>
  <si>
    <t>12.1</t>
  </si>
  <si>
    <t>2.7</t>
  </si>
  <si>
    <t>_______________</t>
  </si>
  <si>
    <t>Основное мероприятие 03. "Обеспечение развития инновационной инфраструктуры общего образования"</t>
  </si>
  <si>
    <t xml:space="preserve">Приложение </t>
  </si>
  <si>
    <t xml:space="preserve">Начальник Управления образования                                                                   </t>
  </si>
  <si>
    <t>О.А. Ткачева</t>
  </si>
  <si>
    <t>Мероприятие 01.23.  Профессиональная физическая охрана муниципальных учреждений в сфере общеобразовательных организаций</t>
  </si>
  <si>
    <t>Мероприятие 01.27.                                                                                                               Обеспечение стимулирующих выплат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</t>
  </si>
  <si>
    <t xml:space="preserve">Обеспечено финансирование муниципальных организаций - общеобразовательные организации, оказывающие услуги дошкольного, начального общего, основного общего, среднего общего образования, шт. </t>
  </si>
  <si>
    <t>Мероприятие 01.28.                                                                                                                Обеспечение выплат ежемесячных доплат за напряженный труд работникам муниципальных дошкольных и общеобразовательных организаций</t>
  </si>
  <si>
    <t>Мероприятие 01.29.                                                                                                                 Организация питания обучающихся в муниципальных общеобразовательных организациях в Московской области</t>
  </si>
  <si>
    <t>Мероприятие 01.30. 
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</si>
  <si>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14</t>
  </si>
  <si>
    <t>14.1</t>
  </si>
  <si>
    <t>Мероприятие Ю6.02.                                                                             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</si>
  <si>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Ю6.04. 
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</si>
  <si>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Мероприятие 01.08.                                                                                         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                                                                                                                          </t>
  </si>
  <si>
    <t>Основное мероприятие Ю6. Федеральный проект "Педагоги и наставники"</t>
  </si>
  <si>
    <t>Основное мероприятие Е1. Федеральный проект "Современная школа"</t>
  </si>
  <si>
    <t xml:space="preserve">Основное мероприятие Р2. Федеральный проект "Содействие занятости" </t>
  </si>
  <si>
    <t>Обеспечениы выплаты ежемесячного денежного вознаграждения  советникам директоров по воспитанию и взаимодействию с детскими общественными объединениями, ед.</t>
  </si>
  <si>
    <t>Итого 2023</t>
  </si>
  <si>
    <t>Итого 2024</t>
  </si>
  <si>
    <t>Ответственный за выполнение мероприятия программы</t>
  </si>
  <si>
    <t>Доля педагогических работников муниципальных дошкольных и общеобразовательных организаций – молодых работников и специалистов, получивших выплату и пособие, в общем числе обратившихся за выплатой и пособием, %</t>
  </si>
  <si>
    <t>Основное мероприятие Ю4: 
Все лучшее детям</t>
  </si>
  <si>
    <t>Мероприятие Ю4.01
Оснащение предметных кабинетов общеобразовательных организаций средствами обучения и воспитания</t>
  </si>
  <si>
    <t>Оснащены предметные кабинеты общеобразовательных организаций средствами обучения и воспитания, ед.</t>
  </si>
  <si>
    <t>В государственных и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объединениями, ед.</t>
  </si>
  <si>
    <t>Мероприятие  Ю6.07.
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</si>
  <si>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организаций, ед.</t>
  </si>
  <si>
    <t>15</t>
  </si>
  <si>
    <t>15.1</t>
  </si>
  <si>
    <t>15.2</t>
  </si>
  <si>
    <t>15.3</t>
  </si>
  <si>
    <t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ед.</t>
  </si>
  <si>
    <t>Мероприятие 01.15.                                                                       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</si>
  <si>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Мероприятие 02.07.                                                                                             Сохранение достигнутого уровня заработной платы педагогических работников организаций дополнительного образования сферы образования</t>
  </si>
  <si>
    <t xml:space="preserve">Достижение соотношения средней заработной платы педагогических работников организаций дополнительного образования сферы образования без учета внешних совместителей и среднемесячной номинальной начисленной заработной платы учителей, %                        </t>
  </si>
  <si>
    <t>Управление образования, МКУ "Централизованная бухгалтерия"</t>
  </si>
  <si>
    <t>от «___» __________ 2025 № ______</t>
  </si>
  <si>
    <t>2025-2027 годы</t>
  </si>
  <si>
    <t>2023год</t>
  </si>
  <si>
    <t>2023-2024 годы</t>
  </si>
  <si>
    <t>Мероприятие 01.01.                                                                                         Обеспечение деятельности муниципальных органов - учреждения в сфере образования</t>
  </si>
  <si>
    <t>Мероприятие 01.02.                                                                                         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</si>
  <si>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Доля  руководителей муниципальных общеобразовательных организаций, получивших стимулирующие выплаты руководителям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организациях, в общей численности работников такой категории, %</t>
  </si>
  <si>
    <t>Доля работников муниципальных дошкольных образовательных организаций, и  муниципальных общеобразовательных организаций, получивших ежемесячную доплату за напряженный труд, в общей численности работников такой категории, процентзовательных организаций, получивших ежемесячную доплату за напряженный труд, в общей численности работников такой категории, %</t>
  </si>
  <si>
    <t xml:space="preserve">Мероприятие 01.11.                                                                                          Выплата пособия и ежемесячных выплат педагогическим работникам муниципальных дошкольных и общеобразовательных организаций - молодым работникам и специалистам                                                                                                      </t>
  </si>
  <si>
    <r>
      <t xml:space="preserve">Обеспечены выплаты денежного вознаграждения за классное руководство, предоставляемые педагогическим работникам </t>
    </r>
    <r>
      <rPr>
        <sz val="14"/>
        <color rgb="FFFF0000"/>
        <rFont val="Times New Roman"/>
        <family val="1"/>
      </rPr>
      <t>муниципальных</t>
    </r>
    <r>
      <rPr>
        <sz val="14"/>
        <color theme="1"/>
        <rFont val="Times New Roman"/>
        <family val="1"/>
        <charset val="204"/>
      </rPr>
      <t xml:space="preserve"> образовательных организаций, ежемесячно, ед.</t>
    </r>
  </si>
  <si>
    <t xml:space="preserve">Обеспечение бесплатным горячим питанием обучающихся, получающих начальное общее образование в муниципальных образовательных организациях, человек.
</t>
  </si>
  <si>
    <t>23789</t>
  </si>
  <si>
    <t xml:space="preserve">Не взимается плата за посещение занятий по дополнительным образовательным программам, реализуемым на платной основе в муниципальных образовательных организациях, детьми граждан, участвующих в специальной военной операции, в общем числе обратившихся, 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</si>
</sst>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0"/>
    <numFmt numFmtId="166" formatCode="0.000"/>
    <numFmt numFmtId="167" formatCode="#,##0.00000"/>
    <numFmt numFmtId="168" formatCode="#,##0.0000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2"/>
    </font>
    <font>
      <sz val="14"/>
      <name val="Arial Cyr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 Cyr"/>
      <charset val="204"/>
    </font>
    <font>
      <b/>
      <sz val="48"/>
      <name val="Times New Roman"/>
      <family val="1"/>
      <charset val="204"/>
    </font>
    <font>
      <sz val="14"/>
      <name val="Times New Roman"/>
      <family val="2"/>
    </font>
    <font>
      <b/>
      <sz val="16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2060"/>
      <name val="Times New Roman"/>
      <family val="1"/>
      <charset val="204"/>
    </font>
    <font>
      <b/>
      <sz val="9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48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3"/>
      <color theme="1"/>
      <name val="Times New Roman"/>
      <family val="1"/>
      <charset val="204"/>
    </font>
    <font>
      <sz val="16"/>
      <name val="Arial"/>
      <family val="2"/>
      <charset val="20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3.5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>
      <alignment vertical="center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</cellStyleXfs>
  <cellXfs count="568">
    <xf numFmtId="0" fontId="0" fillId="0" borderId="0" xfId="0"/>
    <xf numFmtId="0" fontId="6" fillId="0" borderId="0" xfId="0" applyFont="1"/>
    <xf numFmtId="0" fontId="7" fillId="2" borderId="0" xfId="7" applyNumberFormat="1" applyFont="1" applyFill="1" applyBorder="1" applyAlignment="1" applyProtection="1">
      <alignment vertical="top"/>
    </xf>
    <xf numFmtId="0" fontId="7" fillId="2" borderId="0" xfId="7" applyNumberFormat="1" applyFont="1" applyFill="1" applyBorder="1" applyAlignment="1" applyProtection="1">
      <alignment horizontal="center" vertical="top"/>
    </xf>
    <xf numFmtId="165" fontId="6" fillId="0" borderId="0" xfId="0" applyNumberFormat="1" applyFont="1"/>
    <xf numFmtId="0" fontId="6" fillId="4" borderId="0" xfId="0" applyFont="1" applyFill="1"/>
    <xf numFmtId="0" fontId="9" fillId="0" borderId="2" xfId="1" applyFont="1" applyFill="1" applyBorder="1"/>
    <xf numFmtId="0" fontId="10" fillId="0" borderId="0" xfId="0" applyFont="1"/>
    <xf numFmtId="165" fontId="6" fillId="0" borderId="0" xfId="0" applyNumberFormat="1" applyFont="1" applyFill="1"/>
    <xf numFmtId="0" fontId="6" fillId="0" borderId="0" xfId="0" applyFont="1" applyFill="1"/>
    <xf numFmtId="0" fontId="3" fillId="2" borderId="0" xfId="4" applyNumberFormat="1" applyFont="1" applyFill="1" applyBorder="1" applyAlignment="1" applyProtection="1">
      <alignment vertical="top"/>
    </xf>
    <xf numFmtId="4" fontId="6" fillId="0" borderId="0" xfId="0" applyNumberFormat="1" applyFont="1"/>
    <xf numFmtId="0" fontId="9" fillId="0" borderId="2" xfId="4" applyNumberFormat="1" applyFont="1" applyFill="1" applyBorder="1" applyAlignment="1">
      <alignment horizontal="left" vertical="top" wrapText="1" indent="1"/>
    </xf>
    <xf numFmtId="0" fontId="16" fillId="0" borderId="2" xfId="4" applyNumberFormat="1" applyFont="1" applyFill="1" applyBorder="1" applyAlignment="1" applyProtection="1">
      <alignment vertical="top"/>
    </xf>
    <xf numFmtId="0" fontId="6" fillId="0" borderId="0" xfId="0" applyFont="1" applyAlignment="1">
      <alignment horizontal="center"/>
    </xf>
    <xf numFmtId="0" fontId="3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center" vertical="top" wrapText="1"/>
    </xf>
    <xf numFmtId="0" fontId="5" fillId="0" borderId="0" xfId="5" applyNumberFormat="1" applyFont="1" applyFill="1" applyBorder="1" applyAlignment="1" applyProtection="1">
      <alignment vertical="top"/>
    </xf>
    <xf numFmtId="0" fontId="5" fillId="0" borderId="0" xfId="5" applyNumberFormat="1" applyFont="1" applyFill="1" applyBorder="1" applyAlignment="1" applyProtection="1">
      <alignment horizontal="left" vertical="top"/>
    </xf>
    <xf numFmtId="0" fontId="16" fillId="0" borderId="2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vertical="top"/>
    </xf>
    <xf numFmtId="165" fontId="16" fillId="0" borderId="0" xfId="5" applyNumberFormat="1" applyFont="1" applyFill="1" applyBorder="1" applyAlignment="1" applyProtection="1">
      <alignment vertical="top"/>
    </xf>
    <xf numFmtId="0" fontId="16" fillId="0" borderId="0" xfId="5" applyNumberFormat="1" applyFont="1" applyFill="1" applyBorder="1" applyAlignment="1" applyProtection="1">
      <alignment horizontal="right" vertical="top"/>
    </xf>
    <xf numFmtId="0" fontId="9" fillId="0" borderId="0" xfId="5" applyNumberFormat="1" applyFont="1" applyFill="1" applyBorder="1" applyAlignment="1" applyProtection="1">
      <alignment vertical="top"/>
    </xf>
    <xf numFmtId="0" fontId="9" fillId="3" borderId="0" xfId="5" applyNumberFormat="1" applyFont="1" applyFill="1" applyBorder="1" applyAlignment="1" applyProtection="1">
      <alignment horizontal="left" vertical="top"/>
    </xf>
    <xf numFmtId="0" fontId="9" fillId="0" borderId="1" xfId="5" applyNumberFormat="1" applyFont="1" applyFill="1" applyBorder="1" applyAlignment="1" applyProtection="1">
      <alignment vertical="top"/>
    </xf>
    <xf numFmtId="165" fontId="9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/>
    </xf>
    <xf numFmtId="0" fontId="9" fillId="3" borderId="0" xfId="5" applyNumberFormat="1" applyFont="1" applyFill="1" applyBorder="1" applyAlignment="1" applyProtection="1">
      <alignment vertical="top"/>
    </xf>
    <xf numFmtId="49" fontId="8" fillId="0" borderId="0" xfId="4" applyNumberFormat="1" applyFont="1" applyFill="1" applyBorder="1" applyAlignment="1" applyProtection="1">
      <alignment horizontal="center" vertical="top"/>
    </xf>
    <xf numFmtId="49" fontId="8" fillId="0" borderId="0" xfId="2" applyNumberFormat="1" applyFont="1" applyFill="1" applyBorder="1" applyAlignment="1" applyProtection="1">
      <alignment horizontal="center" vertical="center" wrapText="1"/>
    </xf>
    <xf numFmtId="0" fontId="13" fillId="0" borderId="0" xfId="3" applyNumberFormat="1" applyFont="1" applyFill="1" applyBorder="1" applyAlignment="1" applyProtection="1">
      <alignment horizontal="center" vertical="top" wrapText="1"/>
    </xf>
    <xf numFmtId="0" fontId="8" fillId="0" borderId="0" xfId="4" applyNumberFormat="1" applyFont="1" applyFill="1" applyBorder="1" applyAlignment="1">
      <alignment horizontal="left" vertical="top" wrapText="1" indent="1"/>
    </xf>
    <xf numFmtId="165" fontId="9" fillId="0" borderId="0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Border="1" applyAlignment="1">
      <alignment vertical="center"/>
    </xf>
    <xf numFmtId="165" fontId="16" fillId="0" borderId="0" xfId="4" applyNumberFormat="1" applyFont="1" applyFill="1" applyBorder="1" applyAlignment="1" applyProtection="1">
      <alignment vertical="top"/>
    </xf>
    <xf numFmtId="0" fontId="5" fillId="2" borderId="0" xfId="1" applyFont="1" applyFill="1" applyAlignment="1">
      <alignment horizontal="left"/>
    </xf>
    <xf numFmtId="165" fontId="8" fillId="0" borderId="2" xfId="1" applyNumberFormat="1" applyFont="1" applyFill="1" applyBorder="1" applyAlignment="1">
      <alignment horizontal="center" vertical="center"/>
    </xf>
    <xf numFmtId="0" fontId="5" fillId="3" borderId="0" xfId="7" applyNumberFormat="1" applyFont="1" applyFill="1" applyBorder="1" applyAlignment="1" applyProtection="1">
      <alignment vertical="top" wrapText="1"/>
    </xf>
    <xf numFmtId="165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165" fontId="5" fillId="3" borderId="0" xfId="5" applyNumberFormat="1" applyFont="1" applyFill="1" applyBorder="1" applyAlignment="1" applyProtection="1">
      <alignment horizontal="left" vertical="top"/>
    </xf>
    <xf numFmtId="0" fontId="9" fillId="0" borderId="0" xfId="5" applyNumberFormat="1" applyFont="1" applyFill="1" applyBorder="1" applyAlignment="1" applyProtection="1">
      <alignment horizontal="left" vertical="top"/>
    </xf>
    <xf numFmtId="167" fontId="8" fillId="0" borderId="2" xfId="1" applyNumberFormat="1" applyFont="1" applyFill="1" applyBorder="1" applyAlignment="1">
      <alignment horizontal="right" vertical="center"/>
    </xf>
    <xf numFmtId="167" fontId="6" fillId="0" borderId="0" xfId="0" applyNumberFormat="1" applyFont="1" applyFill="1"/>
    <xf numFmtId="167" fontId="6" fillId="0" borderId="0" xfId="0" applyNumberFormat="1" applyFont="1"/>
    <xf numFmtId="167" fontId="11" fillId="0" borderId="2" xfId="0" applyNumberFormat="1" applyFont="1" applyBorder="1"/>
    <xf numFmtId="167" fontId="8" fillId="0" borderId="2" xfId="4" applyNumberFormat="1" applyFont="1" applyFill="1" applyBorder="1" applyAlignment="1" applyProtection="1">
      <alignment horizontal="right" vertical="center"/>
    </xf>
    <xf numFmtId="0" fontId="5" fillId="3" borderId="0" xfId="7" applyNumberFormat="1" applyFont="1" applyFill="1" applyBorder="1" applyAlignment="1" applyProtection="1">
      <alignment horizontal="left" vertical="top" wrapText="1"/>
    </xf>
    <xf numFmtId="167" fontId="6" fillId="3" borderId="0" xfId="0" applyNumberFormat="1" applyFont="1" applyFill="1"/>
    <xf numFmtId="0" fontId="5" fillId="3" borderId="0" xfId="5" applyNumberFormat="1" applyFont="1" applyFill="1" applyBorder="1" applyAlignment="1" applyProtection="1">
      <alignment horizontal="left" vertical="top"/>
    </xf>
    <xf numFmtId="165" fontId="9" fillId="0" borderId="5" xfId="3" applyNumberFormat="1" applyFont="1" applyFill="1" applyBorder="1" applyAlignment="1" applyProtection="1">
      <alignment horizontal="center" vertical="center" wrapText="1"/>
    </xf>
    <xf numFmtId="165" fontId="9" fillId="0" borderId="0" xfId="1" applyNumberFormat="1" applyFont="1" applyFill="1" applyBorder="1" applyAlignment="1">
      <alignment vertical="center"/>
    </xf>
    <xf numFmtId="165" fontId="8" fillId="3" borderId="0" xfId="4" applyNumberFormat="1" applyFont="1" applyFill="1" applyBorder="1" applyAlignment="1" applyProtection="1">
      <alignment horizontal="center" vertical="center"/>
    </xf>
    <xf numFmtId="165" fontId="9" fillId="3" borderId="0" xfId="1" applyNumberFormat="1" applyFont="1" applyFill="1" applyBorder="1" applyAlignment="1">
      <alignment horizontal="center" vertical="center" wrapText="1"/>
    </xf>
    <xf numFmtId="167" fontId="11" fillId="0" borderId="2" xfId="0" applyNumberFormat="1" applyFont="1" applyBorder="1" applyAlignment="1">
      <alignment horizontal="right"/>
    </xf>
    <xf numFmtId="167" fontId="12" fillId="5" borderId="2" xfId="0" applyNumberFormat="1" applyFont="1" applyFill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1" fillId="0" borderId="0" xfId="0" applyNumberFormat="1" applyFont="1"/>
    <xf numFmtId="168" fontId="6" fillId="3" borderId="0" xfId="0" applyNumberFormat="1" applyFont="1" applyFill="1"/>
    <xf numFmtId="167" fontId="11" fillId="0" borderId="0" xfId="0" applyNumberFormat="1" applyFont="1"/>
    <xf numFmtId="0" fontId="7" fillId="3" borderId="0" xfId="7" applyNumberFormat="1" applyFont="1" applyFill="1" applyBorder="1" applyAlignment="1" applyProtection="1">
      <alignment vertical="top"/>
    </xf>
    <xf numFmtId="0" fontId="5" fillId="3" borderId="0" xfId="7" applyNumberFormat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horizontal="right"/>
    </xf>
    <xf numFmtId="0" fontId="8" fillId="0" borderId="0" xfId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center" vertical="center"/>
    </xf>
    <xf numFmtId="167" fontId="8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3" borderId="0" xfId="0" applyNumberFormat="1" applyFont="1" applyFill="1" applyBorder="1" applyAlignment="1" applyProtection="1">
      <alignment horizontal="right" vertical="top"/>
    </xf>
    <xf numFmtId="167" fontId="21" fillId="3" borderId="0" xfId="0" applyNumberFormat="1" applyFont="1" applyFill="1"/>
    <xf numFmtId="167" fontId="9" fillId="0" borderId="2" xfId="3" applyNumberFormat="1" applyFont="1" applyFill="1" applyBorder="1" applyAlignment="1" applyProtection="1">
      <alignment horizontal="center" vertical="center" wrapText="1"/>
    </xf>
    <xf numFmtId="0" fontId="22" fillId="2" borderId="0" xfId="1" applyFont="1" applyFill="1" applyAlignment="1">
      <alignment horizontal="center"/>
    </xf>
    <xf numFmtId="0" fontId="22" fillId="3" borderId="0" xfId="7" applyNumberFormat="1" applyFont="1" applyFill="1" applyBorder="1" applyAlignment="1" applyProtection="1">
      <alignment vertical="top" wrapText="1"/>
    </xf>
    <xf numFmtId="0" fontId="23" fillId="0" borderId="0" xfId="1" applyFont="1" applyFill="1" applyBorder="1" applyAlignment="1">
      <alignment horizontal="right" vertical="center"/>
    </xf>
    <xf numFmtId="165" fontId="23" fillId="0" borderId="0" xfId="1" applyNumberFormat="1" applyFont="1" applyFill="1" applyBorder="1" applyAlignment="1">
      <alignment horizontal="right" vertical="center"/>
    </xf>
    <xf numFmtId="165" fontId="23" fillId="3" borderId="0" xfId="1" applyNumberFormat="1" applyFont="1" applyFill="1" applyBorder="1" applyAlignment="1">
      <alignment horizontal="right" vertical="center"/>
    </xf>
    <xf numFmtId="167" fontId="23" fillId="0" borderId="0" xfId="1" applyNumberFormat="1" applyFont="1" applyFill="1" applyBorder="1" applyAlignment="1">
      <alignment horizontal="right" vertical="center"/>
    </xf>
    <xf numFmtId="0" fontId="22" fillId="0" borderId="0" xfId="1" applyFont="1" applyFill="1" applyBorder="1"/>
    <xf numFmtId="0" fontId="1" fillId="0" borderId="0" xfId="0" applyFont="1"/>
    <xf numFmtId="167" fontId="24" fillId="0" borderId="2" xfId="0" applyNumberFormat="1" applyFont="1" applyBorder="1"/>
    <xf numFmtId="167" fontId="1" fillId="0" borderId="0" xfId="0" applyNumberFormat="1" applyFont="1"/>
    <xf numFmtId="167" fontId="25" fillId="0" borderId="2" xfId="0" applyNumberFormat="1" applyFont="1" applyBorder="1"/>
    <xf numFmtId="0" fontId="26" fillId="0" borderId="0" xfId="0" applyFont="1"/>
    <xf numFmtId="0" fontId="1" fillId="3" borderId="0" xfId="0" applyFont="1" applyFill="1"/>
    <xf numFmtId="165" fontId="26" fillId="3" borderId="0" xfId="0" applyNumberFormat="1" applyFont="1" applyFill="1"/>
    <xf numFmtId="165" fontId="1" fillId="3" borderId="0" xfId="0" applyNumberFormat="1" applyFont="1" applyFill="1"/>
    <xf numFmtId="165" fontId="1" fillId="0" borderId="0" xfId="0" applyNumberFormat="1" applyFont="1"/>
    <xf numFmtId="4" fontId="1" fillId="3" borderId="0" xfId="0" applyNumberFormat="1" applyFont="1" applyFill="1"/>
    <xf numFmtId="165" fontId="9" fillId="0" borderId="2" xfId="4" applyNumberFormat="1" applyFont="1" applyFill="1" applyBorder="1" applyAlignment="1">
      <alignment horizontal="left" vertical="top" wrapText="1" indent="1"/>
    </xf>
    <xf numFmtId="0" fontId="9" fillId="3" borderId="0" xfId="7" applyNumberFormat="1" applyFont="1" applyFill="1" applyBorder="1" applyAlignment="1" applyProtection="1">
      <alignment horizontal="righ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167" fontId="9" fillId="0" borderId="2" xfId="1" applyNumberFormat="1" applyFont="1" applyFill="1" applyBorder="1" applyAlignment="1">
      <alignment horizontal="right" vertical="center"/>
    </xf>
    <xf numFmtId="0" fontId="8" fillId="0" borderId="0" xfId="4" applyNumberFormat="1" applyFont="1" applyFill="1" applyBorder="1" applyAlignment="1" applyProtection="1">
      <alignment horizontal="center" vertical="top"/>
    </xf>
    <xf numFmtId="165" fontId="8" fillId="3" borderId="0" xfId="4" applyNumberFormat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66" fontId="6" fillId="0" borderId="0" xfId="0" applyNumberFormat="1" applyFont="1" applyFill="1"/>
    <xf numFmtId="165" fontId="9" fillId="0" borderId="0" xfId="1" applyNumberFormat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>
      <alignment horizontal="right" vertical="center" wrapText="1"/>
    </xf>
    <xf numFmtId="0" fontId="16" fillId="0" borderId="0" xfId="4" applyNumberFormat="1" applyFont="1" applyFill="1" applyBorder="1" applyAlignment="1" applyProtection="1">
      <alignment vertical="top"/>
    </xf>
    <xf numFmtId="4" fontId="6" fillId="0" borderId="0" xfId="0" applyNumberFormat="1" applyFont="1" applyFill="1"/>
    <xf numFmtId="49" fontId="13" fillId="0" borderId="2" xfId="2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7" fontId="19" fillId="0" borderId="2" xfId="3" applyNumberFormat="1" applyFont="1" applyFill="1" applyBorder="1" applyAlignment="1" applyProtection="1">
      <alignment horizontal="center" vertical="center" wrapText="1"/>
    </xf>
    <xf numFmtId="165" fontId="8" fillId="0" borderId="2" xfId="5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>
      <alignment vertical="center"/>
    </xf>
    <xf numFmtId="165" fontId="9" fillId="0" borderId="2" xfId="1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167" fontId="10" fillId="0" borderId="0" xfId="0" applyNumberFormat="1" applyFont="1"/>
    <xf numFmtId="0" fontId="20" fillId="3" borderId="0" xfId="7" applyNumberFormat="1" applyFont="1" applyFill="1" applyBorder="1" applyAlignment="1" applyProtection="1">
      <alignment vertical="top" wrapText="1"/>
    </xf>
    <xf numFmtId="0" fontId="27" fillId="3" borderId="0" xfId="0" applyFont="1" applyFill="1"/>
    <xf numFmtId="4" fontId="27" fillId="3" borderId="0" xfId="0" applyNumberFormat="1" applyFont="1" applyFill="1"/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9" fillId="0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167" fontId="8" fillId="0" borderId="2" xfId="5" applyNumberFormat="1" applyFont="1" applyFill="1" applyBorder="1" applyAlignment="1" applyProtection="1">
      <alignment horizontal="center" vertical="center"/>
    </xf>
    <xf numFmtId="0" fontId="18" fillId="3" borderId="0" xfId="7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3" fontId="9" fillId="0" borderId="2" xfId="1" applyNumberFormat="1" applyFont="1" applyFill="1" applyBorder="1" applyAlignment="1">
      <alignment horizontal="center" vertical="center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0" borderId="2" xfId="7" applyNumberFormat="1" applyFont="1" applyFill="1" applyBorder="1" applyAlignment="1" applyProtection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165" fontId="13" fillId="0" borderId="2" xfId="3" applyNumberFormat="1" applyFont="1" applyFill="1" applyBorder="1" applyAlignment="1" applyProtection="1">
      <alignment horizontal="center" vertical="center" wrapText="1"/>
    </xf>
    <xf numFmtId="165" fontId="13" fillId="0" borderId="6" xfId="3" applyNumberFormat="1" applyFont="1" applyFill="1" applyBorder="1" applyAlignment="1" applyProtection="1">
      <alignment horizontal="center" vertical="center" wrapText="1"/>
    </xf>
    <xf numFmtId="165" fontId="13" fillId="0" borderId="0" xfId="3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9" fillId="6" borderId="2" xfId="3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8" fillId="6" borderId="2" xfId="4" applyNumberFormat="1" applyFont="1" applyFill="1" applyBorder="1" applyAlignment="1">
      <alignment horizontal="right" vertical="center" wrapText="1"/>
    </xf>
    <xf numFmtId="0" fontId="9" fillId="6" borderId="2" xfId="4" applyNumberFormat="1" applyFont="1" applyFill="1" applyBorder="1" applyAlignment="1">
      <alignment horizontal="left" vertical="top" wrapText="1" indent="1"/>
    </xf>
    <xf numFmtId="49" fontId="8" fillId="5" borderId="2" xfId="4" applyNumberFormat="1" applyFont="1" applyFill="1" applyBorder="1" applyAlignment="1" applyProtection="1">
      <alignment horizontal="center" vertical="top"/>
    </xf>
    <xf numFmtId="167" fontId="8" fillId="5" borderId="2" xfId="4" applyNumberFormat="1" applyFont="1" applyFill="1" applyBorder="1" applyAlignment="1" applyProtection="1">
      <alignment horizontal="center" vertical="center"/>
    </xf>
    <xf numFmtId="3" fontId="9" fillId="5" borderId="2" xfId="1" applyNumberFormat="1" applyFont="1" applyFill="1" applyBorder="1" applyAlignment="1">
      <alignment horizontal="center" vertical="center"/>
    </xf>
    <xf numFmtId="167" fontId="8" fillId="5" borderId="2" xfId="4" applyNumberFormat="1" applyFont="1" applyFill="1" applyBorder="1" applyAlignment="1">
      <alignment horizontal="right" vertical="center" wrapText="1"/>
    </xf>
    <xf numFmtId="165" fontId="23" fillId="5" borderId="0" xfId="4" applyNumberFormat="1" applyFont="1" applyFill="1" applyBorder="1" applyAlignment="1" applyProtection="1">
      <alignment horizontal="right" vertical="center"/>
    </xf>
    <xf numFmtId="167" fontId="25" fillId="5" borderId="2" xfId="0" applyNumberFormat="1" applyFont="1" applyFill="1" applyBorder="1"/>
    <xf numFmtId="165" fontId="1" fillId="5" borderId="0" xfId="0" applyNumberFormat="1" applyFont="1" applyFill="1"/>
    <xf numFmtId="167" fontId="1" fillId="5" borderId="0" xfId="0" applyNumberFormat="1" applyFont="1" applyFill="1"/>
    <xf numFmtId="0" fontId="1" fillId="5" borderId="0" xfId="0" applyFont="1" applyFill="1"/>
    <xf numFmtId="0" fontId="23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center" vertical="center"/>
    </xf>
    <xf numFmtId="0" fontId="22" fillId="3" borderId="0" xfId="7" applyNumberFormat="1" applyFont="1" applyFill="1" applyBorder="1" applyAlignment="1" applyProtection="1">
      <alignment vertical="top"/>
    </xf>
    <xf numFmtId="0" fontId="22" fillId="3" borderId="0" xfId="7" applyNumberFormat="1" applyFont="1" applyFill="1" applyBorder="1" applyAlignment="1" applyProtection="1">
      <alignment horizontal="left" vertical="top" wrapText="1"/>
    </xf>
    <xf numFmtId="167" fontId="8" fillId="6" borderId="2" xfId="4" applyNumberFormat="1" applyFont="1" applyFill="1" applyBorder="1" applyAlignment="1" applyProtection="1">
      <alignment horizontal="right" vertical="center"/>
    </xf>
    <xf numFmtId="0" fontId="16" fillId="6" borderId="2" xfId="4" applyNumberFormat="1" applyFont="1" applyFill="1" applyBorder="1" applyAlignment="1" applyProtection="1">
      <alignment vertical="top"/>
    </xf>
    <xf numFmtId="167" fontId="8" fillId="5" borderId="2" xfId="4" applyNumberFormat="1" applyFont="1" applyFill="1" applyBorder="1" applyAlignment="1" applyProtection="1">
      <alignment horizontal="right" vertical="center"/>
    </xf>
    <xf numFmtId="165" fontId="6" fillId="5" borderId="0" xfId="0" applyNumberFormat="1" applyFont="1" applyFill="1"/>
    <xf numFmtId="0" fontId="6" fillId="5" borderId="0" xfId="0" applyFont="1" applyFill="1"/>
    <xf numFmtId="167" fontId="6" fillId="5" borderId="0" xfId="0" applyNumberFormat="1" applyFont="1" applyFill="1"/>
    <xf numFmtId="49" fontId="13" fillId="6" borderId="2" xfId="2" applyNumberFormat="1" applyFont="1" applyFill="1" applyBorder="1" applyAlignment="1" applyProtection="1">
      <alignment horizontal="center" vertical="center" wrapText="1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5" fontId="8" fillId="6" borderId="2" xfId="5" applyNumberFormat="1" applyFont="1" applyFill="1" applyBorder="1" applyAlignment="1" applyProtection="1">
      <alignment horizontal="center" vertical="center"/>
    </xf>
    <xf numFmtId="0" fontId="16" fillId="6" borderId="2" xfId="5" applyNumberFormat="1" applyFont="1" applyFill="1" applyBorder="1" applyAlignment="1" applyProtection="1">
      <alignment vertical="top"/>
    </xf>
    <xf numFmtId="167" fontId="8" fillId="5" borderId="2" xfId="3" applyNumberFormat="1" applyFont="1" applyFill="1" applyBorder="1" applyAlignment="1" applyProtection="1">
      <alignment horizontal="center" vertical="center" wrapText="1"/>
    </xf>
    <xf numFmtId="167" fontId="8" fillId="5" borderId="2" xfId="5" applyNumberFormat="1" applyFont="1" applyFill="1" applyBorder="1" applyAlignment="1" applyProtection="1">
      <alignment horizontal="center" vertical="center"/>
    </xf>
    <xf numFmtId="167" fontId="9" fillId="5" borderId="2" xfId="5" applyNumberFormat="1" applyFont="1" applyFill="1" applyBorder="1" applyAlignment="1" applyProtection="1">
      <alignment horizontal="center" vertical="center"/>
    </xf>
    <xf numFmtId="0" fontId="9" fillId="5" borderId="0" xfId="5" applyNumberFormat="1" applyFont="1" applyFill="1" applyBorder="1" applyAlignment="1" applyProtection="1">
      <alignment vertical="top"/>
    </xf>
    <xf numFmtId="0" fontId="9" fillId="5" borderId="1" xfId="5" applyNumberFormat="1" applyFont="1" applyFill="1" applyBorder="1" applyAlignment="1" applyProtection="1">
      <alignment vertical="top"/>
    </xf>
    <xf numFmtId="0" fontId="5" fillId="5" borderId="0" xfId="5" applyNumberFormat="1" applyFont="1" applyFill="1" applyBorder="1" applyAlignment="1" applyProtection="1">
      <alignment horizontal="center" vertical="top" wrapText="1"/>
    </xf>
    <xf numFmtId="167" fontId="10" fillId="5" borderId="0" xfId="0" applyNumberFormat="1" applyFont="1" applyFill="1"/>
    <xf numFmtId="4" fontId="6" fillId="5" borderId="0" xfId="0" applyNumberFormat="1" applyFont="1" applyFill="1"/>
    <xf numFmtId="3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3" fontId="29" fillId="0" borderId="2" xfId="1" applyNumberFormat="1" applyFont="1" applyFill="1" applyBorder="1" applyAlignment="1">
      <alignment horizontal="center" vertical="center"/>
    </xf>
    <xf numFmtId="3" fontId="29" fillId="5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0" fontId="33" fillId="3" borderId="0" xfId="7" applyNumberFormat="1" applyFont="1" applyFill="1" applyBorder="1" applyAlignment="1" applyProtection="1">
      <alignment horizontal="center" vertical="center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8" fillId="0" borderId="0" xfId="5" applyNumberFormat="1" applyFont="1" applyFill="1" applyBorder="1" applyAlignment="1" applyProtection="1">
      <alignment horizontal="center" vertical="center"/>
    </xf>
    <xf numFmtId="167" fontId="16" fillId="0" borderId="0" xfId="5" applyNumberFormat="1" applyFont="1" applyFill="1" applyBorder="1" applyAlignment="1" applyProtection="1">
      <alignment vertical="top"/>
    </xf>
    <xf numFmtId="0" fontId="9" fillId="0" borderId="0" xfId="5" applyNumberFormat="1" applyFont="1" applyFill="1" applyBorder="1" applyAlignment="1" applyProtection="1">
      <alignment horizontal="center" vertical="top" wrapText="1"/>
    </xf>
    <xf numFmtId="165" fontId="9" fillId="0" borderId="0" xfId="5" applyNumberFormat="1" applyFont="1" applyFill="1" applyBorder="1" applyAlignment="1" applyProtection="1">
      <alignment horizontal="center" vertical="top"/>
    </xf>
    <xf numFmtId="167" fontId="9" fillId="0" borderId="0" xfId="5" applyNumberFormat="1" applyFont="1" applyFill="1" applyBorder="1" applyAlignment="1" applyProtection="1">
      <alignment horizontal="center" vertical="top"/>
    </xf>
    <xf numFmtId="0" fontId="18" fillId="3" borderId="0" xfId="7" applyNumberFormat="1" applyFont="1" applyFill="1" applyBorder="1" applyAlignment="1" applyProtection="1">
      <alignment horizontal="center" vertical="center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0" fontId="37" fillId="3" borderId="0" xfId="7" applyNumberFormat="1" applyFont="1" applyFill="1" applyBorder="1" applyAlignment="1" applyProtection="1">
      <alignment vertical="top"/>
    </xf>
    <xf numFmtId="0" fontId="36" fillId="3" borderId="0" xfId="7" applyNumberFormat="1" applyFont="1" applyFill="1" applyBorder="1" applyAlignment="1" applyProtection="1">
      <alignment vertical="top"/>
    </xf>
    <xf numFmtId="0" fontId="38" fillId="3" borderId="0" xfId="7" applyNumberFormat="1" applyFont="1" applyFill="1" applyBorder="1" applyAlignment="1" applyProtection="1">
      <alignment vertical="top"/>
    </xf>
    <xf numFmtId="49" fontId="37" fillId="0" borderId="2" xfId="4" applyNumberFormat="1" applyFont="1" applyFill="1" applyBorder="1" applyAlignment="1" applyProtection="1">
      <alignment horizontal="center" vertical="top"/>
    </xf>
    <xf numFmtId="49" fontId="37" fillId="6" borderId="2" xfId="4" applyNumberFormat="1" applyFont="1" applyFill="1" applyBorder="1" applyAlignment="1" applyProtection="1">
      <alignment horizontal="center" vertical="center" wrapText="1"/>
    </xf>
    <xf numFmtId="0" fontId="37" fillId="6" borderId="2" xfId="7" applyNumberFormat="1" applyFont="1" applyFill="1" applyBorder="1" applyAlignment="1" applyProtection="1">
      <alignment horizontal="center" vertical="center" wrapText="1"/>
    </xf>
    <xf numFmtId="2" fontId="37" fillId="0" borderId="2" xfId="1" applyNumberFormat="1" applyFont="1" applyFill="1" applyBorder="1" applyAlignment="1" applyProtection="1">
      <alignment horizontal="center" vertical="center" wrapText="1"/>
    </xf>
    <xf numFmtId="49" fontId="37" fillId="0" borderId="2" xfId="4" applyNumberFormat="1" applyFont="1" applyFill="1" applyBorder="1" applyAlignment="1" applyProtection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49" fontId="37" fillId="6" borderId="2" xfId="2" applyNumberFormat="1" applyFont="1" applyFill="1" applyBorder="1" applyAlignment="1" applyProtection="1">
      <alignment horizontal="center" vertical="center" wrapText="1"/>
    </xf>
    <xf numFmtId="49" fontId="37" fillId="0" borderId="2" xfId="2" applyNumberFormat="1" applyFont="1" applyFill="1" applyBorder="1" applyAlignment="1" applyProtection="1">
      <alignment horizontal="center" vertical="center" wrapText="1"/>
    </xf>
    <xf numFmtId="0" fontId="37" fillId="6" borderId="2" xfId="1" applyFont="1" applyFill="1" applyBorder="1" applyAlignment="1">
      <alignment horizontal="center" vertical="center"/>
    </xf>
    <xf numFmtId="0" fontId="37" fillId="6" borderId="2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right" vertical="center"/>
    </xf>
    <xf numFmtId="0" fontId="40" fillId="0" borderId="0" xfId="0" applyFont="1"/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167" fontId="8" fillId="0" borderId="2" xfId="4" applyNumberFormat="1" applyFont="1" applyFill="1" applyBorder="1" applyAlignment="1" applyProtection="1">
      <alignment horizontal="center" vertical="center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1" applyNumberFormat="1" applyFont="1" applyFill="1" applyBorder="1" applyAlignment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167" fontId="8" fillId="6" borderId="2" xfId="5" applyNumberFormat="1" applyFont="1" applyFill="1" applyBorder="1" applyAlignment="1" applyProtection="1">
      <alignment horizontal="center" vertical="center"/>
    </xf>
    <xf numFmtId="3" fontId="30" fillId="3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67" fontId="9" fillId="0" borderId="2" xfId="1" applyNumberFormat="1" applyFont="1" applyFill="1" applyBorder="1" applyAlignment="1">
      <alignment horizontal="center" vertical="center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7" fontId="41" fillId="0" borderId="0" xfId="5" applyNumberFormat="1" applyFont="1" applyFill="1" applyBorder="1" applyAlignment="1" applyProtection="1">
      <alignment vertical="top"/>
    </xf>
    <xf numFmtId="4" fontId="9" fillId="0" borderId="2" xfId="1" applyNumberFormat="1" applyFont="1" applyFill="1" applyBorder="1" applyAlignment="1">
      <alignment horizontal="center" vertical="center"/>
    </xf>
    <xf numFmtId="2" fontId="9" fillId="5" borderId="2" xfId="1" applyNumberFormat="1" applyFont="1" applyFill="1" applyBorder="1" applyAlignment="1">
      <alignment horizontal="center" vertical="center"/>
    </xf>
    <xf numFmtId="167" fontId="28" fillId="0" borderId="2" xfId="4" applyNumberFormat="1" applyFont="1" applyFill="1" applyBorder="1" applyAlignment="1" applyProtection="1">
      <alignment horizontal="center" vertical="center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>
      <alignment horizontal="center" vertical="center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4" applyNumberFormat="1" applyFont="1" applyFill="1" applyBorder="1" applyAlignment="1" applyProtection="1">
      <alignment horizontal="center" vertical="center"/>
    </xf>
    <xf numFmtId="167" fontId="21" fillId="0" borderId="0" xfId="0" applyNumberFormat="1" applyFont="1"/>
    <xf numFmtId="167" fontId="43" fillId="0" borderId="0" xfId="4" applyNumberFormat="1" applyFont="1" applyFill="1" applyBorder="1" applyAlignment="1" applyProtection="1">
      <alignment vertical="top"/>
    </xf>
    <xf numFmtId="0" fontId="37" fillId="7" borderId="2" xfId="1" applyFont="1" applyFill="1" applyBorder="1" applyAlignment="1">
      <alignment horizontal="center" vertical="center" wrapText="1"/>
    </xf>
    <xf numFmtId="0" fontId="6" fillId="7" borderId="0" xfId="0" applyFont="1" applyFill="1"/>
    <xf numFmtId="167" fontId="9" fillId="7" borderId="2" xfId="1" applyNumberFormat="1" applyFont="1" applyFill="1" applyBorder="1" applyAlignment="1" applyProtection="1">
      <alignment horizontal="center" vertical="center" wrapText="1"/>
    </xf>
    <xf numFmtId="49" fontId="9" fillId="7" borderId="2" xfId="1" applyNumberFormat="1" applyFont="1" applyFill="1" applyBorder="1" applyAlignment="1" applyProtection="1">
      <alignment horizontal="center" vertical="center" wrapText="1"/>
    </xf>
    <xf numFmtId="4" fontId="6" fillId="7" borderId="0" xfId="0" applyNumberFormat="1" applyFont="1" applyFill="1"/>
    <xf numFmtId="167" fontId="29" fillId="7" borderId="2" xfId="1" applyNumberFormat="1" applyFont="1" applyFill="1" applyBorder="1" applyAlignment="1" applyProtection="1">
      <alignment horizontal="center" vertical="center" wrapText="1"/>
    </xf>
    <xf numFmtId="3" fontId="9" fillId="7" borderId="2" xfId="1" applyNumberFormat="1" applyFont="1" applyFill="1" applyBorder="1" applyAlignment="1">
      <alignment horizontal="center" vertical="center"/>
    </xf>
    <xf numFmtId="3" fontId="29" fillId="7" borderId="2" xfId="1" applyNumberFormat="1" applyFont="1" applyFill="1" applyBorder="1" applyAlignment="1">
      <alignment horizontal="center" vertical="center"/>
    </xf>
    <xf numFmtId="167" fontId="8" fillId="7" borderId="2" xfId="4" applyNumberFormat="1" applyFont="1" applyFill="1" applyBorder="1" applyAlignment="1" applyProtection="1">
      <alignment horizontal="center" vertical="center"/>
    </xf>
    <xf numFmtId="167" fontId="6" fillId="7" borderId="0" xfId="0" applyNumberFormat="1" applyFont="1" applyFill="1"/>
    <xf numFmtId="49" fontId="37" fillId="7" borderId="2" xfId="2" applyNumberFormat="1" applyFont="1" applyFill="1" applyBorder="1" applyAlignment="1" applyProtection="1">
      <alignment horizontal="center" vertical="center" wrapText="1"/>
    </xf>
    <xf numFmtId="167" fontId="8" fillId="7" borderId="2" xfId="5" applyNumberFormat="1" applyFont="1" applyFill="1" applyBorder="1" applyAlignment="1" applyProtection="1">
      <alignment horizontal="center" vertical="center"/>
    </xf>
    <xf numFmtId="167" fontId="9" fillId="7" borderId="2" xfId="5" applyNumberFormat="1" applyFont="1" applyFill="1" applyBorder="1" applyAlignment="1" applyProtection="1">
      <alignment horizontal="center" vertical="center"/>
    </xf>
    <xf numFmtId="167" fontId="9" fillId="7" borderId="2" xfId="3" applyNumberFormat="1" applyFont="1" applyFill="1" applyBorder="1" applyAlignment="1" applyProtection="1">
      <alignment horizontal="center" vertical="center" wrapText="1"/>
    </xf>
    <xf numFmtId="167" fontId="8" fillId="7" borderId="2" xfId="3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8" fillId="0" borderId="2" xfId="3" applyNumberFormat="1" applyFont="1" applyFill="1" applyBorder="1" applyAlignment="1" applyProtection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/>
    </xf>
    <xf numFmtId="167" fontId="28" fillId="6" borderId="2" xfId="1" applyNumberFormat="1" applyFont="1" applyFill="1" applyBorder="1" applyAlignment="1">
      <alignment horizontal="center" vertical="center"/>
    </xf>
    <xf numFmtId="167" fontId="29" fillId="0" borderId="2" xfId="1" applyNumberFormat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 applyProtection="1">
      <alignment horizontal="center" vertical="center"/>
    </xf>
    <xf numFmtId="167" fontId="29" fillId="0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2" fontId="39" fillId="0" borderId="2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/>
    <xf numFmtId="4" fontId="1" fillId="0" borderId="0" xfId="0" applyNumberFormat="1" applyFont="1" applyFill="1"/>
    <xf numFmtId="49" fontId="39" fillId="0" borderId="2" xfId="4" applyNumberFormat="1" applyFont="1" applyFill="1" applyBorder="1" applyAlignment="1" applyProtection="1">
      <alignment horizontal="center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39" fillId="0" borderId="2" xfId="7" applyNumberFormat="1" applyFont="1" applyFill="1" applyBorder="1" applyAlignment="1" applyProtection="1">
      <alignment horizontal="center" vertical="center" wrapText="1"/>
    </xf>
    <xf numFmtId="167" fontId="1" fillId="0" borderId="0" xfId="0" applyNumberFormat="1" applyFont="1" applyFill="1"/>
    <xf numFmtId="17" fontId="1" fillId="0" borderId="0" xfId="0" applyNumberFormat="1" applyFont="1" applyFill="1"/>
    <xf numFmtId="167" fontId="29" fillId="0" borderId="2" xfId="7" applyNumberFormat="1" applyFont="1" applyFill="1" applyBorder="1" applyAlignment="1" applyProtection="1">
      <alignment horizontal="center" vertical="center" wrapText="1"/>
    </xf>
    <xf numFmtId="167" fontId="28" fillId="5" borderId="2" xfId="4" applyNumberFormat="1" applyFont="1" applyFill="1" applyBorder="1" applyAlignment="1" applyProtection="1">
      <alignment horizontal="center" vertical="center"/>
    </xf>
    <xf numFmtId="0" fontId="39" fillId="6" borderId="2" xfId="1" applyFont="1" applyFill="1" applyBorder="1" applyAlignment="1">
      <alignment horizontal="center" vertical="center"/>
    </xf>
    <xf numFmtId="0" fontId="39" fillId="6" borderId="2" xfId="1" applyFont="1" applyFill="1" applyBorder="1" applyAlignment="1">
      <alignment horizontal="center" vertical="center" wrapText="1"/>
    </xf>
    <xf numFmtId="167" fontId="44" fillId="0" borderId="2" xfId="1" applyNumberFormat="1" applyFont="1" applyFill="1" applyBorder="1" applyAlignment="1">
      <alignment horizontal="center" vertical="center" wrapText="1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167" fontId="28" fillId="5" borderId="2" xfId="1" applyNumberFormat="1" applyFont="1" applyFill="1" applyBorder="1" applyAlignment="1">
      <alignment horizontal="center" vertical="center"/>
    </xf>
    <xf numFmtId="167" fontId="48" fillId="0" borderId="2" xfId="1" applyNumberFormat="1" applyFont="1" applyFill="1" applyBorder="1" applyAlignment="1" applyProtection="1">
      <alignment horizontal="center" vertical="center" wrapText="1"/>
    </xf>
    <xf numFmtId="49" fontId="48" fillId="0" borderId="2" xfId="1" applyNumberFormat="1" applyFont="1" applyFill="1" applyBorder="1" applyAlignment="1" applyProtection="1">
      <alignment horizontal="center" vertical="center" wrapText="1"/>
    </xf>
    <xf numFmtId="4" fontId="50" fillId="3" borderId="0" xfId="0" applyNumberFormat="1" applyFont="1" applyFill="1"/>
    <xf numFmtId="0" fontId="50" fillId="3" borderId="0" xfId="0" applyFont="1" applyFill="1"/>
    <xf numFmtId="3" fontId="48" fillId="5" borderId="2" xfId="1" applyNumberFormat="1" applyFont="1" applyFill="1" applyBorder="1" applyAlignment="1">
      <alignment horizontal="center" vertical="center"/>
    </xf>
    <xf numFmtId="3" fontId="48" fillId="0" borderId="2" xfId="1" applyNumberFormat="1" applyFont="1" applyFill="1" applyBorder="1" applyAlignment="1">
      <alignment horizontal="center" vertical="center"/>
    </xf>
    <xf numFmtId="0" fontId="51" fillId="6" borderId="2" xfId="7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/>
    </xf>
    <xf numFmtId="167" fontId="47" fillId="0" borderId="2" xfId="4" applyNumberFormat="1" applyFont="1" applyFill="1" applyBorder="1" applyAlignment="1" applyProtection="1">
      <alignment horizontal="center" vertical="center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167" fontId="44" fillId="0" borderId="2" xfId="1" applyNumberFormat="1" applyFont="1" applyFill="1" applyBorder="1" applyAlignment="1" applyProtection="1">
      <alignment horizontal="center" vertical="center" wrapText="1"/>
    </xf>
    <xf numFmtId="167" fontId="9" fillId="0" borderId="0" xfId="5" applyNumberFormat="1" applyFont="1" applyFill="1" applyBorder="1" applyAlignment="1" applyProtection="1">
      <alignment horizontal="left" vertical="top"/>
    </xf>
    <xf numFmtId="0" fontId="8" fillId="0" borderId="9" xfId="4" applyNumberFormat="1" applyFont="1" applyFill="1" applyBorder="1" applyAlignment="1" applyProtection="1">
      <alignment horizontal="center" vertical="center" wrapText="1"/>
    </xf>
    <xf numFmtId="0" fontId="8" fillId="0" borderId="10" xfId="4" applyNumberFormat="1" applyFont="1" applyFill="1" applyBorder="1" applyAlignment="1" applyProtection="1">
      <alignment horizontal="center" vertical="center" wrapText="1"/>
    </xf>
    <xf numFmtId="0" fontId="8" fillId="0" borderId="11" xfId="4" applyNumberFormat="1" applyFont="1" applyFill="1" applyBorder="1" applyAlignment="1" applyProtection="1">
      <alignment horizontal="center" vertical="center" wrapText="1"/>
    </xf>
    <xf numFmtId="0" fontId="8" fillId="0" borderId="12" xfId="4" applyNumberFormat="1" applyFont="1" applyFill="1" applyBorder="1" applyAlignment="1" applyProtection="1">
      <alignment horizontal="center" vertic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</xf>
    <xf numFmtId="0" fontId="8" fillId="0" borderId="13" xfId="4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/>
    </xf>
    <xf numFmtId="167" fontId="29" fillId="0" borderId="2" xfId="1" applyNumberFormat="1" applyFont="1" applyFill="1" applyBorder="1" applyAlignment="1">
      <alignment horizontal="center" vertical="center"/>
    </xf>
    <xf numFmtId="167" fontId="28" fillId="0" borderId="2" xfId="1" applyNumberFormat="1" applyFont="1" applyFill="1" applyBorder="1" applyAlignment="1" applyProtection="1">
      <alignment horizontal="center" vertical="center" wrapText="1"/>
    </xf>
    <xf numFmtId="167" fontId="29" fillId="0" borderId="2" xfId="1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>
      <alignment horizontal="center" vertical="center" wrapText="1"/>
    </xf>
    <xf numFmtId="49" fontId="8" fillId="6" borderId="2" xfId="5" applyNumberFormat="1" applyFont="1" applyFill="1" applyBorder="1" applyAlignment="1" applyProtection="1">
      <alignment horizontal="center" vertical="top"/>
    </xf>
    <xf numFmtId="49" fontId="28" fillId="0" borderId="2" xfId="7" applyNumberFormat="1" applyFont="1" applyFill="1" applyBorder="1" applyAlignment="1" applyProtection="1">
      <alignment horizontal="center" vertical="top" wrapText="1"/>
    </xf>
    <xf numFmtId="49" fontId="8" fillId="6" borderId="2" xfId="4" applyNumberFormat="1" applyFont="1" applyFill="1" applyBorder="1" applyAlignment="1" applyProtection="1">
      <alignment horizontal="center" vertical="top"/>
    </xf>
    <xf numFmtId="2" fontId="29" fillId="0" borderId="2" xfId="1" applyNumberFormat="1" applyFont="1" applyFill="1" applyBorder="1" applyAlignment="1" applyProtection="1">
      <alignment horizontal="center" vertical="center" wrapText="1"/>
    </xf>
    <xf numFmtId="49" fontId="28" fillId="0" borderId="2" xfId="4" applyNumberFormat="1" applyFont="1" applyFill="1" applyBorder="1" applyAlignment="1" applyProtection="1">
      <alignment horizontal="center" vertical="top"/>
    </xf>
    <xf numFmtId="0" fontId="28" fillId="0" borderId="2" xfId="4" applyNumberFormat="1" applyFont="1" applyFill="1" applyBorder="1" applyAlignment="1" applyProtection="1">
      <alignment vertical="top" wrapText="1"/>
    </xf>
    <xf numFmtId="49" fontId="28" fillId="0" borderId="2" xfId="4" applyNumberFormat="1" applyFont="1" applyFill="1" applyBorder="1" applyAlignment="1" applyProtection="1">
      <alignment horizontal="center" vertical="center" wrapText="1"/>
    </xf>
    <xf numFmtId="0" fontId="28" fillId="0" borderId="2" xfId="7" applyNumberFormat="1" applyFont="1" applyFill="1" applyBorder="1" applyAlignment="1" applyProtection="1">
      <alignment horizontal="left" vertical="top" wrapText="1"/>
    </xf>
    <xf numFmtId="0" fontId="29" fillId="0" borderId="2" xfId="1" applyNumberFormat="1" applyFont="1" applyFill="1" applyBorder="1" applyAlignment="1" applyProtection="1">
      <alignment horizontal="left" vertical="top" wrapText="1"/>
    </xf>
    <xf numFmtId="167" fontId="29" fillId="6" borderId="2" xfId="4" applyNumberFormat="1" applyFont="1" applyFill="1" applyBorder="1" applyAlignment="1" applyProtection="1">
      <alignment horizontal="center" vertical="center"/>
    </xf>
    <xf numFmtId="167" fontId="28" fillId="6" borderId="2" xfId="4" applyNumberFormat="1" applyFont="1" applyFill="1" applyBorder="1" applyAlignment="1" applyProtection="1">
      <alignment horizontal="center" vertical="center"/>
    </xf>
    <xf numFmtId="167" fontId="28" fillId="6" borderId="2" xfId="5" applyNumberFormat="1" applyFont="1" applyFill="1" applyBorder="1" applyAlignment="1" applyProtection="1">
      <alignment horizontal="center" vertical="center"/>
    </xf>
    <xf numFmtId="167" fontId="28" fillId="7" borderId="2" xfId="3" applyNumberFormat="1" applyFont="1" applyFill="1" applyBorder="1" applyAlignment="1" applyProtection="1">
      <alignment horizontal="center" vertical="center" wrapText="1"/>
    </xf>
    <xf numFmtId="49" fontId="29" fillId="0" borderId="2" xfId="1" applyNumberFormat="1" applyFont="1" applyFill="1" applyBorder="1" applyAlignment="1" applyProtection="1">
      <alignment horizontal="center" vertical="center" wrapText="1"/>
    </xf>
    <xf numFmtId="167" fontId="9" fillId="5" borderId="2" xfId="1" applyNumberFormat="1" applyFont="1" applyFill="1" applyBorder="1" applyAlignment="1">
      <alignment horizontal="center" vertical="center"/>
    </xf>
    <xf numFmtId="167" fontId="29" fillId="7" borderId="2" xfId="5" applyNumberFormat="1" applyFont="1" applyFill="1" applyBorder="1" applyAlignment="1" applyProtection="1">
      <alignment horizontal="center" vertical="center"/>
    </xf>
    <xf numFmtId="167" fontId="29" fillId="7" borderId="2" xfId="3" applyNumberFormat="1" applyFont="1" applyFill="1" applyBorder="1" applyAlignment="1" applyProtection="1">
      <alignment horizontal="center" vertical="center" wrapText="1"/>
    </xf>
    <xf numFmtId="167" fontId="28" fillId="0" borderId="2" xfId="3" applyNumberFormat="1" applyFont="1" applyFill="1" applyBorder="1" applyAlignment="1" applyProtection="1">
      <alignment horizontal="center" vertical="center" wrapText="1"/>
    </xf>
    <xf numFmtId="2" fontId="38" fillId="0" borderId="2" xfId="1" applyNumberFormat="1" applyFont="1" applyFill="1" applyBorder="1" applyAlignment="1" applyProtection="1">
      <alignment horizontal="center" vertical="center" wrapText="1"/>
    </xf>
    <xf numFmtId="167" fontId="29" fillId="5" borderId="2" xfId="1" applyNumberFormat="1" applyFont="1" applyFill="1" applyBorder="1" applyAlignment="1">
      <alignment horizontal="center" vertical="center"/>
    </xf>
    <xf numFmtId="49" fontId="28" fillId="0" borderId="2" xfId="7" applyNumberFormat="1" applyFont="1" applyFill="1" applyBorder="1" applyAlignment="1" applyProtection="1">
      <alignment horizontal="center" vertical="center" wrapText="1"/>
    </xf>
    <xf numFmtId="49" fontId="28" fillId="0" borderId="7" xfId="4" applyNumberFormat="1" applyFont="1" applyFill="1" applyBorder="1" applyAlignment="1" applyProtection="1">
      <alignment horizontal="center" vertical="top"/>
    </xf>
    <xf numFmtId="49" fontId="28" fillId="0" borderId="8" xfId="4" applyNumberFormat="1" applyFont="1" applyFill="1" applyBorder="1" applyAlignment="1" applyProtection="1">
      <alignment horizontal="center" vertical="top"/>
    </xf>
    <xf numFmtId="49" fontId="28" fillId="0" borderId="6" xfId="4" applyNumberFormat="1" applyFont="1" applyFill="1" applyBorder="1" applyAlignment="1" applyProtection="1">
      <alignment horizontal="center" vertical="top"/>
    </xf>
    <xf numFmtId="0" fontId="28" fillId="0" borderId="2" xfId="1" applyFont="1" applyFill="1" applyBorder="1" applyAlignment="1">
      <alignment horizontal="left" vertical="top" wrapText="1"/>
    </xf>
    <xf numFmtId="49" fontId="8" fillId="6" borderId="2" xfId="4" applyNumberFormat="1" applyFont="1" applyFill="1" applyBorder="1" applyAlignment="1" applyProtection="1">
      <alignment horizontal="center" vertical="center" wrapText="1"/>
    </xf>
    <xf numFmtId="49" fontId="28" fillId="0" borderId="2" xfId="4" applyNumberFormat="1" applyFont="1" applyFill="1" applyBorder="1" applyAlignment="1" applyProtection="1">
      <alignment horizontal="left" vertical="top" wrapText="1"/>
    </xf>
    <xf numFmtId="167" fontId="47" fillId="0" borderId="2" xfId="4" applyNumberFormat="1" applyFont="1" applyFill="1" applyBorder="1" applyAlignment="1" applyProtection="1">
      <alignment horizontal="center" vertical="center"/>
    </xf>
    <xf numFmtId="0" fontId="28" fillId="0" borderId="2" xfId="4" applyNumberFormat="1" applyFont="1" applyFill="1" applyBorder="1" applyAlignment="1" applyProtection="1">
      <alignment horizontal="left" vertical="top" wrapText="1"/>
    </xf>
    <xf numFmtId="167" fontId="28" fillId="0" borderId="2" xfId="7" applyNumberFormat="1" applyFont="1" applyFill="1" applyBorder="1" applyAlignment="1" applyProtection="1">
      <alignment horizontal="center" vertical="center" wrapText="1"/>
    </xf>
    <xf numFmtId="167" fontId="29" fillId="0" borderId="2" xfId="7" applyNumberFormat="1" applyFont="1" applyFill="1" applyBorder="1" applyAlignment="1" applyProtection="1">
      <alignment horizontal="center" vertical="center" wrapText="1"/>
    </xf>
    <xf numFmtId="167" fontId="47" fillId="0" borderId="2" xfId="7" applyNumberFormat="1" applyFont="1" applyFill="1" applyBorder="1" applyAlignment="1" applyProtection="1">
      <alignment horizontal="center" vertical="center" wrapText="1"/>
    </xf>
    <xf numFmtId="49" fontId="28" fillId="0" borderId="2" xfId="7" applyNumberFormat="1" applyFont="1" applyFill="1" applyBorder="1" applyAlignment="1" applyProtection="1">
      <alignment horizontal="center" vertical="top"/>
    </xf>
    <xf numFmtId="0" fontId="45" fillId="0" borderId="2" xfId="1" applyNumberFormat="1" applyFont="1" applyFill="1" applyBorder="1" applyAlignment="1" applyProtection="1">
      <alignment horizontal="left" vertical="top" wrapText="1"/>
    </xf>
    <xf numFmtId="167" fontId="29" fillId="0" borderId="2" xfId="4" applyNumberFormat="1" applyFont="1" applyFill="1" applyBorder="1" applyAlignment="1" applyProtection="1">
      <alignment horizontal="center" vertical="center"/>
    </xf>
    <xf numFmtId="167" fontId="29" fillId="6" borderId="2" xfId="3" applyNumberFormat="1" applyFont="1" applyFill="1" applyBorder="1" applyAlignment="1" applyProtection="1">
      <alignment horizontal="center" vertical="center" wrapText="1"/>
    </xf>
    <xf numFmtId="2" fontId="36" fillId="7" borderId="2" xfId="1" applyNumberFormat="1" applyFont="1" applyFill="1" applyBorder="1" applyAlignment="1" applyProtection="1">
      <alignment horizontal="center" vertical="center" wrapText="1"/>
    </xf>
    <xf numFmtId="167" fontId="29" fillId="6" borderId="2" xfId="5" applyNumberFormat="1" applyFont="1" applyFill="1" applyBorder="1" applyAlignment="1" applyProtection="1">
      <alignment horizontal="center" vertical="center"/>
    </xf>
    <xf numFmtId="2" fontId="36" fillId="0" borderId="2" xfId="1" applyNumberFormat="1" applyFont="1" applyFill="1" applyBorder="1" applyAlignment="1" applyProtection="1">
      <alignment horizontal="center" vertical="center" wrapText="1"/>
    </xf>
    <xf numFmtId="167" fontId="9" fillId="7" borderId="2" xfId="1" applyNumberFormat="1" applyFont="1" applyFill="1" applyBorder="1" applyAlignment="1">
      <alignment horizontal="center" vertical="center"/>
    </xf>
    <xf numFmtId="49" fontId="29" fillId="7" borderId="2" xfId="1" applyNumberFormat="1" applyFont="1" applyFill="1" applyBorder="1" applyAlignment="1" applyProtection="1">
      <alignment horizontal="center" vertical="center" wrapText="1"/>
    </xf>
    <xf numFmtId="167" fontId="29" fillId="7" borderId="2" xfId="1" applyNumberFormat="1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right"/>
    </xf>
    <xf numFmtId="0" fontId="25" fillId="0" borderId="4" xfId="0" applyFont="1" applyBorder="1" applyAlignment="1">
      <alignment horizontal="right"/>
    </xf>
    <xf numFmtId="0" fontId="8" fillId="0" borderId="2" xfId="4" applyNumberFormat="1" applyFont="1" applyFill="1" applyBorder="1" applyAlignment="1" applyProtection="1">
      <alignment horizontal="right" vertical="center"/>
    </xf>
    <xf numFmtId="0" fontId="24" fillId="0" borderId="3" xfId="0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9" fillId="0" borderId="2" xfId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right" vertical="center"/>
    </xf>
    <xf numFmtId="0" fontId="24" fillId="0" borderId="5" xfId="0" applyFont="1" applyBorder="1" applyAlignment="1">
      <alignment horizontal="right"/>
    </xf>
    <xf numFmtId="49" fontId="8" fillId="0" borderId="2" xfId="1" applyNumberFormat="1" applyFont="1" applyFill="1" applyBorder="1" applyAlignment="1" applyProtection="1">
      <alignment horizontal="center" vertical="top" wrapText="1"/>
    </xf>
    <xf numFmtId="49" fontId="8" fillId="0" borderId="2" xfId="4" applyNumberFormat="1" applyFont="1" applyFill="1" applyBorder="1" applyAlignment="1" applyProtection="1">
      <alignment horizontal="center" vertical="top"/>
    </xf>
    <xf numFmtId="49" fontId="8" fillId="0" borderId="2" xfId="4" applyNumberFormat="1" applyFont="1" applyFill="1" applyBorder="1" applyAlignment="1" applyProtection="1">
      <alignment horizontal="left" vertical="top" wrapText="1"/>
    </xf>
    <xf numFmtId="2" fontId="9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3" applyNumberFormat="1" applyFont="1" applyFill="1" applyBorder="1" applyAlignment="1" applyProtection="1">
      <alignment horizontal="center" vertical="center" wrapText="1"/>
    </xf>
    <xf numFmtId="2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4" applyNumberFormat="1" applyFont="1" applyFill="1" applyBorder="1" applyAlignment="1" applyProtection="1">
      <alignment horizontal="left" vertical="top" wrapText="1"/>
    </xf>
    <xf numFmtId="0" fontId="9" fillId="0" borderId="2" xfId="1" applyNumberFormat="1" applyFont="1" applyFill="1" applyBorder="1" applyAlignment="1" applyProtection="1">
      <alignment horizontal="left" vertical="top" wrapText="1"/>
    </xf>
    <xf numFmtId="49" fontId="8" fillId="0" borderId="2" xfId="4" applyNumberFormat="1" applyFont="1" applyFill="1" applyBorder="1" applyAlignment="1" applyProtection="1">
      <alignment horizontal="center" vertical="center" wrapText="1"/>
    </xf>
    <xf numFmtId="49" fontId="8" fillId="6" borderId="2" xfId="7" applyNumberFormat="1" applyFont="1" applyFill="1" applyBorder="1" applyAlignment="1" applyProtection="1">
      <alignment horizontal="center" vertical="top"/>
    </xf>
    <xf numFmtId="0" fontId="8" fillId="6" borderId="2" xfId="7" applyNumberFormat="1" applyFont="1" applyFill="1" applyBorder="1" applyAlignment="1" applyProtection="1">
      <alignment horizontal="center" vertical="center" wrapText="1"/>
    </xf>
    <xf numFmtId="49" fontId="8" fillId="0" borderId="7" xfId="4" applyNumberFormat="1" applyFont="1" applyFill="1" applyBorder="1" applyAlignment="1" applyProtection="1">
      <alignment horizontal="center" vertical="top"/>
    </xf>
    <xf numFmtId="49" fontId="8" fillId="0" borderId="8" xfId="4" applyNumberFormat="1" applyFont="1" applyFill="1" applyBorder="1" applyAlignment="1" applyProtection="1">
      <alignment horizontal="center" vertical="top"/>
    </xf>
    <xf numFmtId="49" fontId="8" fillId="0" borderId="6" xfId="4" applyNumberFormat="1" applyFont="1" applyFill="1" applyBorder="1" applyAlignment="1" applyProtection="1">
      <alignment horizontal="center" vertical="top"/>
    </xf>
    <xf numFmtId="0" fontId="8" fillId="0" borderId="2" xfId="1" applyNumberFormat="1" applyFont="1" applyFill="1" applyBorder="1" applyAlignment="1" applyProtection="1">
      <alignment horizontal="left" vertical="top" wrapText="1"/>
    </xf>
    <xf numFmtId="0" fontId="36" fillId="0" borderId="2" xfId="1" applyNumberFormat="1" applyFont="1" applyFill="1" applyBorder="1" applyAlignment="1" applyProtection="1">
      <alignment horizontal="left" vertical="top" wrapText="1"/>
    </xf>
    <xf numFmtId="2" fontId="9" fillId="7" borderId="2" xfId="1" applyNumberFormat="1" applyFont="1" applyFill="1" applyBorder="1" applyAlignment="1" applyProtection="1">
      <alignment horizontal="center" vertical="center" wrapText="1"/>
    </xf>
    <xf numFmtId="49" fontId="28" fillId="0" borderId="7" xfId="7" applyNumberFormat="1" applyFont="1" applyFill="1" applyBorder="1" applyAlignment="1" applyProtection="1">
      <alignment horizontal="center" vertical="top" wrapText="1"/>
    </xf>
    <xf numFmtId="49" fontId="28" fillId="0" borderId="8" xfId="7" applyNumberFormat="1" applyFont="1" applyFill="1" applyBorder="1" applyAlignment="1" applyProtection="1">
      <alignment horizontal="center" vertical="top" wrapText="1"/>
    </xf>
    <xf numFmtId="49" fontId="28" fillId="0" borderId="6" xfId="7" applyNumberFormat="1" applyFont="1" applyFill="1" applyBorder="1" applyAlignment="1" applyProtection="1">
      <alignment horizontal="center" vertical="top" wrapText="1"/>
    </xf>
    <xf numFmtId="49" fontId="8" fillId="0" borderId="7" xfId="3" applyNumberFormat="1" applyFont="1" applyFill="1" applyBorder="1" applyAlignment="1" applyProtection="1">
      <alignment horizontal="center" vertical="top" wrapText="1"/>
    </xf>
    <xf numFmtId="49" fontId="8" fillId="0" borderId="8" xfId="3" applyNumberFormat="1" applyFont="1" applyFill="1" applyBorder="1" applyAlignment="1" applyProtection="1">
      <alignment horizontal="center" vertical="top" wrapText="1"/>
    </xf>
    <xf numFmtId="49" fontId="8" fillId="0" borderId="6" xfId="3" applyNumberFormat="1" applyFont="1" applyFill="1" applyBorder="1" applyAlignment="1" applyProtection="1">
      <alignment horizontal="center" vertical="top" wrapText="1"/>
    </xf>
    <xf numFmtId="0" fontId="8" fillId="7" borderId="2" xfId="3" applyNumberFormat="1" applyFont="1" applyFill="1" applyBorder="1" applyAlignment="1" applyProtection="1">
      <alignment horizontal="left" vertical="top" wrapText="1"/>
    </xf>
    <xf numFmtId="0" fontId="9" fillId="7" borderId="2" xfId="1" applyNumberFormat="1" applyFont="1" applyFill="1" applyBorder="1" applyAlignment="1" applyProtection="1">
      <alignment horizontal="left" vertical="top" wrapText="1"/>
    </xf>
    <xf numFmtId="49" fontId="8" fillId="7" borderId="2" xfId="3" applyNumberFormat="1" applyFont="1" applyFill="1" applyBorder="1" applyAlignment="1" applyProtection="1">
      <alignment horizontal="center" vertical="top" wrapText="1"/>
    </xf>
    <xf numFmtId="0" fontId="48" fillId="0" borderId="2" xfId="1" applyNumberFormat="1" applyFont="1" applyFill="1" applyBorder="1" applyAlignment="1" applyProtection="1">
      <alignment horizontal="left" vertical="top" wrapText="1"/>
    </xf>
    <xf numFmtId="0" fontId="8" fillId="7" borderId="2" xfId="3" applyNumberFormat="1" applyFont="1" applyFill="1" applyBorder="1" applyAlignment="1" applyProtection="1">
      <alignment horizontal="center" vertical="center" wrapText="1"/>
    </xf>
    <xf numFmtId="49" fontId="8" fillId="0" borderId="2" xfId="3" applyNumberFormat="1" applyFont="1" applyFill="1" applyBorder="1" applyAlignment="1" applyProtection="1">
      <alignment horizontal="center" vertical="top" wrapText="1"/>
    </xf>
    <xf numFmtId="49" fontId="8" fillId="0" borderId="7" xfId="1" applyNumberFormat="1" applyFont="1" applyFill="1" applyBorder="1" applyAlignment="1" applyProtection="1">
      <alignment horizontal="center" vertical="top" wrapText="1"/>
    </xf>
    <xf numFmtId="49" fontId="8" fillId="0" borderId="8" xfId="1" applyNumberFormat="1" applyFont="1" applyFill="1" applyBorder="1" applyAlignment="1" applyProtection="1">
      <alignment horizontal="center" vertical="top" wrapText="1"/>
    </xf>
    <xf numFmtId="49" fontId="8" fillId="0" borderId="6" xfId="1" applyNumberFormat="1" applyFont="1" applyFill="1" applyBorder="1" applyAlignment="1" applyProtection="1">
      <alignment horizontal="center" vertical="top" wrapText="1"/>
    </xf>
    <xf numFmtId="49" fontId="8" fillId="7" borderId="2" xfId="5" applyNumberFormat="1" applyFont="1" applyFill="1" applyBorder="1" applyAlignment="1" applyProtection="1">
      <alignment horizontal="center" vertical="top"/>
    </xf>
    <xf numFmtId="0" fontId="28" fillId="0" borderId="2" xfId="3" applyNumberFormat="1" applyFont="1" applyFill="1" applyBorder="1" applyAlignment="1" applyProtection="1">
      <alignment horizontal="left" vertical="top" wrapText="1"/>
    </xf>
    <xf numFmtId="0" fontId="28" fillId="0" borderId="2" xfId="3" applyNumberFormat="1" applyFont="1" applyFill="1" applyBorder="1" applyAlignment="1" applyProtection="1">
      <alignment horizontal="center" vertical="center" wrapText="1"/>
    </xf>
    <xf numFmtId="0" fontId="38" fillId="0" borderId="2" xfId="1" applyNumberFormat="1" applyFont="1" applyFill="1" applyBorder="1" applyAlignment="1" applyProtection="1">
      <alignment horizontal="left" vertical="top" wrapText="1"/>
    </xf>
    <xf numFmtId="0" fontId="28" fillId="0" borderId="2" xfId="1" applyFont="1" applyFill="1" applyBorder="1" applyAlignment="1">
      <alignment horizontal="center" vertical="center" wrapText="1"/>
    </xf>
    <xf numFmtId="0" fontId="44" fillId="0" borderId="2" xfId="4" applyNumberFormat="1" applyFont="1" applyFill="1" applyBorder="1" applyAlignment="1" applyProtection="1">
      <alignment vertical="top" wrapText="1"/>
    </xf>
    <xf numFmtId="49" fontId="28" fillId="0" borderId="2" xfId="4" applyNumberFormat="1" applyFont="1" applyFill="1" applyBorder="1" applyAlignment="1" applyProtection="1">
      <alignment horizontal="center" vertical="top" wrapText="1"/>
    </xf>
    <xf numFmtId="0" fontId="39" fillId="0" borderId="2" xfId="4" applyNumberFormat="1" applyFont="1" applyFill="1" applyBorder="1" applyAlignment="1" applyProtection="1">
      <alignment vertical="top" wrapText="1"/>
    </xf>
    <xf numFmtId="49" fontId="29" fillId="0" borderId="2" xfId="4" applyNumberFormat="1" applyFont="1" applyFill="1" applyBorder="1" applyAlignment="1" applyProtection="1">
      <alignment horizontal="center" vertical="center" wrapText="1"/>
    </xf>
    <xf numFmtId="49" fontId="8" fillId="6" borderId="2" xfId="4" applyNumberFormat="1" applyFont="1" applyFill="1" applyBorder="1" applyAlignment="1" applyProtection="1">
      <alignment horizontal="center" vertical="top"/>
      <protection locked="0"/>
    </xf>
    <xf numFmtId="167" fontId="29" fillId="0" borderId="2" xfId="1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42" fillId="0" borderId="2" xfId="1" applyFont="1" applyFill="1" applyBorder="1" applyAlignment="1">
      <alignment horizontal="center" vertical="center" wrapText="1" shrinkToFit="1"/>
    </xf>
    <xf numFmtId="0" fontId="29" fillId="0" borderId="2" xfId="1" applyFont="1" applyFill="1" applyBorder="1" applyAlignment="1">
      <alignment horizontal="center" vertical="center" wrapText="1" shrinkToFit="1"/>
    </xf>
    <xf numFmtId="0" fontId="29" fillId="0" borderId="2" xfId="7" applyNumberFormat="1" applyFont="1" applyFill="1" applyBorder="1" applyAlignment="1" applyProtection="1">
      <alignment horizontal="center" vertical="center" wrapText="1"/>
    </xf>
    <xf numFmtId="0" fontId="8" fillId="0" borderId="2" xfId="11" applyNumberFormat="1" applyFont="1" applyFill="1" applyBorder="1" applyAlignment="1" applyProtection="1">
      <alignment horizontal="center" vertical="center" wrapText="1"/>
    </xf>
    <xf numFmtId="2" fontId="28" fillId="0" borderId="2" xfId="1" applyNumberFormat="1" applyFont="1" applyFill="1" applyBorder="1" applyAlignment="1" applyProtection="1">
      <alignment horizontal="center" vertical="center" wrapText="1"/>
    </xf>
    <xf numFmtId="0" fontId="29" fillId="0" borderId="2" xfId="1" applyFont="1" applyFill="1" applyBorder="1" applyAlignment="1">
      <alignment horizontal="left" vertical="top" wrapText="1"/>
    </xf>
    <xf numFmtId="0" fontId="39" fillId="0" borderId="2" xfId="1" applyNumberFormat="1" applyFont="1" applyFill="1" applyBorder="1" applyAlignment="1" applyProtection="1">
      <alignment horizontal="left" vertical="top" wrapText="1"/>
    </xf>
    <xf numFmtId="49" fontId="28" fillId="0" borderId="2" xfId="1" applyNumberFormat="1" applyFont="1" applyFill="1" applyBorder="1" applyAlignment="1" applyProtection="1">
      <alignment horizontal="center" vertical="top" wrapText="1"/>
    </xf>
    <xf numFmtId="0" fontId="18" fillId="3" borderId="0" xfId="7" applyNumberFormat="1" applyFont="1" applyFill="1" applyBorder="1" applyAlignment="1" applyProtection="1">
      <alignment horizontal="center" vertical="center"/>
    </xf>
    <xf numFmtId="0" fontId="28" fillId="0" borderId="2" xfId="1" applyNumberFormat="1" applyFont="1" applyFill="1" applyBorder="1" applyAlignment="1" applyProtection="1">
      <alignment horizontal="left" vertical="top" wrapText="1"/>
    </xf>
    <xf numFmtId="164" fontId="8" fillId="0" borderId="2" xfId="4" applyNumberFormat="1" applyFont="1" applyFill="1" applyBorder="1" applyAlignment="1" applyProtection="1">
      <alignment horizontal="center" vertical="center" wrapText="1"/>
    </xf>
    <xf numFmtId="0" fontId="9" fillId="3" borderId="0" xfId="7" applyNumberFormat="1" applyFont="1" applyFill="1" applyBorder="1" applyAlignment="1" applyProtection="1">
      <alignment horizontal="center" vertical="top" wrapText="1"/>
    </xf>
    <xf numFmtId="0" fontId="20" fillId="3" borderId="0" xfId="7" applyNumberFormat="1" applyFont="1" applyFill="1" applyBorder="1" applyAlignment="1" applyProtection="1">
      <alignment horizontal="center" vertical="top" wrapText="1"/>
    </xf>
    <xf numFmtId="167" fontId="29" fillId="6" borderId="3" xfId="4" applyNumberFormat="1" applyFont="1" applyFill="1" applyBorder="1" applyAlignment="1" applyProtection="1">
      <alignment horizontal="center" vertical="center"/>
    </xf>
    <xf numFmtId="167" fontId="29" fillId="6" borderId="4" xfId="4" applyNumberFormat="1" applyFont="1" applyFill="1" applyBorder="1" applyAlignment="1" applyProtection="1">
      <alignment horizontal="center" vertical="center"/>
    </xf>
    <xf numFmtId="167" fontId="29" fillId="6" borderId="5" xfId="4" applyNumberFormat="1" applyFont="1" applyFill="1" applyBorder="1" applyAlignment="1" applyProtection="1">
      <alignment horizontal="center" vertical="center"/>
    </xf>
    <xf numFmtId="0" fontId="28" fillId="0" borderId="2" xfId="7" applyNumberFormat="1" applyFont="1" applyFill="1" applyBorder="1" applyAlignment="1" applyProtection="1">
      <alignment horizontal="center" vertical="center" wrapText="1"/>
    </xf>
    <xf numFmtId="167" fontId="29" fillId="6" borderId="2" xfId="1" applyNumberFormat="1" applyFont="1" applyFill="1" applyBorder="1" applyAlignment="1">
      <alignment horizontal="center" vertical="center" wrapText="1"/>
    </xf>
    <xf numFmtId="49" fontId="8" fillId="0" borderId="2" xfId="4" applyNumberFormat="1" applyFont="1" applyFill="1" applyBorder="1" applyAlignment="1" applyProtection="1">
      <alignment horizontal="center" vertical="center"/>
    </xf>
    <xf numFmtId="0" fontId="8" fillId="5" borderId="2" xfId="11" applyNumberFormat="1" applyFont="1" applyFill="1" applyBorder="1" applyAlignment="1" applyProtection="1">
      <alignment horizontal="center" vertical="center" wrapText="1"/>
    </xf>
    <xf numFmtId="2" fontId="48" fillId="0" borderId="2" xfId="1" applyNumberFormat="1" applyFont="1" applyFill="1" applyBorder="1" applyAlignment="1" applyProtection="1">
      <alignment horizontal="center" vertical="center" wrapText="1"/>
    </xf>
    <xf numFmtId="49" fontId="48" fillId="0" borderId="2" xfId="1" applyNumberFormat="1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164" fontId="9" fillId="0" borderId="2" xfId="4" applyNumberFormat="1" applyFont="1" applyFill="1" applyBorder="1" applyAlignment="1" applyProtection="1">
      <alignment horizontal="center" vertical="center" wrapText="1"/>
    </xf>
    <xf numFmtId="167" fontId="28" fillId="0" borderId="2" xfId="4" applyNumberFormat="1" applyFont="1" applyFill="1" applyBorder="1" applyAlignment="1" applyProtection="1">
      <alignment horizontal="center" vertical="center" wrapText="1"/>
    </xf>
    <xf numFmtId="49" fontId="48" fillId="0" borderId="2" xfId="1" applyNumberFormat="1" applyFont="1" applyFill="1" applyBorder="1" applyAlignment="1" applyProtection="1">
      <alignment horizontal="center" vertical="center" wrapText="1"/>
    </xf>
    <xf numFmtId="167" fontId="48" fillId="0" borderId="2" xfId="1" applyNumberFormat="1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2" fontId="49" fillId="0" borderId="2" xfId="1" applyNumberFormat="1" applyFont="1" applyFill="1" applyBorder="1" applyAlignment="1" applyProtection="1">
      <alignment horizontal="center" vertical="center" wrapText="1"/>
    </xf>
    <xf numFmtId="167" fontId="48" fillId="5" borderId="2" xfId="1" applyNumberFormat="1" applyFont="1" applyFill="1" applyBorder="1" applyAlignment="1">
      <alignment horizontal="center" vertical="center"/>
    </xf>
    <xf numFmtId="167" fontId="29" fillId="6" borderId="2" xfId="1" applyNumberFormat="1" applyFont="1" applyFill="1" applyBorder="1" applyAlignment="1">
      <alignment horizontal="center" vertical="center"/>
    </xf>
    <xf numFmtId="49" fontId="28" fillId="6" borderId="2" xfId="7" applyNumberFormat="1" applyFont="1" applyFill="1" applyBorder="1" applyAlignment="1" applyProtection="1">
      <alignment horizontal="center" vertical="top"/>
    </xf>
    <xf numFmtId="0" fontId="8" fillId="6" borderId="2" xfId="1" applyFont="1" applyFill="1" applyBorder="1" applyAlignment="1">
      <alignment horizontal="center" vertical="center" wrapText="1"/>
    </xf>
    <xf numFmtId="0" fontId="8" fillId="6" borderId="2" xfId="4" applyNumberFormat="1" applyFont="1" applyFill="1" applyBorder="1" applyAlignment="1">
      <alignment horizontal="right" vertical="center" wrapText="1"/>
    </xf>
    <xf numFmtId="0" fontId="14" fillId="6" borderId="2" xfId="10" applyFont="1" applyFill="1" applyBorder="1" applyAlignment="1">
      <alignment horizontal="right" vertical="center" wrapText="1"/>
    </xf>
    <xf numFmtId="0" fontId="35" fillId="0" borderId="2" xfId="1" applyNumberFormat="1" applyFont="1" applyFill="1" applyBorder="1" applyAlignment="1" applyProtection="1">
      <alignment horizontal="left" vertical="top" wrapText="1"/>
    </xf>
    <xf numFmtId="0" fontId="28" fillId="6" borderId="2" xfId="7" applyNumberFormat="1" applyFont="1" applyFill="1" applyBorder="1" applyAlignment="1" applyProtection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167" fontId="28" fillId="6" borderId="2" xfId="1" applyNumberFormat="1" applyFont="1" applyFill="1" applyBorder="1" applyAlignment="1">
      <alignment horizontal="center" vertical="center"/>
    </xf>
    <xf numFmtId="167" fontId="44" fillId="0" borderId="2" xfId="1" applyNumberFormat="1" applyFont="1" applyFill="1" applyBorder="1" applyAlignment="1">
      <alignment horizontal="center" vertical="center" wrapText="1"/>
    </xf>
    <xf numFmtId="167" fontId="25" fillId="0" borderId="3" xfId="0" applyNumberFormat="1" applyFont="1" applyBorder="1" applyAlignment="1">
      <alignment horizontal="center"/>
    </xf>
    <xf numFmtId="167" fontId="25" fillId="0" borderId="4" xfId="0" applyNumberFormat="1" applyFont="1" applyBorder="1" applyAlignment="1">
      <alignment horizontal="center"/>
    </xf>
    <xf numFmtId="167" fontId="25" fillId="0" borderId="5" xfId="0" applyNumberFormat="1" applyFont="1" applyBorder="1" applyAlignment="1">
      <alignment horizontal="center"/>
    </xf>
    <xf numFmtId="167" fontId="24" fillId="0" borderId="3" xfId="0" applyNumberFormat="1" applyFont="1" applyBorder="1" applyAlignment="1">
      <alignment horizontal="center"/>
    </xf>
    <xf numFmtId="167" fontId="24" fillId="0" borderId="4" xfId="0" applyNumberFormat="1" applyFont="1" applyBorder="1" applyAlignment="1">
      <alignment horizontal="center"/>
    </xf>
    <xf numFmtId="167" fontId="24" fillId="0" borderId="5" xfId="0" applyNumberFormat="1" applyFont="1" applyBorder="1" applyAlignment="1">
      <alignment horizontal="center"/>
    </xf>
    <xf numFmtId="167" fontId="28" fillId="6" borderId="2" xfId="4" applyNumberFormat="1" applyFont="1" applyFill="1" applyBorder="1" applyAlignment="1">
      <alignment horizontal="center" vertical="center" wrapText="1"/>
    </xf>
    <xf numFmtId="167" fontId="28" fillId="0" borderId="2" xfId="1" applyNumberFormat="1" applyFont="1" applyFill="1" applyBorder="1" applyAlignment="1">
      <alignment horizontal="center" vertical="center"/>
    </xf>
    <xf numFmtId="167" fontId="44" fillId="0" borderId="2" xfId="1" applyNumberFormat="1" applyFont="1" applyFill="1" applyBorder="1" applyAlignment="1" applyProtection="1">
      <alignment horizontal="center" vertical="center" wrapText="1"/>
    </xf>
    <xf numFmtId="167" fontId="4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4" applyNumberFormat="1" applyFont="1" applyFill="1" applyBorder="1" applyAlignment="1" applyProtection="1">
      <alignment horizontal="center" vertical="center" wrapText="1"/>
    </xf>
    <xf numFmtId="0" fontId="29" fillId="7" borderId="2" xfId="1" applyNumberFormat="1" applyFont="1" applyFill="1" applyBorder="1" applyAlignment="1" applyProtection="1">
      <alignment horizontal="left" vertical="top" wrapText="1"/>
    </xf>
    <xf numFmtId="0" fontId="9" fillId="7" borderId="2" xfId="3" applyFont="1" applyFill="1" applyBorder="1" applyAlignment="1">
      <alignment horizontal="center" vertical="center" wrapText="1"/>
    </xf>
    <xf numFmtId="0" fontId="29" fillId="0" borderId="2" xfId="3" applyFont="1" applyFill="1" applyBorder="1" applyAlignment="1">
      <alignment horizontal="center" vertical="center" wrapText="1"/>
    </xf>
    <xf numFmtId="167" fontId="28" fillId="7" borderId="2" xfId="5" applyNumberFormat="1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>
      <alignment horizontal="center" vertical="center" wrapText="1"/>
    </xf>
    <xf numFmtId="49" fontId="9" fillId="7" borderId="2" xfId="1" applyNumberFormat="1" applyFont="1" applyFill="1" applyBorder="1" applyAlignment="1">
      <alignment horizontal="center" vertical="center" wrapText="1"/>
    </xf>
    <xf numFmtId="49" fontId="9" fillId="6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29" fillId="6" borderId="2" xfId="1" applyNumberFormat="1" applyFont="1" applyFill="1" applyBorder="1" applyAlignment="1">
      <alignment horizontal="center" vertical="center" wrapText="1"/>
    </xf>
    <xf numFmtId="167" fontId="9" fillId="6" borderId="2" xfId="4" applyNumberFormat="1" applyFont="1" applyFill="1" applyBorder="1" applyAlignment="1" applyProtection="1">
      <alignment horizontal="center" vertical="center"/>
    </xf>
    <xf numFmtId="0" fontId="9" fillId="0" borderId="2" xfId="7" applyNumberFormat="1" applyFont="1" applyFill="1" applyBorder="1" applyAlignment="1" applyProtection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 shrinkToFit="1"/>
    </xf>
    <xf numFmtId="167" fontId="8" fillId="0" borderId="2" xfId="7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67" fontId="9" fillId="0" borderId="2" xfId="1" applyNumberFormat="1" applyFont="1" applyFill="1" applyBorder="1" applyAlignment="1" applyProtection="1">
      <alignment horizontal="center" vertical="center" wrapText="1"/>
    </xf>
    <xf numFmtId="49" fontId="8" fillId="0" borderId="2" xfId="7" applyNumberFormat="1" applyFont="1" applyFill="1" applyBorder="1" applyAlignment="1" applyProtection="1">
      <alignment horizontal="center" vertical="top" wrapText="1"/>
    </xf>
    <xf numFmtId="0" fontId="8" fillId="0" borderId="2" xfId="1" applyFont="1" applyFill="1" applyBorder="1" applyAlignment="1">
      <alignment horizontal="left" vertical="top" wrapText="1"/>
    </xf>
    <xf numFmtId="49" fontId="8" fillId="0" borderId="2" xfId="7" applyNumberFormat="1" applyFont="1" applyFill="1" applyBorder="1" applyAlignment="1" applyProtection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 wrapText="1"/>
    </xf>
    <xf numFmtId="167" fontId="8" fillId="6" borderId="2" xfId="4" applyNumberFormat="1" applyFont="1" applyFill="1" applyBorder="1" applyAlignment="1" applyProtection="1">
      <alignment horizontal="center" vertical="center"/>
    </xf>
    <xf numFmtId="167" fontId="8" fillId="0" borderId="2" xfId="4" applyNumberFormat="1" applyFont="1" applyFill="1" applyBorder="1" applyAlignment="1" applyProtection="1">
      <alignment horizontal="center" vertical="center"/>
    </xf>
    <xf numFmtId="167" fontId="8" fillId="6" borderId="2" xfId="1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/>
    </xf>
    <xf numFmtId="0" fontId="8" fillId="0" borderId="2" xfId="7" applyNumberFormat="1" applyFont="1" applyFill="1" applyBorder="1" applyAlignment="1" applyProtection="1">
      <alignment horizontal="left" vertical="top" wrapText="1"/>
    </xf>
    <xf numFmtId="0" fontId="8" fillId="0" borderId="2" xfId="1" applyFont="1" applyFill="1" applyBorder="1" applyAlignment="1">
      <alignment horizontal="center" vertical="center" wrapText="1"/>
    </xf>
    <xf numFmtId="167" fontId="8" fillId="0" borderId="2" xfId="4" applyNumberFormat="1" applyFont="1" applyFill="1" applyBorder="1" applyAlignment="1" applyProtection="1">
      <alignment horizontal="center" vertical="center" wrapText="1"/>
    </xf>
    <xf numFmtId="167" fontId="8" fillId="0" borderId="2" xfId="1" applyNumberFormat="1" applyFont="1" applyFill="1" applyBorder="1" applyAlignment="1">
      <alignment horizontal="center" vertical="center" wrapText="1"/>
    </xf>
    <xf numFmtId="0" fontId="8" fillId="0" borderId="2" xfId="7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9" fontId="15" fillId="0" borderId="2" xfId="2" applyNumberFormat="1" applyFont="1" applyFill="1" applyBorder="1" applyAlignment="1" applyProtection="1">
      <alignment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15" fillId="0" borderId="2" xfId="2" applyNumberFormat="1" applyFont="1" applyFill="1" applyBorder="1" applyAlignment="1" applyProtection="1">
      <alignment horizontal="center" vertical="center" wrapText="1"/>
    </xf>
    <xf numFmtId="0" fontId="8" fillId="5" borderId="2" xfId="2" applyNumberFormat="1" applyFont="1" applyFill="1" applyBorder="1" applyAlignment="1" applyProtection="1">
      <alignment horizontal="center" vertical="center" wrapText="1"/>
    </xf>
    <xf numFmtId="49" fontId="8" fillId="0" borderId="2" xfId="2" applyNumberFormat="1" applyFont="1" applyFill="1" applyBorder="1" applyAlignment="1" applyProtection="1">
      <alignment horizontal="center" vertical="center" wrapText="1"/>
    </xf>
    <xf numFmtId="49" fontId="8" fillId="0" borderId="2" xfId="7" applyNumberFormat="1" applyFont="1" applyFill="1" applyBorder="1" applyAlignment="1" applyProtection="1">
      <alignment horizontal="center" vertical="top"/>
    </xf>
    <xf numFmtId="0" fontId="42" fillId="0" borderId="2" xfId="1" applyNumberFormat="1" applyFont="1" applyFill="1" applyBorder="1" applyAlignment="1" applyProtection="1">
      <alignment horizontal="left" vertical="top" wrapText="1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167" fontId="11" fillId="0" borderId="3" xfId="0" applyNumberFormat="1" applyFont="1" applyBorder="1" applyAlignment="1">
      <alignment horizontal="center"/>
    </xf>
    <xf numFmtId="167" fontId="11" fillId="0" borderId="4" xfId="0" applyNumberFormat="1" applyFont="1" applyBorder="1" applyAlignment="1">
      <alignment horizontal="center"/>
    </xf>
    <xf numFmtId="167" fontId="11" fillId="0" borderId="5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7" fontId="12" fillId="0" borderId="4" xfId="0" applyNumberFormat="1" applyFont="1" applyBorder="1" applyAlignment="1">
      <alignment horizontal="center"/>
    </xf>
    <xf numFmtId="167" fontId="12" fillId="0" borderId="5" xfId="0" applyNumberFormat="1" applyFont="1" applyBorder="1" applyAlignment="1">
      <alignment horizontal="center"/>
    </xf>
    <xf numFmtId="167" fontId="9" fillId="0" borderId="2" xfId="1" applyNumberFormat="1" applyFont="1" applyFill="1" applyBorder="1" applyAlignment="1">
      <alignment horizontal="center" vertical="center"/>
    </xf>
    <xf numFmtId="0" fontId="8" fillId="6" borderId="2" xfId="4" applyNumberFormat="1" applyFont="1" applyFill="1" applyBorder="1" applyAlignment="1" applyProtection="1">
      <alignment horizontal="right" vertical="center" wrapText="1"/>
    </xf>
    <xf numFmtId="167" fontId="10" fillId="0" borderId="0" xfId="0" applyNumberFormat="1" applyFont="1" applyAlignment="1">
      <alignment horizontal="center"/>
    </xf>
    <xf numFmtId="167" fontId="12" fillId="5" borderId="3" xfId="0" applyNumberFormat="1" applyFont="1" applyFill="1" applyBorder="1" applyAlignment="1">
      <alignment horizontal="center"/>
    </xf>
    <xf numFmtId="167" fontId="12" fillId="5" borderId="4" xfId="0" applyNumberFormat="1" applyFont="1" applyFill="1" applyBorder="1" applyAlignment="1">
      <alignment horizontal="center"/>
    </xf>
    <xf numFmtId="167" fontId="12" fillId="5" borderId="5" xfId="0" applyNumberFormat="1" applyFont="1" applyFill="1" applyBorder="1" applyAlignment="1">
      <alignment horizontal="center"/>
    </xf>
    <xf numFmtId="167" fontId="16" fillId="0" borderId="0" xfId="5" applyNumberFormat="1" applyFont="1" applyFill="1" applyBorder="1" applyAlignment="1" applyProtection="1">
      <alignment horizontal="center" vertical="top"/>
    </xf>
    <xf numFmtId="167" fontId="8" fillId="0" borderId="2" xfId="5" applyNumberFormat="1" applyFont="1" applyFill="1" applyBorder="1" applyAlignment="1" applyProtection="1">
      <alignment horizontal="center" vertical="center"/>
    </xf>
    <xf numFmtId="167" fontId="8" fillId="6" borderId="2" xfId="5" applyNumberFormat="1" applyFont="1" applyFill="1" applyBorder="1" applyAlignment="1" applyProtection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49" fontId="13" fillId="0" borderId="2" xfId="3" applyNumberFormat="1" applyFont="1" applyFill="1" applyBorder="1" applyAlignment="1" applyProtection="1">
      <alignment horizontal="center" vertical="top" wrapText="1"/>
    </xf>
    <xf numFmtId="167" fontId="47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8" fillId="0" borderId="2" xfId="3" applyNumberFormat="1" applyFont="1" applyFill="1" applyBorder="1" applyAlignment="1" applyProtection="1">
      <alignment horizontal="left" vertical="top" wrapText="1"/>
    </xf>
    <xf numFmtId="167" fontId="29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5" applyNumberFormat="1" applyFont="1" applyFill="1" applyBorder="1" applyAlignment="1" applyProtection="1">
      <alignment horizontal="right" vertical="center" wrapText="1"/>
    </xf>
    <xf numFmtId="167" fontId="8" fillId="0" borderId="2" xfId="4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167" fontId="8" fillId="6" borderId="2" xfId="4" applyNumberFormat="1" applyFont="1" applyFill="1" applyBorder="1" applyAlignment="1">
      <alignment horizontal="center" vertical="center" wrapText="1"/>
    </xf>
    <xf numFmtId="167" fontId="8" fillId="0" borderId="2" xfId="3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6" borderId="2" xfId="5" applyNumberFormat="1" applyFont="1" applyFill="1" applyBorder="1" applyAlignment="1" applyProtection="1">
      <alignment horizontal="right" vertical="center" wrapText="1"/>
    </xf>
    <xf numFmtId="167" fontId="19" fillId="6" borderId="2" xfId="3" applyNumberFormat="1" applyFont="1" applyFill="1" applyBorder="1" applyAlignment="1" applyProtection="1">
      <alignment horizontal="center" vertical="center" wrapText="1"/>
    </xf>
    <xf numFmtId="167" fontId="9" fillId="6" borderId="2" xfId="5" applyNumberFormat="1" applyFont="1" applyFill="1" applyBorder="1" applyAlignment="1" applyProtection="1">
      <alignment horizontal="center" vertical="center"/>
    </xf>
    <xf numFmtId="167" fontId="13" fillId="6" borderId="2" xfId="5" applyNumberFormat="1" applyFont="1" applyFill="1" applyBorder="1" applyAlignment="1" applyProtection="1">
      <alignment horizontal="center" vertical="center"/>
    </xf>
    <xf numFmtId="0" fontId="8" fillId="5" borderId="2" xfId="1" applyNumberFormat="1" applyFont="1" applyFill="1" applyBorder="1" applyAlignment="1" applyProtection="1">
      <alignment horizontal="center" vertical="center" wrapText="1"/>
    </xf>
    <xf numFmtId="0" fontId="13" fillId="6" borderId="2" xfId="3" applyNumberFormat="1" applyFont="1" applyFill="1" applyBorder="1" applyAlignment="1" applyProtection="1">
      <alignment horizontal="center" vertical="center" wrapText="1"/>
    </xf>
    <xf numFmtId="3" fontId="52" fillId="0" borderId="2" xfId="1" applyNumberFormat="1" applyFont="1" applyFill="1" applyBorder="1" applyAlignment="1">
      <alignment horizontal="center" vertical="center"/>
    </xf>
    <xf numFmtId="0" fontId="52" fillId="0" borderId="2" xfId="1" applyNumberFormat="1" applyFont="1" applyFill="1" applyBorder="1" applyAlignment="1" applyProtection="1">
      <alignment horizontal="left" vertical="top" wrapText="1"/>
    </xf>
    <xf numFmtId="3" fontId="52" fillId="5" borderId="2" xfId="1" applyNumberFormat="1" applyFont="1" applyFill="1" applyBorder="1" applyAlignment="1">
      <alignment horizontal="center" vertical="center"/>
    </xf>
    <xf numFmtId="3" fontId="52" fillId="3" borderId="2" xfId="1" applyNumberFormat="1" applyFont="1" applyFill="1" applyBorder="1" applyAlignment="1">
      <alignment horizontal="center" vertical="center"/>
    </xf>
  </cellXfs>
  <cellStyles count="12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9"/>
    <cellStyle name="Обычный_Лист1" xfId="1"/>
    <cellStyle name="Обычный_Лист1_1" xfId="7"/>
    <cellStyle name="Обычный_Лист1_Лист2" xfId="11"/>
    <cellStyle name="Обычный_Лист2" xfId="10"/>
    <cellStyle name="Процентный 2" xfId="8"/>
  </cellStyles>
  <dxfs count="0"/>
  <tableStyles count="0" defaultTableStyle="TableStyleMedium2" defaultPivotStyle="PivotStyleLight16"/>
  <colors>
    <mruColors>
      <color rgb="FF00FF00"/>
      <color rgb="FFFFFFCC"/>
      <color rgb="FFCCFFCC"/>
      <color rgb="FFCCFFFF"/>
      <color rgb="FFCCECFF"/>
      <color rgb="FF99CCFF"/>
      <color rgb="FF00FFFF"/>
      <color rgb="FF99FF99"/>
      <color rgb="FFFFCC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0.4/192.168.10.4/192.168.10.10/&#1086;&#1073;&#1097;&#1072;&#1103;/2018%20&#1075;&#1086;&#1076;/4%20&#1074;&#1072;&#1088;&#1080;&#1072;&#1085;&#1090;%20&#1086;&#1090;%2024.07.2018%20&#8470;3423/&#1082;&#1087;%20&#1048;&#1057;&#1055;&#1054;&#1051;&#1053;&#1045;&#1053;&#1048;&#1045;.%20tmp%20&#1085;&#1072;%2024.07.2018%20(&#1052;&#1086;&#1088;&#1086;&#1079;&#1086;&#1074;&#107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FF00"/>
  </sheetPr>
  <dimension ref="A1:U430"/>
  <sheetViews>
    <sheetView view="pageBreakPreview" topLeftCell="A317" zoomScale="60" zoomScaleNormal="80" workbookViewId="0">
      <selection activeCell="F397" sqref="F397"/>
    </sheetView>
  </sheetViews>
  <sheetFormatPr defaultColWidth="9.140625" defaultRowHeight="18" x14ac:dyDescent="0.3"/>
  <cols>
    <col min="1" max="1" width="9.140625" style="79"/>
    <col min="2" max="2" width="75.42578125" style="79" customWidth="1"/>
    <col min="3" max="3" width="16" style="79" customWidth="1"/>
    <col min="4" max="4" width="30.85546875" style="228" customWidth="1"/>
    <col min="5" max="5" width="20.42578125" style="79" hidden="1" customWidth="1"/>
    <col min="6" max="6" width="22.140625" style="163" customWidth="1"/>
    <col min="7" max="8" width="22.7109375" style="84" customWidth="1"/>
    <col min="9" max="13" width="8" style="79" customWidth="1"/>
    <col min="14" max="14" width="22.42578125" style="79" customWidth="1"/>
    <col min="15" max="15" width="23.28515625" style="79" customWidth="1"/>
    <col min="16" max="16" width="22.140625" style="79" customWidth="1"/>
    <col min="17" max="17" width="24.28515625" style="1" customWidth="1"/>
    <col min="18" max="18" width="17.7109375" style="1" customWidth="1"/>
    <col min="19" max="19" width="13" style="1" customWidth="1"/>
    <col min="20" max="20" width="14.7109375" style="1" customWidth="1"/>
    <col min="21" max="16384" width="9.140625" style="1"/>
  </cols>
  <sheetData>
    <row r="1" spans="1:21" ht="18.75" x14ac:dyDescent="0.25">
      <c r="A1" s="2"/>
      <c r="B1" s="62"/>
      <c r="C1" s="62"/>
      <c r="D1" s="214"/>
      <c r="E1" s="62"/>
      <c r="F1" s="62"/>
      <c r="G1" s="62"/>
      <c r="H1" s="62"/>
      <c r="I1" s="164"/>
      <c r="J1" s="164"/>
      <c r="K1" s="164"/>
      <c r="L1" s="164"/>
      <c r="M1" s="164"/>
      <c r="N1" s="62"/>
      <c r="O1" s="49"/>
      <c r="P1" s="69" t="s">
        <v>229</v>
      </c>
    </row>
    <row r="2" spans="1:21" ht="18.75" x14ac:dyDescent="0.25">
      <c r="A2" s="2"/>
      <c r="B2" s="62"/>
      <c r="C2" s="62"/>
      <c r="D2" s="214"/>
      <c r="E2" s="62"/>
      <c r="F2" s="62"/>
      <c r="G2" s="62"/>
      <c r="H2" s="62"/>
      <c r="I2" s="164"/>
      <c r="J2" s="164"/>
      <c r="K2" s="164"/>
      <c r="L2" s="164"/>
      <c r="M2" s="164"/>
      <c r="N2" s="62"/>
      <c r="O2" s="49"/>
      <c r="P2" s="69" t="s">
        <v>66</v>
      </c>
    </row>
    <row r="3" spans="1:21" ht="18.75" x14ac:dyDescent="0.25">
      <c r="A3" s="2"/>
      <c r="B3" s="40"/>
      <c r="C3" s="62"/>
      <c r="D3" s="214"/>
      <c r="E3" s="62"/>
      <c r="F3" s="62"/>
      <c r="G3" s="62"/>
      <c r="H3" s="62"/>
      <c r="I3" s="164"/>
      <c r="J3" s="164"/>
      <c r="K3" s="164"/>
      <c r="L3" s="164"/>
      <c r="M3" s="164"/>
      <c r="N3" s="62"/>
      <c r="O3" s="49"/>
      <c r="P3" s="69" t="s">
        <v>67</v>
      </c>
    </row>
    <row r="4" spans="1:21" ht="18.75" x14ac:dyDescent="0.25">
      <c r="A4" s="2"/>
      <c r="B4" s="62"/>
      <c r="C4" s="62"/>
      <c r="D4" s="214"/>
      <c r="E4" s="62"/>
      <c r="F4" s="62" t="s">
        <v>205</v>
      </c>
      <c r="G4" s="62"/>
      <c r="H4" s="62"/>
      <c r="I4" s="164"/>
      <c r="J4" s="164"/>
      <c r="K4" s="164"/>
      <c r="L4" s="164"/>
      <c r="M4" s="164"/>
      <c r="N4" s="62"/>
      <c r="O4" s="49"/>
      <c r="P4" s="69" t="s">
        <v>266</v>
      </c>
    </row>
    <row r="5" spans="1:21" ht="17.25" x14ac:dyDescent="0.25">
      <c r="A5" s="2"/>
      <c r="B5" s="62"/>
      <c r="C5" s="62"/>
      <c r="D5" s="214"/>
      <c r="E5" s="62"/>
      <c r="F5" s="62"/>
      <c r="G5" s="62"/>
      <c r="H5" s="62"/>
      <c r="I5" s="164"/>
      <c r="J5" s="164"/>
      <c r="K5" s="164"/>
      <c r="L5" s="164"/>
      <c r="M5" s="164"/>
      <c r="N5" s="62"/>
      <c r="O5" s="49"/>
      <c r="P5" s="49"/>
    </row>
    <row r="6" spans="1:21" ht="18" customHeight="1" x14ac:dyDescent="0.25">
      <c r="A6" s="36"/>
      <c r="B6" s="62"/>
      <c r="C6" s="63"/>
      <c r="D6" s="215"/>
      <c r="E6" s="443"/>
      <c r="F6" s="443"/>
      <c r="G6" s="443"/>
      <c r="H6" s="443"/>
      <c r="I6" s="443"/>
      <c r="J6" s="443"/>
      <c r="K6" s="443"/>
      <c r="L6" s="443"/>
      <c r="M6" s="443"/>
      <c r="N6" s="446" t="s">
        <v>187</v>
      </c>
      <c r="O6" s="446"/>
      <c r="P6" s="446"/>
    </row>
    <row r="7" spans="1:21" ht="18" customHeight="1" x14ac:dyDescent="0.25">
      <c r="A7" s="36"/>
      <c r="B7" s="62"/>
      <c r="C7" s="63"/>
      <c r="D7" s="215"/>
      <c r="E7" s="129"/>
      <c r="F7" s="129"/>
      <c r="G7" s="200"/>
      <c r="H7" s="129"/>
      <c r="I7" s="193"/>
      <c r="J7" s="193"/>
      <c r="K7" s="193"/>
      <c r="L7" s="193"/>
      <c r="M7" s="193"/>
      <c r="N7" s="38"/>
      <c r="O7" s="90"/>
      <c r="P7" s="90"/>
    </row>
    <row r="8" spans="1:21" ht="18" customHeight="1" x14ac:dyDescent="0.25">
      <c r="A8" s="64"/>
      <c r="B8" s="62"/>
      <c r="C8" s="63"/>
      <c r="D8" s="215"/>
      <c r="E8" s="129"/>
      <c r="F8" s="129"/>
      <c r="G8" s="200"/>
      <c r="H8" s="129"/>
      <c r="I8" s="193"/>
      <c r="J8" s="193"/>
      <c r="K8" s="193"/>
      <c r="L8" s="193"/>
      <c r="M8" s="193"/>
      <c r="N8" s="38"/>
      <c r="O8" s="90"/>
      <c r="P8" s="90"/>
    </row>
    <row r="9" spans="1:21" ht="40.5" customHeight="1" x14ac:dyDescent="0.25">
      <c r="A9" s="3"/>
      <c r="B9" s="447" t="s">
        <v>85</v>
      </c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112"/>
    </row>
    <row r="10" spans="1:21" ht="15.75" customHeight="1" x14ac:dyDescent="0.25">
      <c r="A10" s="72"/>
      <c r="B10" s="164"/>
      <c r="C10" s="165"/>
      <c r="D10" s="216"/>
      <c r="E10" s="166"/>
      <c r="F10" s="166"/>
      <c r="G10" s="73"/>
      <c r="H10" s="73"/>
      <c r="I10" s="73"/>
      <c r="J10" s="73"/>
      <c r="K10" s="73"/>
      <c r="L10" s="73"/>
      <c r="M10" s="73"/>
      <c r="N10" s="73"/>
      <c r="O10" s="73"/>
      <c r="P10" s="167"/>
    </row>
    <row r="11" spans="1:21" ht="15" customHeight="1" x14ac:dyDescent="0.25">
      <c r="A11" s="438" t="s">
        <v>4</v>
      </c>
      <c r="B11" s="438" t="s">
        <v>138</v>
      </c>
      <c r="C11" s="438" t="s">
        <v>50</v>
      </c>
      <c r="D11" s="438" t="s">
        <v>6</v>
      </c>
      <c r="E11" s="438" t="s">
        <v>44</v>
      </c>
      <c r="F11" s="454" t="s">
        <v>7</v>
      </c>
      <c r="G11" s="330" t="s">
        <v>16</v>
      </c>
      <c r="H11" s="331"/>
      <c r="I11" s="331"/>
      <c r="J11" s="331"/>
      <c r="K11" s="331"/>
      <c r="L11" s="331"/>
      <c r="M11" s="331"/>
      <c r="N11" s="331"/>
      <c r="O11" s="332"/>
      <c r="P11" s="445" t="s">
        <v>249</v>
      </c>
    </row>
    <row r="12" spans="1:21" ht="15" customHeight="1" x14ac:dyDescent="0.25">
      <c r="A12" s="438"/>
      <c r="B12" s="438"/>
      <c r="C12" s="438"/>
      <c r="D12" s="438"/>
      <c r="E12" s="438"/>
      <c r="F12" s="454"/>
      <c r="G12" s="333"/>
      <c r="H12" s="334"/>
      <c r="I12" s="334"/>
      <c r="J12" s="334"/>
      <c r="K12" s="334"/>
      <c r="L12" s="334"/>
      <c r="M12" s="334"/>
      <c r="N12" s="334"/>
      <c r="O12" s="335"/>
      <c r="P12" s="445"/>
    </row>
    <row r="13" spans="1:21" ht="45.75" customHeight="1" x14ac:dyDescent="0.25">
      <c r="A13" s="438"/>
      <c r="B13" s="438"/>
      <c r="C13" s="438"/>
      <c r="D13" s="438"/>
      <c r="E13" s="438"/>
      <c r="F13" s="454"/>
      <c r="G13" s="210" t="s">
        <v>45</v>
      </c>
      <c r="H13" s="126" t="s">
        <v>46</v>
      </c>
      <c r="I13" s="451" t="s">
        <v>82</v>
      </c>
      <c r="J13" s="451"/>
      <c r="K13" s="451"/>
      <c r="L13" s="451"/>
      <c r="M13" s="451"/>
      <c r="N13" s="126" t="s">
        <v>83</v>
      </c>
      <c r="O13" s="126" t="s">
        <v>84</v>
      </c>
      <c r="P13" s="445"/>
    </row>
    <row r="14" spans="1:21" ht="17.25" customHeight="1" x14ac:dyDescent="0.25">
      <c r="A14" s="123" t="s">
        <v>13</v>
      </c>
      <c r="B14" s="123">
        <v>2</v>
      </c>
      <c r="C14" s="123" t="s">
        <v>8</v>
      </c>
      <c r="D14" s="217" t="s">
        <v>37</v>
      </c>
      <c r="E14" s="123" t="s">
        <v>9</v>
      </c>
      <c r="F14" s="155" t="s">
        <v>9</v>
      </c>
      <c r="G14" s="201" t="s">
        <v>35</v>
      </c>
      <c r="H14" s="123" t="s">
        <v>10</v>
      </c>
      <c r="I14" s="345" t="s">
        <v>36</v>
      </c>
      <c r="J14" s="345"/>
      <c r="K14" s="345"/>
      <c r="L14" s="345"/>
      <c r="M14" s="345"/>
      <c r="N14" s="123" t="s">
        <v>11</v>
      </c>
      <c r="O14" s="123" t="s">
        <v>12</v>
      </c>
      <c r="P14" s="123" t="s">
        <v>14</v>
      </c>
    </row>
    <row r="15" spans="1:21" s="10" customFormat="1" ht="25.5" customHeight="1" x14ac:dyDescent="0.25">
      <c r="A15" s="453" t="s">
        <v>144</v>
      </c>
      <c r="B15" s="453"/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</row>
    <row r="16" spans="1:21" s="9" customFormat="1" ht="18.75" x14ac:dyDescent="0.25">
      <c r="A16" s="343" t="s">
        <v>13</v>
      </c>
      <c r="B16" s="366" t="s">
        <v>75</v>
      </c>
      <c r="C16" s="366" t="s">
        <v>86</v>
      </c>
      <c r="D16" s="218" t="s">
        <v>2</v>
      </c>
      <c r="E16" s="142" t="e">
        <f>SUM(E18:E23)</f>
        <v>#REF!</v>
      </c>
      <c r="F16" s="156">
        <f>F17+F18+F19+F21</f>
        <v>62299662.532980002</v>
      </c>
      <c r="G16" s="204">
        <f>G17+G18+G19+G21</f>
        <v>10467394.842740001</v>
      </c>
      <c r="H16" s="142">
        <f>H17+H18+H19+H21</f>
        <v>11716606.47274</v>
      </c>
      <c r="I16" s="351">
        <f>I17+I18+I19+I21</f>
        <v>13645419.33498</v>
      </c>
      <c r="J16" s="351"/>
      <c r="K16" s="351"/>
      <c r="L16" s="351"/>
      <c r="M16" s="351"/>
      <c r="N16" s="142">
        <f t="shared" ref="N16:O16" si="0">N17+N18+N19+N21</f>
        <v>13239714.10568</v>
      </c>
      <c r="O16" s="142">
        <f t="shared" si="0"/>
        <v>13239714.10568</v>
      </c>
      <c r="P16" s="432"/>
      <c r="T16" s="45"/>
      <c r="U16" s="45"/>
    </row>
    <row r="17" spans="1:21" s="9" customFormat="1" ht="39" customHeight="1" x14ac:dyDescent="0.25">
      <c r="A17" s="343"/>
      <c r="B17" s="366"/>
      <c r="C17" s="366"/>
      <c r="D17" s="218" t="s">
        <v>40</v>
      </c>
      <c r="E17" s="143" t="e">
        <f>#REF!</f>
        <v>#REF!</v>
      </c>
      <c r="F17" s="156">
        <f>F24+F31+F45+F52+F59+F96+F106+F113+F80+F89+F66+F120+F127+F134+F141</f>
        <v>393751</v>
      </c>
      <c r="G17" s="235">
        <f>G24+G31+G45+G52+G59+G96+G106+G113+G80+G89+G66+G120+G127+G134+G141</f>
        <v>155511</v>
      </c>
      <c r="H17" s="297">
        <f>H24+H31+H45+H52+H59+H96+H106+H113+H80+H89+H66+H120+H127+H134+H141+H73</f>
        <v>239255.56</v>
      </c>
      <c r="I17" s="448">
        <f>I24+I31+I45+I52+I59+I96+I106+I113+I80+I89++I66+I120+I127+I134+I141</f>
        <v>0</v>
      </c>
      <c r="J17" s="449"/>
      <c r="K17" s="449"/>
      <c r="L17" s="449"/>
      <c r="M17" s="450"/>
      <c r="N17" s="191">
        <f t="shared" ref="N17:O17" si="1">N24+N31+N45+N52+N59+N96+N106+N113+N80+N89+N66+N120+N127+N134+N141</f>
        <v>0</v>
      </c>
      <c r="O17" s="191">
        <f t="shared" si="1"/>
        <v>0</v>
      </c>
      <c r="P17" s="432"/>
      <c r="T17" s="45"/>
      <c r="U17" s="45"/>
    </row>
    <row r="18" spans="1:21" s="9" customFormat="1" ht="39.75" customHeight="1" x14ac:dyDescent="0.25">
      <c r="A18" s="343"/>
      <c r="B18" s="366"/>
      <c r="C18" s="366"/>
      <c r="D18" s="218" t="s">
        <v>1</v>
      </c>
      <c r="E18" s="143" t="e">
        <f>E45+E53+#REF!+#REF!</f>
        <v>#REF!</v>
      </c>
      <c r="F18" s="156">
        <f t="shared" ref="F18" si="2">F25+F32+F46+F53+F60+F97+F107+F114+F81+F90+F67+F121+F128+F135+F142</f>
        <v>38770156.900820002</v>
      </c>
      <c r="G18" s="297">
        <f t="shared" ref="G18:H18" si="3">G25+G32+G46+G53+G60+G97+G107+G114+G81+G90+G67+G121+G128+G135+G142</f>
        <v>6836602.4489599997</v>
      </c>
      <c r="H18" s="297">
        <f t="shared" si="3"/>
        <v>7390098.6499100002</v>
      </c>
      <c r="I18" s="448">
        <f>I25+I32+I46+I53+I60+I97+I107+I114+I81+I90++I67+I121+I128+I135+I142</f>
        <v>8191645.8019500002</v>
      </c>
      <c r="J18" s="449"/>
      <c r="K18" s="449"/>
      <c r="L18" s="449"/>
      <c r="M18" s="450"/>
      <c r="N18" s="191">
        <f t="shared" ref="N18:O18" si="4">N25+N32+N46+N53+N60+N97+N107+N114+N81+N90+N67+N121+N128+N135+N142</f>
        <v>8175905</v>
      </c>
      <c r="O18" s="191">
        <f t="shared" si="4"/>
        <v>8175905</v>
      </c>
      <c r="P18" s="432"/>
      <c r="T18" s="45"/>
      <c r="U18" s="45"/>
    </row>
    <row r="19" spans="1:21" s="9" customFormat="1" ht="58.5" customHeight="1" x14ac:dyDescent="0.25">
      <c r="A19" s="343"/>
      <c r="B19" s="366"/>
      <c r="C19" s="366"/>
      <c r="D19" s="218" t="s">
        <v>48</v>
      </c>
      <c r="E19" s="143" t="e">
        <f>E98+E108+E115+#REF!+#REF!+#REF!+#REF!+#REF!</f>
        <v>#REF!</v>
      </c>
      <c r="F19" s="156">
        <f t="shared" ref="F19" si="5">F26+F33+F47+F54+F61+F98+F108+F115+F82+F91+F68+F122+F129+F136+F143</f>
        <v>20111708.765540004</v>
      </c>
      <c r="G19" s="297">
        <f>G26+G33+G47+G54+G61+G98+G108+G115+G82+G91+G68+G122+G129+G136+G143+G40</f>
        <v>2982149.6351000001</v>
      </c>
      <c r="H19" s="297">
        <f t="shared" ref="H19:H20" si="6">H26+H33+H47+H54+H61+H98+H108+H115+H82+H91+H68+H122+H129+H136+H143</f>
        <v>3437604.9343299996</v>
      </c>
      <c r="I19" s="448">
        <f>I26+I33+I47+I54+I61+I98+I108+I115+I82+I91++I68+I122+I129+I136+I143</f>
        <v>4826684.6065500006</v>
      </c>
      <c r="J19" s="449"/>
      <c r="K19" s="449"/>
      <c r="L19" s="449"/>
      <c r="M19" s="450"/>
      <c r="N19" s="191">
        <f t="shared" ref="N19:O19" si="7">N26+N33+N47+N54+N61+N98+N108+N115+N82+N91+N68+N122+N129+N136+N143</f>
        <v>4436720.1792000001</v>
      </c>
      <c r="O19" s="191">
        <f t="shared" si="7"/>
        <v>4436720.1792000001</v>
      </c>
      <c r="P19" s="432"/>
      <c r="T19" s="45"/>
      <c r="U19" s="45"/>
    </row>
    <row r="20" spans="1:21" s="9" customFormat="1" ht="77.25" customHeight="1" x14ac:dyDescent="0.25">
      <c r="A20" s="343"/>
      <c r="B20" s="366"/>
      <c r="C20" s="366"/>
      <c r="D20" s="218" t="s">
        <v>59</v>
      </c>
      <c r="E20" s="143">
        <f>E99</f>
        <v>0</v>
      </c>
      <c r="F20" s="156">
        <f t="shared" ref="F20:F27" si="8">SUM(G20:O20)</f>
        <v>2798298</v>
      </c>
      <c r="G20" s="203">
        <f>G99+G83</f>
        <v>413035</v>
      </c>
      <c r="H20" s="297">
        <f t="shared" si="6"/>
        <v>493052</v>
      </c>
      <c r="I20" s="448">
        <f>I99+I83</f>
        <v>630737</v>
      </c>
      <c r="J20" s="449"/>
      <c r="K20" s="449"/>
      <c r="L20" s="449"/>
      <c r="M20" s="450"/>
      <c r="N20" s="143">
        <f t="shared" ref="N20:O20" si="9">N27+N34+N48+N55+N62+N99+N109+N116+N83+N92+N69+N123+N130+N137+N144</f>
        <v>630737</v>
      </c>
      <c r="O20" s="143">
        <f t="shared" si="9"/>
        <v>630737</v>
      </c>
      <c r="P20" s="432"/>
      <c r="T20" s="45"/>
      <c r="U20" s="45"/>
    </row>
    <row r="21" spans="1:21" s="9" customFormat="1" ht="30.95" customHeight="1" x14ac:dyDescent="0.25">
      <c r="A21" s="343"/>
      <c r="B21" s="366"/>
      <c r="C21" s="366"/>
      <c r="D21" s="218" t="s">
        <v>87</v>
      </c>
      <c r="E21" s="143"/>
      <c r="F21" s="156">
        <f>F27+F34+F48+F55+F62+F100+F109+F116+F84+F92</f>
        <v>3024045.86662</v>
      </c>
      <c r="G21" s="297">
        <f>G27+G34+G48+G55+G62+G100+G109+G116+G84+G92</f>
        <v>493131.75868000003</v>
      </c>
      <c r="H21" s="143">
        <f>H27+H34+H48+H55+H62+H100+H109+H116+H84+H92</f>
        <v>649647.32850000006</v>
      </c>
      <c r="I21" s="350">
        <f>I27+I34+I48+I55+I62+I100+I109+I116+I84+I92+I123+I130+I137+I144</f>
        <v>627088.92647999991</v>
      </c>
      <c r="J21" s="350"/>
      <c r="K21" s="350"/>
      <c r="L21" s="350"/>
      <c r="M21" s="350"/>
      <c r="N21" s="143">
        <f t="shared" ref="N21:O21" si="10">N27+N34+N48+N55+N62+N100+N109+N116+N84+N92</f>
        <v>627088.92647999991</v>
      </c>
      <c r="O21" s="143">
        <f t="shared" si="10"/>
        <v>627088.92647999991</v>
      </c>
      <c r="P21" s="432"/>
      <c r="T21" s="45"/>
      <c r="U21" s="45"/>
    </row>
    <row r="22" spans="1:21" s="9" customFormat="1" ht="93.75" customHeight="1" x14ac:dyDescent="0.25">
      <c r="A22" s="343"/>
      <c r="B22" s="366"/>
      <c r="C22" s="366"/>
      <c r="D22" s="321" t="s">
        <v>88</v>
      </c>
      <c r="E22" s="145">
        <f>E101</f>
        <v>262352.43170000002</v>
      </c>
      <c r="F22" s="156">
        <f t="shared" si="8"/>
        <v>2902166.7026199996</v>
      </c>
      <c r="G22" s="207">
        <f>G101</f>
        <v>469940.35668000003</v>
      </c>
      <c r="H22" s="145">
        <f>H101</f>
        <v>625121.01850000001</v>
      </c>
      <c r="I22" s="452">
        <f>I101</f>
        <v>602368.44247999997</v>
      </c>
      <c r="J22" s="452"/>
      <c r="K22" s="452"/>
      <c r="L22" s="452"/>
      <c r="M22" s="452"/>
      <c r="N22" s="145">
        <f>N101</f>
        <v>602368.44247999997</v>
      </c>
      <c r="O22" s="145">
        <f>O101</f>
        <v>602368.44247999997</v>
      </c>
      <c r="P22" s="432"/>
      <c r="T22" s="45"/>
      <c r="U22" s="45"/>
    </row>
    <row r="23" spans="1:21" s="9" customFormat="1" ht="69" x14ac:dyDescent="0.25">
      <c r="A23" s="343"/>
      <c r="B23" s="366"/>
      <c r="C23" s="366"/>
      <c r="D23" s="219" t="s">
        <v>89</v>
      </c>
      <c r="E23" s="145">
        <f>E102</f>
        <v>8751.5480000000007</v>
      </c>
      <c r="F23" s="156">
        <f t="shared" si="8"/>
        <v>121879.16399999999</v>
      </c>
      <c r="G23" s="207">
        <f>G102+G85</f>
        <v>23191.402000000002</v>
      </c>
      <c r="H23" s="145">
        <f>H102+H85</f>
        <v>24526.31</v>
      </c>
      <c r="I23" s="452">
        <f>I102+I85</f>
        <v>24720.484</v>
      </c>
      <c r="J23" s="452"/>
      <c r="K23" s="452"/>
      <c r="L23" s="452"/>
      <c r="M23" s="452"/>
      <c r="N23" s="145">
        <f>N102+N85</f>
        <v>24720.484</v>
      </c>
      <c r="O23" s="145">
        <f>O102+O85</f>
        <v>24720.484</v>
      </c>
      <c r="P23" s="432"/>
      <c r="T23" s="45"/>
      <c r="U23" s="45"/>
    </row>
    <row r="24" spans="1:21" s="301" customFormat="1" ht="36.75" customHeight="1" x14ac:dyDescent="0.25">
      <c r="A24" s="442" t="s">
        <v>26</v>
      </c>
      <c r="B24" s="444" t="s">
        <v>126</v>
      </c>
      <c r="C24" s="439" t="s">
        <v>45</v>
      </c>
      <c r="D24" s="300" t="s">
        <v>40</v>
      </c>
      <c r="E24" s="262">
        <v>0</v>
      </c>
      <c r="F24" s="260">
        <f t="shared" si="8"/>
        <v>0</v>
      </c>
      <c r="G24" s="262">
        <v>0</v>
      </c>
      <c r="H24" s="262">
        <v>0</v>
      </c>
      <c r="I24" s="338">
        <v>0</v>
      </c>
      <c r="J24" s="338"/>
      <c r="K24" s="338"/>
      <c r="L24" s="338"/>
      <c r="M24" s="338"/>
      <c r="N24" s="262">
        <v>0</v>
      </c>
      <c r="O24" s="262">
        <v>0</v>
      </c>
      <c r="P24" s="340" t="s">
        <v>206</v>
      </c>
    </row>
    <row r="25" spans="1:21" s="301" customFormat="1" ht="34.5" x14ac:dyDescent="0.25">
      <c r="A25" s="442"/>
      <c r="B25" s="444"/>
      <c r="C25" s="439"/>
      <c r="D25" s="300" t="s">
        <v>1</v>
      </c>
      <c r="E25" s="262"/>
      <c r="F25" s="260">
        <f t="shared" si="8"/>
        <v>0</v>
      </c>
      <c r="G25" s="262">
        <v>0</v>
      </c>
      <c r="H25" s="262">
        <v>0</v>
      </c>
      <c r="I25" s="338">
        <v>0</v>
      </c>
      <c r="J25" s="338"/>
      <c r="K25" s="338"/>
      <c r="L25" s="338"/>
      <c r="M25" s="338"/>
      <c r="N25" s="262">
        <v>0</v>
      </c>
      <c r="O25" s="262">
        <v>0</v>
      </c>
      <c r="P25" s="340"/>
    </row>
    <row r="26" spans="1:21" s="301" customFormat="1" ht="54" customHeight="1" x14ac:dyDescent="0.25">
      <c r="A26" s="442"/>
      <c r="B26" s="444"/>
      <c r="C26" s="439"/>
      <c r="D26" s="300" t="s">
        <v>48</v>
      </c>
      <c r="E26" s="262">
        <v>0</v>
      </c>
      <c r="F26" s="260">
        <f t="shared" si="8"/>
        <v>201567.54709000001</v>
      </c>
      <c r="G26" s="262">
        <v>201567.54709000001</v>
      </c>
      <c r="H26" s="262">
        <v>0</v>
      </c>
      <c r="I26" s="338">
        <f>4921.09299-4921.09299</f>
        <v>0</v>
      </c>
      <c r="J26" s="338"/>
      <c r="K26" s="338"/>
      <c r="L26" s="338"/>
      <c r="M26" s="338"/>
      <c r="N26" s="262">
        <f>200000-200000</f>
        <v>0</v>
      </c>
      <c r="O26" s="262">
        <f>200000-200000</f>
        <v>0</v>
      </c>
      <c r="P26" s="340"/>
      <c r="Q26" s="302"/>
    </row>
    <row r="27" spans="1:21" s="301" customFormat="1" ht="33.75" customHeight="1" x14ac:dyDescent="0.25">
      <c r="A27" s="442"/>
      <c r="B27" s="444"/>
      <c r="C27" s="439"/>
      <c r="D27" s="300" t="s">
        <v>87</v>
      </c>
      <c r="E27" s="262"/>
      <c r="F27" s="260">
        <f t="shared" si="8"/>
        <v>0</v>
      </c>
      <c r="G27" s="262">
        <v>0</v>
      </c>
      <c r="H27" s="262">
        <v>0</v>
      </c>
      <c r="I27" s="338">
        <v>0</v>
      </c>
      <c r="J27" s="338"/>
      <c r="K27" s="338"/>
      <c r="L27" s="338"/>
      <c r="M27" s="338"/>
      <c r="N27" s="262">
        <v>0</v>
      </c>
      <c r="O27" s="262">
        <v>0</v>
      </c>
      <c r="P27" s="340"/>
      <c r="Q27" s="302"/>
    </row>
    <row r="28" spans="1:21" s="301" customFormat="1" ht="26.25" customHeight="1" x14ac:dyDescent="0.25">
      <c r="A28" s="442"/>
      <c r="B28" s="349" t="s">
        <v>188</v>
      </c>
      <c r="C28" s="344" t="s">
        <v>116</v>
      </c>
      <c r="D28" s="359" t="s">
        <v>116</v>
      </c>
      <c r="E28" s="263"/>
      <c r="F28" s="337" t="s">
        <v>117</v>
      </c>
      <c r="G28" s="261" t="s">
        <v>247</v>
      </c>
      <c r="H28" s="261" t="s">
        <v>248</v>
      </c>
      <c r="I28" s="354" t="s">
        <v>123</v>
      </c>
      <c r="J28" s="339" t="s">
        <v>118</v>
      </c>
      <c r="K28" s="339"/>
      <c r="L28" s="339"/>
      <c r="M28" s="339"/>
      <c r="N28" s="261" t="s">
        <v>124</v>
      </c>
      <c r="O28" s="261" t="s">
        <v>125</v>
      </c>
      <c r="P28" s="340" t="s">
        <v>116</v>
      </c>
      <c r="Q28" s="302"/>
    </row>
    <row r="29" spans="1:21" s="301" customFormat="1" ht="24" customHeight="1" x14ac:dyDescent="0.25">
      <c r="A29" s="442"/>
      <c r="B29" s="349"/>
      <c r="C29" s="344"/>
      <c r="D29" s="359"/>
      <c r="E29" s="263"/>
      <c r="F29" s="337"/>
      <c r="G29" s="263"/>
      <c r="H29" s="263"/>
      <c r="I29" s="354"/>
      <c r="J29" s="263" t="s">
        <v>119</v>
      </c>
      <c r="K29" s="263" t="s">
        <v>120</v>
      </c>
      <c r="L29" s="263" t="s">
        <v>121</v>
      </c>
      <c r="M29" s="263" t="s">
        <v>122</v>
      </c>
      <c r="N29" s="263"/>
      <c r="O29" s="263"/>
      <c r="P29" s="340"/>
      <c r="Q29" s="302"/>
    </row>
    <row r="30" spans="1:21" s="301" customFormat="1" ht="25.5" customHeight="1" x14ac:dyDescent="0.25">
      <c r="A30" s="442"/>
      <c r="B30" s="349"/>
      <c r="C30" s="344"/>
      <c r="D30" s="359"/>
      <c r="E30" s="263"/>
      <c r="F30" s="189">
        <f>I30+H30+N30+O30+G30</f>
        <v>1</v>
      </c>
      <c r="G30" s="187">
        <v>1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0</v>
      </c>
      <c r="N30" s="187">
        <v>0</v>
      </c>
      <c r="O30" s="187">
        <v>0</v>
      </c>
      <c r="P30" s="340"/>
      <c r="Q30" s="302"/>
    </row>
    <row r="31" spans="1:21" s="301" customFormat="1" ht="36.75" customHeight="1" x14ac:dyDescent="0.25">
      <c r="A31" s="345" t="s">
        <v>27</v>
      </c>
      <c r="B31" s="367" t="s">
        <v>127</v>
      </c>
      <c r="C31" s="347" t="s">
        <v>86</v>
      </c>
      <c r="D31" s="303" t="s">
        <v>40</v>
      </c>
      <c r="E31" s="260">
        <v>750</v>
      </c>
      <c r="F31" s="260">
        <f t="shared" ref="F31:F34" si="11">SUM(G31:O31)</f>
        <v>0</v>
      </c>
      <c r="G31" s="260">
        <v>0</v>
      </c>
      <c r="H31" s="260">
        <v>0</v>
      </c>
      <c r="I31" s="336">
        <v>0</v>
      </c>
      <c r="J31" s="336"/>
      <c r="K31" s="336"/>
      <c r="L31" s="336"/>
      <c r="M31" s="336"/>
      <c r="N31" s="260">
        <v>0</v>
      </c>
      <c r="O31" s="260">
        <v>0</v>
      </c>
      <c r="P31" s="431" t="s">
        <v>205</v>
      </c>
    </row>
    <row r="32" spans="1:21" s="301" customFormat="1" ht="34.5" x14ac:dyDescent="0.25">
      <c r="A32" s="345"/>
      <c r="B32" s="367"/>
      <c r="C32" s="347"/>
      <c r="D32" s="303" t="s">
        <v>1</v>
      </c>
      <c r="E32" s="260"/>
      <c r="F32" s="260">
        <f t="shared" si="11"/>
        <v>0</v>
      </c>
      <c r="G32" s="260">
        <v>0</v>
      </c>
      <c r="H32" s="260">
        <v>0</v>
      </c>
      <c r="I32" s="336">
        <v>0</v>
      </c>
      <c r="J32" s="336"/>
      <c r="K32" s="336"/>
      <c r="L32" s="336"/>
      <c r="M32" s="336"/>
      <c r="N32" s="260">
        <v>0</v>
      </c>
      <c r="O32" s="260">
        <v>0</v>
      </c>
      <c r="P32" s="431"/>
    </row>
    <row r="33" spans="1:17" s="301" customFormat="1" ht="50.25" customHeight="1" x14ac:dyDescent="0.25">
      <c r="A33" s="345"/>
      <c r="B33" s="367"/>
      <c r="C33" s="347"/>
      <c r="D33" s="303" t="s">
        <v>48</v>
      </c>
      <c r="E33" s="260">
        <v>7541.03</v>
      </c>
      <c r="F33" s="260">
        <f t="shared" si="11"/>
        <v>1541595.23804</v>
      </c>
      <c r="G33" s="260">
        <v>286365.54175999999</v>
      </c>
      <c r="H33" s="260">
        <v>288191.69627999997</v>
      </c>
      <c r="I33" s="336">
        <v>322346</v>
      </c>
      <c r="J33" s="336"/>
      <c r="K33" s="336"/>
      <c r="L33" s="336"/>
      <c r="M33" s="336"/>
      <c r="N33" s="260">
        <v>322346</v>
      </c>
      <c r="O33" s="260">
        <v>322346</v>
      </c>
      <c r="P33" s="431"/>
    </row>
    <row r="34" spans="1:17" s="301" customFormat="1" ht="33" customHeight="1" x14ac:dyDescent="0.25">
      <c r="A34" s="345"/>
      <c r="B34" s="367"/>
      <c r="C34" s="347"/>
      <c r="D34" s="303" t="s">
        <v>87</v>
      </c>
      <c r="E34" s="260"/>
      <c r="F34" s="260">
        <f t="shared" si="11"/>
        <v>0</v>
      </c>
      <c r="G34" s="260">
        <v>0</v>
      </c>
      <c r="H34" s="260">
        <v>0</v>
      </c>
      <c r="I34" s="336">
        <v>0</v>
      </c>
      <c r="J34" s="336"/>
      <c r="K34" s="336"/>
      <c r="L34" s="336"/>
      <c r="M34" s="336"/>
      <c r="N34" s="260">
        <v>0</v>
      </c>
      <c r="O34" s="260">
        <v>0</v>
      </c>
      <c r="P34" s="431"/>
    </row>
    <row r="35" spans="1:17" s="301" customFormat="1" ht="26.25" customHeight="1" x14ac:dyDescent="0.25">
      <c r="A35" s="345"/>
      <c r="B35" s="349" t="s">
        <v>180</v>
      </c>
      <c r="C35" s="344" t="s">
        <v>116</v>
      </c>
      <c r="D35" s="359" t="s">
        <v>116</v>
      </c>
      <c r="E35" s="263"/>
      <c r="F35" s="337" t="s">
        <v>117</v>
      </c>
      <c r="G35" s="261" t="s">
        <v>247</v>
      </c>
      <c r="H35" s="261" t="s">
        <v>248</v>
      </c>
      <c r="I35" s="354" t="s">
        <v>123</v>
      </c>
      <c r="J35" s="339" t="s">
        <v>118</v>
      </c>
      <c r="K35" s="339"/>
      <c r="L35" s="339"/>
      <c r="M35" s="339"/>
      <c r="N35" s="261" t="s">
        <v>124</v>
      </c>
      <c r="O35" s="261" t="s">
        <v>125</v>
      </c>
      <c r="P35" s="340" t="s">
        <v>116</v>
      </c>
      <c r="Q35" s="302"/>
    </row>
    <row r="36" spans="1:17" s="301" customFormat="1" ht="17.25" customHeight="1" x14ac:dyDescent="0.25">
      <c r="A36" s="345"/>
      <c r="B36" s="349"/>
      <c r="C36" s="344"/>
      <c r="D36" s="359"/>
      <c r="E36" s="263"/>
      <c r="F36" s="337"/>
      <c r="G36" s="263"/>
      <c r="H36" s="263"/>
      <c r="I36" s="354"/>
      <c r="J36" s="263" t="s">
        <v>119</v>
      </c>
      <c r="K36" s="263" t="s">
        <v>120</v>
      </c>
      <c r="L36" s="263" t="s">
        <v>121</v>
      </c>
      <c r="M36" s="263" t="s">
        <v>122</v>
      </c>
      <c r="N36" s="263"/>
      <c r="O36" s="263"/>
      <c r="P36" s="340"/>
      <c r="Q36" s="302"/>
    </row>
    <row r="37" spans="1:17" s="301" customFormat="1" ht="30" customHeight="1" x14ac:dyDescent="0.25">
      <c r="A37" s="345"/>
      <c r="B37" s="349"/>
      <c r="C37" s="344"/>
      <c r="D37" s="359"/>
      <c r="E37" s="263"/>
      <c r="F37" s="189">
        <v>100</v>
      </c>
      <c r="G37" s="187">
        <v>100</v>
      </c>
      <c r="H37" s="187">
        <v>100</v>
      </c>
      <c r="I37" s="187">
        <v>100</v>
      </c>
      <c r="J37" s="187">
        <v>100</v>
      </c>
      <c r="K37" s="187">
        <v>100</v>
      </c>
      <c r="L37" s="187">
        <v>100</v>
      </c>
      <c r="M37" s="187">
        <v>100</v>
      </c>
      <c r="N37" s="187">
        <v>100</v>
      </c>
      <c r="O37" s="187">
        <v>100</v>
      </c>
      <c r="P37" s="340"/>
      <c r="Q37" s="302"/>
    </row>
    <row r="38" spans="1:17" s="301" customFormat="1" ht="36.75" customHeight="1" x14ac:dyDescent="0.25">
      <c r="A38" s="345" t="s">
        <v>28</v>
      </c>
      <c r="B38" s="367" t="s">
        <v>197</v>
      </c>
      <c r="C38" s="347" t="s">
        <v>45</v>
      </c>
      <c r="D38" s="303" t="s">
        <v>40</v>
      </c>
      <c r="E38" s="260">
        <v>750</v>
      </c>
      <c r="F38" s="260">
        <f>SUM(G38:O38)</f>
        <v>0</v>
      </c>
      <c r="G38" s="260">
        <v>0</v>
      </c>
      <c r="H38" s="260">
        <v>0</v>
      </c>
      <c r="I38" s="336">
        <v>0</v>
      </c>
      <c r="J38" s="336"/>
      <c r="K38" s="336"/>
      <c r="L38" s="336"/>
      <c r="M38" s="336"/>
      <c r="N38" s="260">
        <v>0</v>
      </c>
      <c r="O38" s="260">
        <v>0</v>
      </c>
      <c r="P38" s="431" t="s">
        <v>3</v>
      </c>
    </row>
    <row r="39" spans="1:17" s="301" customFormat="1" ht="34.5" x14ac:dyDescent="0.25">
      <c r="A39" s="345"/>
      <c r="B39" s="367"/>
      <c r="C39" s="347"/>
      <c r="D39" s="303" t="s">
        <v>1</v>
      </c>
      <c r="E39" s="260"/>
      <c r="F39" s="260">
        <f>SUM(G39:O39)</f>
        <v>0</v>
      </c>
      <c r="G39" s="260">
        <v>0</v>
      </c>
      <c r="H39" s="260">
        <v>0</v>
      </c>
      <c r="I39" s="336">
        <v>0</v>
      </c>
      <c r="J39" s="336"/>
      <c r="K39" s="336"/>
      <c r="L39" s="336"/>
      <c r="M39" s="336"/>
      <c r="N39" s="260">
        <v>0</v>
      </c>
      <c r="O39" s="260">
        <v>0</v>
      </c>
      <c r="P39" s="431"/>
    </row>
    <row r="40" spans="1:17" s="301" customFormat="1" ht="55.5" customHeight="1" x14ac:dyDescent="0.25">
      <c r="A40" s="345"/>
      <c r="B40" s="367"/>
      <c r="C40" s="347"/>
      <c r="D40" s="303" t="s">
        <v>48</v>
      </c>
      <c r="E40" s="260">
        <v>7541.03</v>
      </c>
      <c r="F40" s="260">
        <f>SUM(G40:O40)</f>
        <v>8170.7688399999997</v>
      </c>
      <c r="G40" s="260">
        <v>8170.7688399999997</v>
      </c>
      <c r="H40" s="260">
        <v>0</v>
      </c>
      <c r="I40" s="336">
        <v>0</v>
      </c>
      <c r="J40" s="336"/>
      <c r="K40" s="336"/>
      <c r="L40" s="336"/>
      <c r="M40" s="336"/>
      <c r="N40" s="260">
        <v>0</v>
      </c>
      <c r="O40" s="260">
        <v>0</v>
      </c>
      <c r="P40" s="431"/>
    </row>
    <row r="41" spans="1:17" s="301" customFormat="1" ht="43.5" customHeight="1" x14ac:dyDescent="0.25">
      <c r="A41" s="345"/>
      <c r="B41" s="367"/>
      <c r="C41" s="347"/>
      <c r="D41" s="303" t="s">
        <v>87</v>
      </c>
      <c r="E41" s="260"/>
      <c r="F41" s="260">
        <f>SUM(G41:O41)</f>
        <v>0</v>
      </c>
      <c r="G41" s="260">
        <v>0</v>
      </c>
      <c r="H41" s="260">
        <v>0</v>
      </c>
      <c r="I41" s="336">
        <v>0</v>
      </c>
      <c r="J41" s="336"/>
      <c r="K41" s="336"/>
      <c r="L41" s="336"/>
      <c r="M41" s="336"/>
      <c r="N41" s="260">
        <v>0</v>
      </c>
      <c r="O41" s="260">
        <v>0</v>
      </c>
      <c r="P41" s="431"/>
    </row>
    <row r="42" spans="1:17" s="301" customFormat="1" ht="31.5" customHeight="1" x14ac:dyDescent="0.25">
      <c r="A42" s="345"/>
      <c r="B42" s="349" t="s">
        <v>199</v>
      </c>
      <c r="C42" s="344" t="s">
        <v>116</v>
      </c>
      <c r="D42" s="359" t="s">
        <v>116</v>
      </c>
      <c r="E42" s="263"/>
      <c r="F42" s="337" t="s">
        <v>117</v>
      </c>
      <c r="G42" s="261" t="s">
        <v>247</v>
      </c>
      <c r="H42" s="261" t="s">
        <v>248</v>
      </c>
      <c r="I42" s="354" t="s">
        <v>123</v>
      </c>
      <c r="J42" s="339" t="s">
        <v>118</v>
      </c>
      <c r="K42" s="339"/>
      <c r="L42" s="339"/>
      <c r="M42" s="339"/>
      <c r="N42" s="261" t="s">
        <v>124</v>
      </c>
      <c r="O42" s="261" t="s">
        <v>125</v>
      </c>
      <c r="P42" s="340" t="s">
        <v>116</v>
      </c>
      <c r="Q42" s="302"/>
    </row>
    <row r="43" spans="1:17" s="301" customFormat="1" ht="27" customHeight="1" x14ac:dyDescent="0.25">
      <c r="A43" s="345"/>
      <c r="B43" s="349"/>
      <c r="C43" s="344"/>
      <c r="D43" s="359"/>
      <c r="E43" s="263"/>
      <c r="F43" s="337"/>
      <c r="G43" s="263"/>
      <c r="H43" s="263"/>
      <c r="I43" s="354"/>
      <c r="J43" s="263" t="s">
        <v>119</v>
      </c>
      <c r="K43" s="263" t="s">
        <v>120</v>
      </c>
      <c r="L43" s="263" t="s">
        <v>121</v>
      </c>
      <c r="M43" s="263" t="s">
        <v>122</v>
      </c>
      <c r="N43" s="263"/>
      <c r="O43" s="263"/>
      <c r="P43" s="340"/>
      <c r="Q43" s="302"/>
    </row>
    <row r="44" spans="1:17" s="301" customFormat="1" ht="54" customHeight="1" x14ac:dyDescent="0.25">
      <c r="A44" s="345"/>
      <c r="B44" s="349"/>
      <c r="C44" s="344"/>
      <c r="D44" s="359"/>
      <c r="E44" s="263"/>
      <c r="F44" s="189">
        <f>I44+H44+G44+N44+O44</f>
        <v>5</v>
      </c>
      <c r="G44" s="187">
        <v>5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0</v>
      </c>
      <c r="N44" s="187">
        <v>0</v>
      </c>
      <c r="O44" s="187">
        <v>0</v>
      </c>
      <c r="P44" s="340"/>
      <c r="Q44" s="302"/>
    </row>
    <row r="45" spans="1:17" s="301" customFormat="1" ht="78" customHeight="1" x14ac:dyDescent="0.25">
      <c r="A45" s="429" t="s">
        <v>29</v>
      </c>
      <c r="B45" s="369" t="s">
        <v>128</v>
      </c>
      <c r="C45" s="347" t="s">
        <v>86</v>
      </c>
      <c r="D45" s="303" t="s">
        <v>40</v>
      </c>
      <c r="E45" s="260">
        <v>2978099</v>
      </c>
      <c r="F45" s="260">
        <f t="shared" ref="F45:F48" si="12">SUM(G45:O45)</f>
        <v>393751</v>
      </c>
      <c r="G45" s="260">
        <v>155511</v>
      </c>
      <c r="H45" s="260">
        <v>238240</v>
      </c>
      <c r="I45" s="336">
        <v>0</v>
      </c>
      <c r="J45" s="336"/>
      <c r="K45" s="336"/>
      <c r="L45" s="336"/>
      <c r="M45" s="336"/>
      <c r="N45" s="260">
        <v>0</v>
      </c>
      <c r="O45" s="260">
        <v>0</v>
      </c>
      <c r="P45" s="431" t="s">
        <v>3</v>
      </c>
    </row>
    <row r="46" spans="1:17" s="301" customFormat="1" ht="75" customHeight="1" x14ac:dyDescent="0.25">
      <c r="A46" s="429"/>
      <c r="B46" s="369"/>
      <c r="C46" s="347"/>
      <c r="D46" s="303" t="s">
        <v>1</v>
      </c>
      <c r="E46" s="260"/>
      <c r="F46" s="260">
        <f t="shared" si="12"/>
        <v>34191053.900820002</v>
      </c>
      <c r="G46" s="260">
        <v>6267494.4489599997</v>
      </c>
      <c r="H46" s="260">
        <v>6748050.6499100002</v>
      </c>
      <c r="I46" s="368">
        <f>7058303+599.80195</f>
        <v>7058902.8019500002</v>
      </c>
      <c r="J46" s="368"/>
      <c r="K46" s="368"/>
      <c r="L46" s="368"/>
      <c r="M46" s="368"/>
      <c r="N46" s="260">
        <v>7058303</v>
      </c>
      <c r="O46" s="260">
        <v>7058303</v>
      </c>
      <c r="P46" s="431"/>
    </row>
    <row r="47" spans="1:17" s="301" customFormat="1" ht="71.25" customHeight="1" x14ac:dyDescent="0.25">
      <c r="A47" s="429"/>
      <c r="B47" s="369"/>
      <c r="C47" s="347"/>
      <c r="D47" s="303" t="s">
        <v>48</v>
      </c>
      <c r="E47" s="260"/>
      <c r="F47" s="260">
        <f t="shared" si="12"/>
        <v>0</v>
      </c>
      <c r="G47" s="260">
        <v>0</v>
      </c>
      <c r="H47" s="260">
        <v>0</v>
      </c>
      <c r="I47" s="336">
        <v>0</v>
      </c>
      <c r="J47" s="336"/>
      <c r="K47" s="336"/>
      <c r="L47" s="336"/>
      <c r="M47" s="336"/>
      <c r="N47" s="260">
        <v>0</v>
      </c>
      <c r="O47" s="260">
        <v>0</v>
      </c>
      <c r="P47" s="431"/>
    </row>
    <row r="48" spans="1:17" s="301" customFormat="1" ht="69" customHeight="1" x14ac:dyDescent="0.25">
      <c r="A48" s="429"/>
      <c r="B48" s="369"/>
      <c r="C48" s="347"/>
      <c r="D48" s="303" t="s">
        <v>87</v>
      </c>
      <c r="E48" s="260"/>
      <c r="F48" s="260">
        <f t="shared" si="12"/>
        <v>0</v>
      </c>
      <c r="G48" s="260">
        <v>0</v>
      </c>
      <c r="H48" s="260">
        <v>0</v>
      </c>
      <c r="I48" s="336">
        <v>0</v>
      </c>
      <c r="J48" s="336"/>
      <c r="K48" s="336"/>
      <c r="L48" s="336"/>
      <c r="M48" s="336"/>
      <c r="N48" s="260">
        <v>0</v>
      </c>
      <c r="O48" s="260">
        <v>0</v>
      </c>
      <c r="P48" s="431"/>
    </row>
    <row r="49" spans="1:17" s="301" customFormat="1" ht="34.5" customHeight="1" x14ac:dyDescent="0.25">
      <c r="A49" s="429"/>
      <c r="B49" s="349" t="s">
        <v>150</v>
      </c>
      <c r="C49" s="344" t="s">
        <v>116</v>
      </c>
      <c r="D49" s="359" t="s">
        <v>116</v>
      </c>
      <c r="E49" s="263"/>
      <c r="F49" s="337" t="s">
        <v>117</v>
      </c>
      <c r="G49" s="261" t="s">
        <v>247</v>
      </c>
      <c r="H49" s="261" t="s">
        <v>248</v>
      </c>
      <c r="I49" s="354" t="s">
        <v>123</v>
      </c>
      <c r="J49" s="339" t="s">
        <v>118</v>
      </c>
      <c r="K49" s="339"/>
      <c r="L49" s="339"/>
      <c r="M49" s="339"/>
      <c r="N49" s="261" t="s">
        <v>124</v>
      </c>
      <c r="O49" s="261" t="s">
        <v>125</v>
      </c>
      <c r="P49" s="340" t="s">
        <v>116</v>
      </c>
      <c r="Q49" s="302"/>
    </row>
    <row r="50" spans="1:17" s="301" customFormat="1" ht="28.5" customHeight="1" x14ac:dyDescent="0.25">
      <c r="A50" s="429"/>
      <c r="B50" s="349"/>
      <c r="C50" s="344"/>
      <c r="D50" s="359"/>
      <c r="E50" s="263"/>
      <c r="F50" s="337"/>
      <c r="G50" s="263"/>
      <c r="H50" s="263"/>
      <c r="I50" s="354"/>
      <c r="J50" s="263" t="s">
        <v>119</v>
      </c>
      <c r="K50" s="263" t="s">
        <v>120</v>
      </c>
      <c r="L50" s="263" t="s">
        <v>121</v>
      </c>
      <c r="M50" s="263" t="s">
        <v>122</v>
      </c>
      <c r="N50" s="263"/>
      <c r="O50" s="263"/>
      <c r="P50" s="340"/>
      <c r="Q50" s="302"/>
    </row>
    <row r="51" spans="1:17" s="301" customFormat="1" ht="86.25" customHeight="1" x14ac:dyDescent="0.25">
      <c r="A51" s="429"/>
      <c r="B51" s="349"/>
      <c r="C51" s="344"/>
      <c r="D51" s="359"/>
      <c r="E51" s="263"/>
      <c r="F51" s="189">
        <v>100</v>
      </c>
      <c r="G51" s="187">
        <v>100</v>
      </c>
      <c r="H51" s="187">
        <v>100</v>
      </c>
      <c r="I51" s="187">
        <v>100</v>
      </c>
      <c r="J51" s="187">
        <v>100</v>
      </c>
      <c r="K51" s="187">
        <v>100</v>
      </c>
      <c r="L51" s="187">
        <v>100</v>
      </c>
      <c r="M51" s="187">
        <v>100</v>
      </c>
      <c r="N51" s="187">
        <v>100</v>
      </c>
      <c r="O51" s="187">
        <v>100</v>
      </c>
      <c r="P51" s="340"/>
      <c r="Q51" s="302"/>
    </row>
    <row r="52" spans="1:17" s="301" customFormat="1" ht="46.5" customHeight="1" x14ac:dyDescent="0.25">
      <c r="A52" s="345" t="s">
        <v>56</v>
      </c>
      <c r="B52" s="430" t="s">
        <v>242</v>
      </c>
      <c r="C52" s="347" t="s">
        <v>86</v>
      </c>
      <c r="D52" s="303" t="s">
        <v>40</v>
      </c>
      <c r="E52" s="260"/>
      <c r="F52" s="260">
        <f t="shared" ref="F52:F55" si="13">SUM(G52:O52)</f>
        <v>0</v>
      </c>
      <c r="G52" s="260">
        <v>0</v>
      </c>
      <c r="H52" s="260">
        <v>0</v>
      </c>
      <c r="I52" s="336">
        <v>0</v>
      </c>
      <c r="J52" s="336"/>
      <c r="K52" s="336"/>
      <c r="L52" s="336"/>
      <c r="M52" s="336"/>
      <c r="N52" s="260">
        <v>0</v>
      </c>
      <c r="O52" s="260">
        <v>0</v>
      </c>
      <c r="P52" s="431" t="s">
        <v>3</v>
      </c>
    </row>
    <row r="53" spans="1:17" s="301" customFormat="1" ht="57" customHeight="1" x14ac:dyDescent="0.25">
      <c r="A53" s="345"/>
      <c r="B53" s="430"/>
      <c r="C53" s="347"/>
      <c r="D53" s="303" t="s">
        <v>1</v>
      </c>
      <c r="E53" s="260">
        <v>264347</v>
      </c>
      <c r="F53" s="260">
        <f t="shared" si="13"/>
        <v>2540338</v>
      </c>
      <c r="G53" s="260">
        <v>456194</v>
      </c>
      <c r="H53" s="260">
        <v>485312</v>
      </c>
      <c r="I53" s="336">
        <v>532944</v>
      </c>
      <c r="J53" s="336"/>
      <c r="K53" s="336"/>
      <c r="L53" s="336"/>
      <c r="M53" s="336"/>
      <c r="N53" s="260">
        <v>532944</v>
      </c>
      <c r="O53" s="260">
        <v>532944</v>
      </c>
      <c r="P53" s="431"/>
    </row>
    <row r="54" spans="1:17" s="301" customFormat="1" ht="66.75" customHeight="1" x14ac:dyDescent="0.25">
      <c r="A54" s="345"/>
      <c r="B54" s="430"/>
      <c r="C54" s="347"/>
      <c r="D54" s="303" t="s">
        <v>48</v>
      </c>
      <c r="E54" s="260"/>
      <c r="F54" s="260">
        <f t="shared" si="13"/>
        <v>0</v>
      </c>
      <c r="G54" s="260">
        <v>0</v>
      </c>
      <c r="H54" s="260">
        <v>0</v>
      </c>
      <c r="I54" s="336">
        <v>0</v>
      </c>
      <c r="J54" s="336"/>
      <c r="K54" s="336"/>
      <c r="L54" s="336"/>
      <c r="M54" s="336"/>
      <c r="N54" s="260">
        <v>0</v>
      </c>
      <c r="O54" s="260">
        <v>0</v>
      </c>
      <c r="P54" s="431"/>
    </row>
    <row r="55" spans="1:17" s="301" customFormat="1" ht="69" customHeight="1" x14ac:dyDescent="0.25">
      <c r="A55" s="345"/>
      <c r="B55" s="430"/>
      <c r="C55" s="347"/>
      <c r="D55" s="303" t="s">
        <v>87</v>
      </c>
      <c r="E55" s="260"/>
      <c r="F55" s="260">
        <f t="shared" si="13"/>
        <v>0</v>
      </c>
      <c r="G55" s="260">
        <v>0</v>
      </c>
      <c r="H55" s="260">
        <v>0</v>
      </c>
      <c r="I55" s="336">
        <v>0</v>
      </c>
      <c r="J55" s="336"/>
      <c r="K55" s="336"/>
      <c r="L55" s="336"/>
      <c r="M55" s="336"/>
      <c r="N55" s="260">
        <v>0</v>
      </c>
      <c r="O55" s="260">
        <v>0</v>
      </c>
      <c r="P55" s="431"/>
    </row>
    <row r="56" spans="1:17" s="301" customFormat="1" ht="30.75" customHeight="1" x14ac:dyDescent="0.25">
      <c r="A56" s="345"/>
      <c r="B56" s="426" t="s">
        <v>151</v>
      </c>
      <c r="C56" s="344" t="s">
        <v>116</v>
      </c>
      <c r="D56" s="359" t="s">
        <v>116</v>
      </c>
      <c r="E56" s="263"/>
      <c r="F56" s="337" t="s">
        <v>117</v>
      </c>
      <c r="G56" s="261" t="s">
        <v>247</v>
      </c>
      <c r="H56" s="261" t="s">
        <v>248</v>
      </c>
      <c r="I56" s="354" t="s">
        <v>123</v>
      </c>
      <c r="J56" s="339" t="s">
        <v>118</v>
      </c>
      <c r="K56" s="339"/>
      <c r="L56" s="339"/>
      <c r="M56" s="339"/>
      <c r="N56" s="261" t="s">
        <v>124</v>
      </c>
      <c r="O56" s="261" t="s">
        <v>125</v>
      </c>
      <c r="P56" s="340" t="s">
        <v>116</v>
      </c>
      <c r="Q56" s="302"/>
    </row>
    <row r="57" spans="1:17" s="301" customFormat="1" ht="30.75" customHeight="1" x14ac:dyDescent="0.25">
      <c r="A57" s="345"/>
      <c r="B57" s="426"/>
      <c r="C57" s="344"/>
      <c r="D57" s="359"/>
      <c r="E57" s="263"/>
      <c r="F57" s="337"/>
      <c r="G57" s="263"/>
      <c r="H57" s="263"/>
      <c r="I57" s="354"/>
      <c r="J57" s="263" t="s">
        <v>119</v>
      </c>
      <c r="K57" s="263" t="s">
        <v>120</v>
      </c>
      <c r="L57" s="263" t="s">
        <v>121</v>
      </c>
      <c r="M57" s="263" t="s">
        <v>122</v>
      </c>
      <c r="N57" s="263"/>
      <c r="O57" s="263"/>
      <c r="P57" s="340"/>
      <c r="Q57" s="302"/>
    </row>
    <row r="58" spans="1:17" s="301" customFormat="1" ht="60.75" customHeight="1" x14ac:dyDescent="0.25">
      <c r="A58" s="345"/>
      <c r="B58" s="426"/>
      <c r="C58" s="344"/>
      <c r="D58" s="359"/>
      <c r="E58" s="263"/>
      <c r="F58" s="189">
        <v>100</v>
      </c>
      <c r="G58" s="189">
        <v>100</v>
      </c>
      <c r="H58" s="189">
        <v>100</v>
      </c>
      <c r="I58" s="189">
        <v>100</v>
      </c>
      <c r="J58" s="189">
        <v>100</v>
      </c>
      <c r="K58" s="189">
        <v>100</v>
      </c>
      <c r="L58" s="189">
        <v>100</v>
      </c>
      <c r="M58" s="189">
        <v>100</v>
      </c>
      <c r="N58" s="189">
        <v>100</v>
      </c>
      <c r="O58" s="189">
        <v>100</v>
      </c>
      <c r="P58" s="340"/>
      <c r="Q58" s="302"/>
    </row>
    <row r="59" spans="1:17" s="301" customFormat="1" ht="47.25" customHeight="1" x14ac:dyDescent="0.25">
      <c r="A59" s="342" t="s">
        <v>69</v>
      </c>
      <c r="B59" s="365" t="s">
        <v>129</v>
      </c>
      <c r="C59" s="361" t="s">
        <v>86</v>
      </c>
      <c r="D59" s="303" t="s">
        <v>40</v>
      </c>
      <c r="E59" s="260"/>
      <c r="F59" s="260">
        <f t="shared" ref="F59:F62" si="14">SUM(G59:O59)</f>
        <v>0</v>
      </c>
      <c r="G59" s="260">
        <v>0</v>
      </c>
      <c r="H59" s="260">
        <v>0</v>
      </c>
      <c r="I59" s="336">
        <v>0</v>
      </c>
      <c r="J59" s="336"/>
      <c r="K59" s="336"/>
      <c r="L59" s="336"/>
      <c r="M59" s="336"/>
      <c r="N59" s="260">
        <v>0</v>
      </c>
      <c r="O59" s="260">
        <v>0</v>
      </c>
      <c r="P59" s="435" t="s">
        <v>114</v>
      </c>
    </row>
    <row r="60" spans="1:17" s="301" customFormat="1" ht="48" customHeight="1" x14ac:dyDescent="0.25">
      <c r="A60" s="342"/>
      <c r="B60" s="365"/>
      <c r="C60" s="361"/>
      <c r="D60" s="304" t="s">
        <v>1</v>
      </c>
      <c r="E60" s="264">
        <v>125047</v>
      </c>
      <c r="F60" s="260">
        <f t="shared" si="14"/>
        <v>458892</v>
      </c>
      <c r="G60" s="264">
        <v>112914</v>
      </c>
      <c r="H60" s="264">
        <v>92586</v>
      </c>
      <c r="I60" s="370">
        <v>84464</v>
      </c>
      <c r="J60" s="370"/>
      <c r="K60" s="370"/>
      <c r="L60" s="370"/>
      <c r="M60" s="370"/>
      <c r="N60" s="264">
        <v>84464</v>
      </c>
      <c r="O60" s="264">
        <v>84464</v>
      </c>
      <c r="P60" s="435"/>
    </row>
    <row r="61" spans="1:17" s="301" customFormat="1" ht="42.75" customHeight="1" x14ac:dyDescent="0.25">
      <c r="A61" s="342"/>
      <c r="B61" s="365"/>
      <c r="C61" s="361"/>
      <c r="D61" s="304" t="s">
        <v>48</v>
      </c>
      <c r="E61" s="264"/>
      <c r="F61" s="260">
        <f t="shared" si="14"/>
        <v>0</v>
      </c>
      <c r="G61" s="264">
        <v>0</v>
      </c>
      <c r="H61" s="264">
        <v>0</v>
      </c>
      <c r="I61" s="370">
        <v>0</v>
      </c>
      <c r="J61" s="370"/>
      <c r="K61" s="370"/>
      <c r="L61" s="370"/>
      <c r="M61" s="370"/>
      <c r="N61" s="264">
        <v>0</v>
      </c>
      <c r="O61" s="264">
        <v>0</v>
      </c>
      <c r="P61" s="435"/>
    </row>
    <row r="62" spans="1:17" s="301" customFormat="1" ht="39" customHeight="1" x14ac:dyDescent="0.25">
      <c r="A62" s="342"/>
      <c r="B62" s="365"/>
      <c r="C62" s="361"/>
      <c r="D62" s="304" t="s">
        <v>87</v>
      </c>
      <c r="E62" s="264"/>
      <c r="F62" s="260">
        <f t="shared" si="14"/>
        <v>0</v>
      </c>
      <c r="G62" s="264">
        <v>0</v>
      </c>
      <c r="H62" s="264">
        <v>0</v>
      </c>
      <c r="I62" s="370">
        <v>0</v>
      </c>
      <c r="J62" s="370"/>
      <c r="K62" s="370"/>
      <c r="L62" s="370"/>
      <c r="M62" s="370"/>
      <c r="N62" s="264">
        <v>0</v>
      </c>
      <c r="O62" s="264">
        <v>0</v>
      </c>
      <c r="P62" s="435"/>
    </row>
    <row r="63" spans="1:17" s="301" customFormat="1" ht="27" customHeight="1" x14ac:dyDescent="0.25">
      <c r="A63" s="342"/>
      <c r="B63" s="349" t="s">
        <v>152</v>
      </c>
      <c r="C63" s="344" t="s">
        <v>116</v>
      </c>
      <c r="D63" s="359" t="s">
        <v>116</v>
      </c>
      <c r="E63" s="263"/>
      <c r="F63" s="337" t="s">
        <v>117</v>
      </c>
      <c r="G63" s="261" t="s">
        <v>247</v>
      </c>
      <c r="H63" s="261" t="s">
        <v>248</v>
      </c>
      <c r="I63" s="354" t="s">
        <v>123</v>
      </c>
      <c r="J63" s="339" t="s">
        <v>118</v>
      </c>
      <c r="K63" s="339"/>
      <c r="L63" s="339"/>
      <c r="M63" s="339"/>
      <c r="N63" s="261" t="s">
        <v>124</v>
      </c>
      <c r="O63" s="261" t="s">
        <v>125</v>
      </c>
      <c r="P63" s="340" t="s">
        <v>116</v>
      </c>
      <c r="Q63" s="302"/>
    </row>
    <row r="64" spans="1:17" s="301" customFormat="1" ht="21" customHeight="1" x14ac:dyDescent="0.25">
      <c r="A64" s="342"/>
      <c r="B64" s="349"/>
      <c r="C64" s="344"/>
      <c r="D64" s="359"/>
      <c r="E64" s="263"/>
      <c r="F64" s="337"/>
      <c r="G64" s="263"/>
      <c r="H64" s="263"/>
      <c r="I64" s="354"/>
      <c r="J64" s="263" t="s">
        <v>119</v>
      </c>
      <c r="K64" s="263" t="s">
        <v>120</v>
      </c>
      <c r="L64" s="263" t="s">
        <v>121</v>
      </c>
      <c r="M64" s="263" t="s">
        <v>122</v>
      </c>
      <c r="N64" s="263"/>
      <c r="O64" s="263"/>
      <c r="P64" s="340"/>
      <c r="Q64" s="302"/>
    </row>
    <row r="65" spans="1:17" s="301" customFormat="1" ht="25.5" customHeight="1" x14ac:dyDescent="0.25">
      <c r="A65" s="342"/>
      <c r="B65" s="349"/>
      <c r="C65" s="344"/>
      <c r="D65" s="359"/>
      <c r="E65" s="263"/>
      <c r="F65" s="189">
        <v>100</v>
      </c>
      <c r="G65" s="189">
        <v>100</v>
      </c>
      <c r="H65" s="189">
        <v>100</v>
      </c>
      <c r="I65" s="189">
        <v>100</v>
      </c>
      <c r="J65" s="189">
        <v>100</v>
      </c>
      <c r="K65" s="189">
        <v>100</v>
      </c>
      <c r="L65" s="189">
        <v>100</v>
      </c>
      <c r="M65" s="189">
        <v>100</v>
      </c>
      <c r="N65" s="189">
        <v>100</v>
      </c>
      <c r="O65" s="189">
        <v>100</v>
      </c>
      <c r="P65" s="340"/>
      <c r="Q65" s="302"/>
    </row>
    <row r="66" spans="1:17" s="301" customFormat="1" ht="39" customHeight="1" x14ac:dyDescent="0.25">
      <c r="A66" s="345" t="s">
        <v>70</v>
      </c>
      <c r="B66" s="428" t="s">
        <v>274</v>
      </c>
      <c r="C66" s="347" t="s">
        <v>207</v>
      </c>
      <c r="D66" s="303" t="s">
        <v>40</v>
      </c>
      <c r="E66" s="260"/>
      <c r="F66" s="260">
        <f t="shared" ref="F66:F69" si="15">SUM(G66:O66)</f>
        <v>0</v>
      </c>
      <c r="G66" s="260">
        <v>0</v>
      </c>
      <c r="H66" s="260">
        <v>0</v>
      </c>
      <c r="I66" s="336">
        <v>0</v>
      </c>
      <c r="J66" s="336"/>
      <c r="K66" s="336"/>
      <c r="L66" s="336"/>
      <c r="M66" s="336"/>
      <c r="N66" s="260">
        <v>0</v>
      </c>
      <c r="O66" s="260">
        <v>0</v>
      </c>
      <c r="P66" s="431" t="s">
        <v>3</v>
      </c>
    </row>
    <row r="67" spans="1:17" s="301" customFormat="1" ht="34.5" x14ac:dyDescent="0.25">
      <c r="A67" s="345"/>
      <c r="B67" s="428"/>
      <c r="C67" s="347"/>
      <c r="D67" s="303" t="s">
        <v>1</v>
      </c>
      <c r="E67" s="260">
        <v>264347</v>
      </c>
      <c r="F67" s="260">
        <f t="shared" si="15"/>
        <v>80912</v>
      </c>
      <c r="G67" s="260">
        <v>0</v>
      </c>
      <c r="H67" s="260">
        <v>8150</v>
      </c>
      <c r="I67" s="336">
        <v>24254</v>
      </c>
      <c r="J67" s="336"/>
      <c r="K67" s="336"/>
      <c r="L67" s="336"/>
      <c r="M67" s="336"/>
      <c r="N67" s="260">
        <v>24254</v>
      </c>
      <c r="O67" s="260">
        <v>24254</v>
      </c>
      <c r="P67" s="431"/>
    </row>
    <row r="68" spans="1:17" s="301" customFormat="1" ht="51.75" x14ac:dyDescent="0.25">
      <c r="A68" s="345"/>
      <c r="B68" s="428"/>
      <c r="C68" s="347"/>
      <c r="D68" s="303" t="s">
        <v>48</v>
      </c>
      <c r="E68" s="260"/>
      <c r="F68" s="260">
        <f t="shared" si="15"/>
        <v>0</v>
      </c>
      <c r="G68" s="260">
        <v>0</v>
      </c>
      <c r="H68" s="260">
        <v>0</v>
      </c>
      <c r="I68" s="336">
        <v>0</v>
      </c>
      <c r="J68" s="336"/>
      <c r="K68" s="336"/>
      <c r="L68" s="336"/>
      <c r="M68" s="336"/>
      <c r="N68" s="260">
        <v>0</v>
      </c>
      <c r="O68" s="260">
        <v>0</v>
      </c>
      <c r="P68" s="431"/>
    </row>
    <row r="69" spans="1:17" s="301" customFormat="1" ht="40.5" customHeight="1" x14ac:dyDescent="0.25">
      <c r="A69" s="345"/>
      <c r="B69" s="428"/>
      <c r="C69" s="347"/>
      <c r="D69" s="303" t="s">
        <v>87</v>
      </c>
      <c r="E69" s="260"/>
      <c r="F69" s="260">
        <f t="shared" si="15"/>
        <v>0</v>
      </c>
      <c r="G69" s="260">
        <v>0</v>
      </c>
      <c r="H69" s="260">
        <v>0</v>
      </c>
      <c r="I69" s="336">
        <v>0</v>
      </c>
      <c r="J69" s="336"/>
      <c r="K69" s="336"/>
      <c r="L69" s="336"/>
      <c r="M69" s="336"/>
      <c r="N69" s="260">
        <v>0</v>
      </c>
      <c r="O69" s="260">
        <v>0</v>
      </c>
      <c r="P69" s="431"/>
    </row>
    <row r="70" spans="1:17" s="301" customFormat="1" ht="30" customHeight="1" x14ac:dyDescent="0.25">
      <c r="A70" s="345"/>
      <c r="B70" s="374" t="s">
        <v>250</v>
      </c>
      <c r="C70" s="344" t="s">
        <v>116</v>
      </c>
      <c r="D70" s="359" t="s">
        <v>116</v>
      </c>
      <c r="E70" s="263"/>
      <c r="F70" s="337" t="s">
        <v>117</v>
      </c>
      <c r="G70" s="261" t="s">
        <v>247</v>
      </c>
      <c r="H70" s="261" t="s">
        <v>248</v>
      </c>
      <c r="I70" s="354" t="s">
        <v>123</v>
      </c>
      <c r="J70" s="339" t="s">
        <v>118</v>
      </c>
      <c r="K70" s="339"/>
      <c r="L70" s="339"/>
      <c r="M70" s="339"/>
      <c r="N70" s="261" t="s">
        <v>124</v>
      </c>
      <c r="O70" s="261" t="s">
        <v>125</v>
      </c>
      <c r="P70" s="340" t="s">
        <v>116</v>
      </c>
      <c r="Q70" s="302"/>
    </row>
    <row r="71" spans="1:17" s="301" customFormat="1" ht="23.25" customHeight="1" x14ac:dyDescent="0.25">
      <c r="A71" s="345"/>
      <c r="B71" s="374"/>
      <c r="C71" s="344"/>
      <c r="D71" s="359"/>
      <c r="E71" s="263"/>
      <c r="F71" s="337"/>
      <c r="G71" s="263"/>
      <c r="H71" s="263"/>
      <c r="I71" s="354"/>
      <c r="J71" s="263" t="s">
        <v>119</v>
      </c>
      <c r="K71" s="263" t="s">
        <v>120</v>
      </c>
      <c r="L71" s="263" t="s">
        <v>121</v>
      </c>
      <c r="M71" s="263" t="s">
        <v>122</v>
      </c>
      <c r="N71" s="263"/>
      <c r="O71" s="263"/>
      <c r="P71" s="340"/>
      <c r="Q71" s="302"/>
    </row>
    <row r="72" spans="1:17" s="301" customFormat="1" ht="24" customHeight="1" x14ac:dyDescent="0.25">
      <c r="A72" s="345"/>
      <c r="B72" s="374"/>
      <c r="C72" s="344"/>
      <c r="D72" s="359"/>
      <c r="E72" s="263"/>
      <c r="F72" s="189">
        <v>100</v>
      </c>
      <c r="G72" s="189">
        <v>0</v>
      </c>
      <c r="H72" s="189">
        <v>0</v>
      </c>
      <c r="I72" s="189">
        <v>100</v>
      </c>
      <c r="J72" s="189">
        <v>100</v>
      </c>
      <c r="K72" s="189">
        <v>100</v>
      </c>
      <c r="L72" s="189">
        <v>100</v>
      </c>
      <c r="M72" s="189">
        <v>100</v>
      </c>
      <c r="N72" s="189">
        <v>100</v>
      </c>
      <c r="O72" s="189">
        <v>100</v>
      </c>
      <c r="P72" s="340"/>
      <c r="Q72" s="302"/>
    </row>
    <row r="73" spans="1:17" s="301" customFormat="1" ht="39" customHeight="1" x14ac:dyDescent="0.25">
      <c r="A73" s="345" t="s">
        <v>71</v>
      </c>
      <c r="B73" s="346" t="s">
        <v>262</v>
      </c>
      <c r="C73" s="347" t="s">
        <v>46</v>
      </c>
      <c r="D73" s="303" t="s">
        <v>40</v>
      </c>
      <c r="E73" s="260"/>
      <c r="F73" s="260">
        <f t="shared" ref="F73:F76" si="16">SUM(G73:O73)</f>
        <v>1015.56</v>
      </c>
      <c r="G73" s="260">
        <v>0</v>
      </c>
      <c r="H73" s="260">
        <v>1015.56</v>
      </c>
      <c r="I73" s="336">
        <v>0</v>
      </c>
      <c r="J73" s="336"/>
      <c r="K73" s="336"/>
      <c r="L73" s="336"/>
      <c r="M73" s="336"/>
      <c r="N73" s="260">
        <v>0</v>
      </c>
      <c r="O73" s="260">
        <v>0</v>
      </c>
      <c r="P73" s="431" t="s">
        <v>3</v>
      </c>
    </row>
    <row r="74" spans="1:17" s="301" customFormat="1" ht="34.5" x14ac:dyDescent="0.25">
      <c r="A74" s="345"/>
      <c r="B74" s="346"/>
      <c r="C74" s="347"/>
      <c r="D74" s="303" t="s">
        <v>1</v>
      </c>
      <c r="E74" s="260">
        <v>264347</v>
      </c>
      <c r="F74" s="260">
        <f t="shared" si="16"/>
        <v>0</v>
      </c>
      <c r="G74" s="260">
        <v>0</v>
      </c>
      <c r="H74" s="260">
        <v>0</v>
      </c>
      <c r="I74" s="336">
        <v>0</v>
      </c>
      <c r="J74" s="336"/>
      <c r="K74" s="336"/>
      <c r="L74" s="336"/>
      <c r="M74" s="336"/>
      <c r="N74" s="260">
        <v>0</v>
      </c>
      <c r="O74" s="260">
        <v>0</v>
      </c>
      <c r="P74" s="431"/>
    </row>
    <row r="75" spans="1:17" s="301" customFormat="1" ht="51.75" x14ac:dyDescent="0.25">
      <c r="A75" s="345"/>
      <c r="B75" s="346"/>
      <c r="C75" s="347"/>
      <c r="D75" s="303" t="s">
        <v>48</v>
      </c>
      <c r="E75" s="260"/>
      <c r="F75" s="260">
        <f t="shared" si="16"/>
        <v>0</v>
      </c>
      <c r="G75" s="260">
        <v>0</v>
      </c>
      <c r="H75" s="260">
        <v>0</v>
      </c>
      <c r="I75" s="336">
        <v>0</v>
      </c>
      <c r="J75" s="336"/>
      <c r="K75" s="336"/>
      <c r="L75" s="336"/>
      <c r="M75" s="336"/>
      <c r="N75" s="260">
        <v>0</v>
      </c>
      <c r="O75" s="260">
        <v>0</v>
      </c>
      <c r="P75" s="431"/>
    </row>
    <row r="76" spans="1:17" s="301" customFormat="1" ht="40.5" customHeight="1" x14ac:dyDescent="0.25">
      <c r="A76" s="345"/>
      <c r="B76" s="346"/>
      <c r="C76" s="347"/>
      <c r="D76" s="303" t="s">
        <v>87</v>
      </c>
      <c r="E76" s="260"/>
      <c r="F76" s="260">
        <f t="shared" si="16"/>
        <v>0</v>
      </c>
      <c r="G76" s="260">
        <v>0</v>
      </c>
      <c r="H76" s="260">
        <v>0</v>
      </c>
      <c r="I76" s="336">
        <v>0</v>
      </c>
      <c r="J76" s="336"/>
      <c r="K76" s="336"/>
      <c r="L76" s="336"/>
      <c r="M76" s="336"/>
      <c r="N76" s="260">
        <v>0</v>
      </c>
      <c r="O76" s="260">
        <v>0</v>
      </c>
      <c r="P76" s="431"/>
    </row>
    <row r="77" spans="1:17" s="301" customFormat="1" ht="30" customHeight="1" x14ac:dyDescent="0.25">
      <c r="A77" s="345"/>
      <c r="B77" s="440" t="s">
        <v>246</v>
      </c>
      <c r="C77" s="344" t="s">
        <v>116</v>
      </c>
      <c r="D77" s="359" t="s">
        <v>116</v>
      </c>
      <c r="E77" s="263"/>
      <c r="F77" s="337" t="s">
        <v>117</v>
      </c>
      <c r="G77" s="261" t="s">
        <v>247</v>
      </c>
      <c r="H77" s="261" t="s">
        <v>248</v>
      </c>
      <c r="I77" s="354" t="s">
        <v>123</v>
      </c>
      <c r="J77" s="339" t="s">
        <v>118</v>
      </c>
      <c r="K77" s="339"/>
      <c r="L77" s="339"/>
      <c r="M77" s="339"/>
      <c r="N77" s="261" t="s">
        <v>124</v>
      </c>
      <c r="O77" s="261" t="s">
        <v>125</v>
      </c>
      <c r="P77" s="340" t="s">
        <v>116</v>
      </c>
      <c r="Q77" s="302"/>
    </row>
    <row r="78" spans="1:17" s="301" customFormat="1" ht="23.25" customHeight="1" x14ac:dyDescent="0.25">
      <c r="A78" s="345"/>
      <c r="B78" s="440"/>
      <c r="C78" s="344"/>
      <c r="D78" s="359"/>
      <c r="E78" s="263"/>
      <c r="F78" s="337"/>
      <c r="G78" s="263"/>
      <c r="H78" s="263"/>
      <c r="I78" s="354"/>
      <c r="J78" s="263" t="s">
        <v>119</v>
      </c>
      <c r="K78" s="263" t="s">
        <v>120</v>
      </c>
      <c r="L78" s="263" t="s">
        <v>121</v>
      </c>
      <c r="M78" s="263" t="s">
        <v>122</v>
      </c>
      <c r="N78" s="263"/>
      <c r="O78" s="263"/>
      <c r="P78" s="340"/>
      <c r="Q78" s="302"/>
    </row>
    <row r="79" spans="1:17" s="301" customFormat="1" ht="24" customHeight="1" x14ac:dyDescent="0.25">
      <c r="A79" s="345"/>
      <c r="B79" s="440"/>
      <c r="C79" s="344"/>
      <c r="D79" s="359"/>
      <c r="E79" s="263"/>
      <c r="F79" s="189">
        <v>37</v>
      </c>
      <c r="G79" s="189">
        <v>0</v>
      </c>
      <c r="H79" s="189">
        <v>37</v>
      </c>
      <c r="I79" s="189">
        <v>0</v>
      </c>
      <c r="J79" s="189">
        <v>0</v>
      </c>
      <c r="K79" s="189">
        <v>0</v>
      </c>
      <c r="L79" s="189">
        <v>0</v>
      </c>
      <c r="M79" s="189">
        <v>0</v>
      </c>
      <c r="N79" s="189">
        <v>0</v>
      </c>
      <c r="O79" s="189">
        <v>0</v>
      </c>
      <c r="P79" s="340"/>
      <c r="Q79" s="302"/>
    </row>
    <row r="80" spans="1:17" s="301" customFormat="1" ht="38.25" customHeight="1" x14ac:dyDescent="0.25">
      <c r="A80" s="373" t="s">
        <v>72</v>
      </c>
      <c r="B80" s="348" t="s">
        <v>133</v>
      </c>
      <c r="C80" s="427" t="s">
        <v>86</v>
      </c>
      <c r="D80" s="304" t="s">
        <v>40</v>
      </c>
      <c r="E80" s="264"/>
      <c r="F80" s="265">
        <f t="shared" ref="F80:F85" si="17">SUM(G80:O80)</f>
        <v>0</v>
      </c>
      <c r="G80" s="264">
        <v>0</v>
      </c>
      <c r="H80" s="264">
        <v>0</v>
      </c>
      <c r="I80" s="370">
        <v>0</v>
      </c>
      <c r="J80" s="370"/>
      <c r="K80" s="370"/>
      <c r="L80" s="370"/>
      <c r="M80" s="370"/>
      <c r="N80" s="264">
        <v>0</v>
      </c>
      <c r="O80" s="264">
        <v>0</v>
      </c>
      <c r="P80" s="437" t="s">
        <v>60</v>
      </c>
    </row>
    <row r="81" spans="1:17" s="301" customFormat="1" ht="37.5" customHeight="1" x14ac:dyDescent="0.25">
      <c r="A81" s="373"/>
      <c r="B81" s="348"/>
      <c r="C81" s="427"/>
      <c r="D81" s="304" t="s">
        <v>1</v>
      </c>
      <c r="E81" s="264">
        <f>943864.80836+E82</f>
        <v>1128859.5313599999</v>
      </c>
      <c r="F81" s="265">
        <f t="shared" si="17"/>
        <v>0</v>
      </c>
      <c r="G81" s="264">
        <v>0</v>
      </c>
      <c r="H81" s="264">
        <v>0</v>
      </c>
      <c r="I81" s="370">
        <v>0</v>
      </c>
      <c r="J81" s="370"/>
      <c r="K81" s="370"/>
      <c r="L81" s="370"/>
      <c r="M81" s="370"/>
      <c r="N81" s="264">
        <v>0</v>
      </c>
      <c r="O81" s="264">
        <v>0</v>
      </c>
      <c r="P81" s="437"/>
    </row>
    <row r="82" spans="1:17" s="301" customFormat="1" ht="58.5" customHeight="1" x14ac:dyDescent="0.25">
      <c r="A82" s="373"/>
      <c r="B82" s="348"/>
      <c r="C82" s="427"/>
      <c r="D82" s="305" t="s">
        <v>47</v>
      </c>
      <c r="E82" s="264">
        <v>184994.723</v>
      </c>
      <c r="F82" s="265">
        <f t="shared" si="17"/>
        <v>137852.96117</v>
      </c>
      <c r="G82" s="264">
        <v>25761.32876</v>
      </c>
      <c r="H82" s="264">
        <v>26670.039669999998</v>
      </c>
      <c r="I82" s="372">
        <f>28474-0.40726</f>
        <v>28473.59274</v>
      </c>
      <c r="J82" s="372"/>
      <c r="K82" s="372"/>
      <c r="L82" s="372"/>
      <c r="M82" s="372"/>
      <c r="N82" s="264">
        <f t="shared" ref="N82:O82" si="18">28329+145</f>
        <v>28474</v>
      </c>
      <c r="O82" s="264">
        <f t="shared" si="18"/>
        <v>28474</v>
      </c>
      <c r="P82" s="437"/>
    </row>
    <row r="83" spans="1:17" s="301" customFormat="1" ht="69" x14ac:dyDescent="0.25">
      <c r="A83" s="373"/>
      <c r="B83" s="348"/>
      <c r="C83" s="427"/>
      <c r="D83" s="305" t="s">
        <v>59</v>
      </c>
      <c r="E83" s="264">
        <v>56075.205379999999</v>
      </c>
      <c r="F83" s="265">
        <f t="shared" si="17"/>
        <v>3564.0839999999998</v>
      </c>
      <c r="G83" s="267">
        <v>526.08399999999995</v>
      </c>
      <c r="H83" s="267">
        <v>608</v>
      </c>
      <c r="I83" s="371">
        <v>810</v>
      </c>
      <c r="J83" s="371"/>
      <c r="K83" s="371"/>
      <c r="L83" s="371"/>
      <c r="M83" s="371"/>
      <c r="N83" s="267">
        <v>810</v>
      </c>
      <c r="O83" s="267">
        <v>810</v>
      </c>
      <c r="P83" s="437"/>
    </row>
    <row r="84" spans="1:17" s="301" customFormat="1" ht="34.5" x14ac:dyDescent="0.25">
      <c r="A84" s="373"/>
      <c r="B84" s="348"/>
      <c r="C84" s="427"/>
      <c r="D84" s="305" t="s">
        <v>87</v>
      </c>
      <c r="E84" s="264"/>
      <c r="F84" s="265">
        <f t="shared" si="17"/>
        <v>151.36000000000001</v>
      </c>
      <c r="G84" s="264">
        <f t="shared" ref="G84" si="19">G85</f>
        <v>35.840000000000003</v>
      </c>
      <c r="H84" s="264">
        <f>H85</f>
        <v>31.616</v>
      </c>
      <c r="I84" s="370">
        <f>I85</f>
        <v>27.968</v>
      </c>
      <c r="J84" s="370"/>
      <c r="K84" s="370"/>
      <c r="L84" s="370"/>
      <c r="M84" s="370"/>
      <c r="N84" s="264">
        <f t="shared" ref="N84:O84" si="20">N85</f>
        <v>27.968</v>
      </c>
      <c r="O84" s="264">
        <f t="shared" si="20"/>
        <v>27.968</v>
      </c>
      <c r="P84" s="437"/>
    </row>
    <row r="85" spans="1:17" s="301" customFormat="1" ht="69" x14ac:dyDescent="0.25">
      <c r="A85" s="373"/>
      <c r="B85" s="348"/>
      <c r="C85" s="427"/>
      <c r="D85" s="305" t="s">
        <v>89</v>
      </c>
      <c r="E85" s="264">
        <v>219815.44200000001</v>
      </c>
      <c r="F85" s="265">
        <f t="shared" si="17"/>
        <v>151.36000000000001</v>
      </c>
      <c r="G85" s="267">
        <v>35.840000000000003</v>
      </c>
      <c r="H85" s="267">
        <v>31.616</v>
      </c>
      <c r="I85" s="371">
        <v>27.968</v>
      </c>
      <c r="J85" s="371"/>
      <c r="K85" s="371"/>
      <c r="L85" s="371"/>
      <c r="M85" s="371"/>
      <c r="N85" s="267">
        <v>27.968</v>
      </c>
      <c r="O85" s="267">
        <v>27.968</v>
      </c>
      <c r="P85" s="437"/>
    </row>
    <row r="86" spans="1:17" s="301" customFormat="1" ht="27" customHeight="1" x14ac:dyDescent="0.25">
      <c r="A86" s="373"/>
      <c r="B86" s="349" t="s">
        <v>155</v>
      </c>
      <c r="C86" s="344" t="s">
        <v>116</v>
      </c>
      <c r="D86" s="359" t="s">
        <v>116</v>
      </c>
      <c r="E86" s="263"/>
      <c r="F86" s="337" t="s">
        <v>117</v>
      </c>
      <c r="G86" s="261" t="s">
        <v>247</v>
      </c>
      <c r="H86" s="261" t="s">
        <v>248</v>
      </c>
      <c r="I86" s="354" t="s">
        <v>123</v>
      </c>
      <c r="J86" s="339" t="s">
        <v>118</v>
      </c>
      <c r="K86" s="339"/>
      <c r="L86" s="339"/>
      <c r="M86" s="339"/>
      <c r="N86" s="261" t="s">
        <v>124</v>
      </c>
      <c r="O86" s="261" t="s">
        <v>125</v>
      </c>
      <c r="P86" s="340" t="s">
        <v>116</v>
      </c>
      <c r="Q86" s="302"/>
    </row>
    <row r="87" spans="1:17" s="301" customFormat="1" ht="22.5" customHeight="1" x14ac:dyDescent="0.25">
      <c r="A87" s="373"/>
      <c r="B87" s="349"/>
      <c r="C87" s="344"/>
      <c r="D87" s="359"/>
      <c r="E87" s="263"/>
      <c r="F87" s="337"/>
      <c r="G87" s="263"/>
      <c r="H87" s="263"/>
      <c r="I87" s="354"/>
      <c r="J87" s="263" t="s">
        <v>119</v>
      </c>
      <c r="K87" s="263" t="s">
        <v>120</v>
      </c>
      <c r="L87" s="263" t="s">
        <v>121</v>
      </c>
      <c r="M87" s="263" t="s">
        <v>122</v>
      </c>
      <c r="N87" s="263"/>
      <c r="O87" s="263"/>
      <c r="P87" s="340"/>
      <c r="Q87" s="302"/>
    </row>
    <row r="88" spans="1:17" s="301" customFormat="1" ht="27" customHeight="1" x14ac:dyDescent="0.25">
      <c r="A88" s="373"/>
      <c r="B88" s="349"/>
      <c r="C88" s="344"/>
      <c r="D88" s="359"/>
      <c r="E88" s="263"/>
      <c r="F88" s="189">
        <v>1</v>
      </c>
      <c r="G88" s="189">
        <v>1</v>
      </c>
      <c r="H88" s="189">
        <v>1</v>
      </c>
      <c r="I88" s="189">
        <v>1</v>
      </c>
      <c r="J88" s="189">
        <v>1</v>
      </c>
      <c r="K88" s="189">
        <v>1</v>
      </c>
      <c r="L88" s="189">
        <v>1</v>
      </c>
      <c r="M88" s="189">
        <v>1</v>
      </c>
      <c r="N88" s="189">
        <v>1</v>
      </c>
      <c r="O88" s="189">
        <v>1</v>
      </c>
      <c r="P88" s="340"/>
      <c r="Q88" s="302"/>
    </row>
    <row r="89" spans="1:17" s="301" customFormat="1" ht="46.5" customHeight="1" x14ac:dyDescent="0.25">
      <c r="A89" s="342" t="s">
        <v>73</v>
      </c>
      <c r="B89" s="365" t="s">
        <v>134</v>
      </c>
      <c r="C89" s="361" t="s">
        <v>86</v>
      </c>
      <c r="D89" s="303" t="s">
        <v>40</v>
      </c>
      <c r="E89" s="264"/>
      <c r="F89" s="265">
        <f t="shared" ref="F89:F92" si="21">SUM(G89:O89)</f>
        <v>0</v>
      </c>
      <c r="G89" s="264">
        <v>0</v>
      </c>
      <c r="H89" s="264">
        <v>0</v>
      </c>
      <c r="I89" s="370">
        <v>0</v>
      </c>
      <c r="J89" s="370"/>
      <c r="K89" s="370"/>
      <c r="L89" s="370"/>
      <c r="M89" s="370"/>
      <c r="N89" s="264">
        <v>0</v>
      </c>
      <c r="O89" s="264">
        <v>0</v>
      </c>
      <c r="P89" s="436" t="s">
        <v>3</v>
      </c>
    </row>
    <row r="90" spans="1:17" s="301" customFormat="1" ht="45.75" customHeight="1" x14ac:dyDescent="0.25">
      <c r="A90" s="342"/>
      <c r="B90" s="365"/>
      <c r="C90" s="361"/>
      <c r="D90" s="303" t="s">
        <v>1</v>
      </c>
      <c r="E90" s="264"/>
      <c r="F90" s="265">
        <f t="shared" si="21"/>
        <v>0</v>
      </c>
      <c r="G90" s="264">
        <v>0</v>
      </c>
      <c r="H90" s="264">
        <v>0</v>
      </c>
      <c r="I90" s="370">
        <v>0</v>
      </c>
      <c r="J90" s="370"/>
      <c r="K90" s="370"/>
      <c r="L90" s="370"/>
      <c r="M90" s="370"/>
      <c r="N90" s="264">
        <v>0</v>
      </c>
      <c r="O90" s="264">
        <v>0</v>
      </c>
      <c r="P90" s="436"/>
    </row>
    <row r="91" spans="1:17" s="301" customFormat="1" ht="65.25" customHeight="1" x14ac:dyDescent="0.25">
      <c r="A91" s="342"/>
      <c r="B91" s="365"/>
      <c r="C91" s="361"/>
      <c r="D91" s="304" t="s">
        <v>47</v>
      </c>
      <c r="E91" s="264">
        <v>0</v>
      </c>
      <c r="F91" s="265">
        <f t="shared" si="21"/>
        <v>17213.911680000001</v>
      </c>
      <c r="G91" s="264">
        <v>2802.8159999999998</v>
      </c>
      <c r="H91" s="264">
        <v>3311.1624000000002</v>
      </c>
      <c r="I91" s="372">
        <f>3701.6256-4.94352</f>
        <v>3696.68208</v>
      </c>
      <c r="J91" s="372"/>
      <c r="K91" s="372"/>
      <c r="L91" s="372"/>
      <c r="M91" s="372"/>
      <c r="N91" s="264">
        <f t="shared" ref="N91:O91" si="22">3325+376.6256</f>
        <v>3701.6255999999998</v>
      </c>
      <c r="O91" s="264">
        <f t="shared" si="22"/>
        <v>3701.6255999999998</v>
      </c>
      <c r="P91" s="436"/>
    </row>
    <row r="92" spans="1:17" s="301" customFormat="1" ht="42" customHeight="1" x14ac:dyDescent="0.25">
      <c r="A92" s="342"/>
      <c r="B92" s="365"/>
      <c r="C92" s="361"/>
      <c r="D92" s="304" t="s">
        <v>87</v>
      </c>
      <c r="E92" s="264"/>
      <c r="F92" s="265">
        <f t="shared" si="21"/>
        <v>0</v>
      </c>
      <c r="G92" s="264">
        <v>0</v>
      </c>
      <c r="H92" s="264">
        <v>0</v>
      </c>
      <c r="I92" s="370">
        <v>0</v>
      </c>
      <c r="J92" s="370"/>
      <c r="K92" s="370"/>
      <c r="L92" s="370"/>
      <c r="M92" s="370"/>
      <c r="N92" s="264">
        <v>0</v>
      </c>
      <c r="O92" s="264">
        <v>0</v>
      </c>
      <c r="P92" s="436"/>
    </row>
    <row r="93" spans="1:17" s="301" customFormat="1" ht="27" customHeight="1" x14ac:dyDescent="0.25">
      <c r="A93" s="342"/>
      <c r="B93" s="349" t="s">
        <v>156</v>
      </c>
      <c r="C93" s="344" t="s">
        <v>116</v>
      </c>
      <c r="D93" s="359" t="s">
        <v>116</v>
      </c>
      <c r="E93" s="263"/>
      <c r="F93" s="337" t="s">
        <v>117</v>
      </c>
      <c r="G93" s="261" t="s">
        <v>247</v>
      </c>
      <c r="H93" s="261" t="s">
        <v>248</v>
      </c>
      <c r="I93" s="354" t="s">
        <v>123</v>
      </c>
      <c r="J93" s="339" t="s">
        <v>118</v>
      </c>
      <c r="K93" s="339"/>
      <c r="L93" s="339"/>
      <c r="M93" s="339"/>
      <c r="N93" s="261" t="s">
        <v>124</v>
      </c>
      <c r="O93" s="261" t="s">
        <v>125</v>
      </c>
      <c r="P93" s="340" t="s">
        <v>116</v>
      </c>
      <c r="Q93" s="302"/>
    </row>
    <row r="94" spans="1:17" s="301" customFormat="1" ht="28.5" customHeight="1" x14ac:dyDescent="0.25">
      <c r="A94" s="342"/>
      <c r="B94" s="349"/>
      <c r="C94" s="344"/>
      <c r="D94" s="359"/>
      <c r="E94" s="263"/>
      <c r="F94" s="337"/>
      <c r="G94" s="263"/>
      <c r="H94" s="263"/>
      <c r="I94" s="354"/>
      <c r="J94" s="263" t="s">
        <v>119</v>
      </c>
      <c r="K94" s="263" t="s">
        <v>120</v>
      </c>
      <c r="L94" s="263" t="s">
        <v>121</v>
      </c>
      <c r="M94" s="263" t="s">
        <v>122</v>
      </c>
      <c r="N94" s="263"/>
      <c r="O94" s="263"/>
      <c r="P94" s="340"/>
      <c r="Q94" s="302"/>
    </row>
    <row r="95" spans="1:17" s="301" customFormat="1" ht="26.25" customHeight="1" x14ac:dyDescent="0.25">
      <c r="A95" s="342"/>
      <c r="B95" s="349"/>
      <c r="C95" s="344"/>
      <c r="D95" s="359"/>
      <c r="E95" s="263"/>
      <c r="F95" s="189">
        <v>100</v>
      </c>
      <c r="G95" s="189">
        <v>100</v>
      </c>
      <c r="H95" s="189">
        <v>100</v>
      </c>
      <c r="I95" s="189">
        <v>100</v>
      </c>
      <c r="J95" s="189">
        <v>100</v>
      </c>
      <c r="K95" s="189">
        <v>100</v>
      </c>
      <c r="L95" s="189">
        <v>100</v>
      </c>
      <c r="M95" s="189">
        <v>100</v>
      </c>
      <c r="N95" s="189">
        <v>100</v>
      </c>
      <c r="O95" s="189">
        <v>100</v>
      </c>
      <c r="P95" s="340"/>
      <c r="Q95" s="302"/>
    </row>
    <row r="96" spans="1:17" s="301" customFormat="1" ht="42.75" customHeight="1" x14ac:dyDescent="0.25">
      <c r="A96" s="429" t="s">
        <v>77</v>
      </c>
      <c r="B96" s="367" t="s">
        <v>218</v>
      </c>
      <c r="C96" s="347" t="s">
        <v>86</v>
      </c>
      <c r="D96" s="303" t="s">
        <v>40</v>
      </c>
      <c r="E96" s="264"/>
      <c r="F96" s="260">
        <f t="shared" ref="F96:F102" si="23">SUM(G96:O96)</f>
        <v>0</v>
      </c>
      <c r="G96" s="264">
        <v>0</v>
      </c>
      <c r="H96" s="264">
        <v>0</v>
      </c>
      <c r="I96" s="370">
        <v>0</v>
      </c>
      <c r="J96" s="370"/>
      <c r="K96" s="370"/>
      <c r="L96" s="370"/>
      <c r="M96" s="370"/>
      <c r="N96" s="264">
        <v>0</v>
      </c>
      <c r="O96" s="264">
        <v>0</v>
      </c>
      <c r="P96" s="431" t="s">
        <v>60</v>
      </c>
    </row>
    <row r="97" spans="1:17" s="301" customFormat="1" ht="42.75" customHeight="1" x14ac:dyDescent="0.25">
      <c r="A97" s="429"/>
      <c r="B97" s="367"/>
      <c r="C97" s="347"/>
      <c r="D97" s="303" t="s">
        <v>1</v>
      </c>
      <c r="E97" s="260"/>
      <c r="F97" s="260">
        <f t="shared" si="23"/>
        <v>0</v>
      </c>
      <c r="G97" s="260">
        <v>0</v>
      </c>
      <c r="H97" s="260">
        <v>0</v>
      </c>
      <c r="I97" s="336">
        <f>2449-2449</f>
        <v>0</v>
      </c>
      <c r="J97" s="336"/>
      <c r="K97" s="336"/>
      <c r="L97" s="336"/>
      <c r="M97" s="336"/>
      <c r="N97" s="260">
        <v>0</v>
      </c>
      <c r="O97" s="260">
        <v>0</v>
      </c>
      <c r="P97" s="431"/>
    </row>
    <row r="98" spans="1:17" s="301" customFormat="1" ht="57.75" customHeight="1" x14ac:dyDescent="0.25">
      <c r="A98" s="429"/>
      <c r="B98" s="367"/>
      <c r="C98" s="347"/>
      <c r="D98" s="303" t="s">
        <v>48</v>
      </c>
      <c r="E98" s="260">
        <f>711549.13716</f>
        <v>711549.13716000004</v>
      </c>
      <c r="F98" s="260">
        <f t="shared" si="23"/>
        <v>13330885.363160001</v>
      </c>
      <c r="G98" s="260">
        <v>2050637.3603300001</v>
      </c>
      <c r="H98" s="260">
        <v>2431241.8484999998</v>
      </c>
      <c r="I98" s="368">
        <f>2946620.024-8424.55767</f>
        <v>2938195.4663300002</v>
      </c>
      <c r="J98" s="368"/>
      <c r="K98" s="368"/>
      <c r="L98" s="368"/>
      <c r="M98" s="368"/>
      <c r="N98" s="323">
        <f>2949629.024+5776.32</f>
        <v>2955405.344</v>
      </c>
      <c r="O98" s="323">
        <f>2949629.024+5776.32</f>
        <v>2955405.344</v>
      </c>
      <c r="P98" s="431"/>
    </row>
    <row r="99" spans="1:17" s="301" customFormat="1" ht="83.25" customHeight="1" x14ac:dyDescent="0.25">
      <c r="A99" s="429"/>
      <c r="B99" s="367"/>
      <c r="C99" s="347"/>
      <c r="D99" s="303" t="s">
        <v>59</v>
      </c>
      <c r="E99" s="260">
        <v>0</v>
      </c>
      <c r="F99" s="260">
        <f t="shared" si="23"/>
        <v>2794733.9160000002</v>
      </c>
      <c r="G99" s="268">
        <v>412508.91600000003</v>
      </c>
      <c r="H99" s="268">
        <v>492444</v>
      </c>
      <c r="I99" s="375">
        <v>629927</v>
      </c>
      <c r="J99" s="375"/>
      <c r="K99" s="375"/>
      <c r="L99" s="375"/>
      <c r="M99" s="375"/>
      <c r="N99" s="268">
        <v>629927</v>
      </c>
      <c r="O99" s="268">
        <v>629927</v>
      </c>
      <c r="P99" s="431"/>
    </row>
    <row r="100" spans="1:17" s="301" customFormat="1" ht="47.25" customHeight="1" x14ac:dyDescent="0.25">
      <c r="A100" s="429"/>
      <c r="B100" s="367"/>
      <c r="C100" s="347"/>
      <c r="D100" s="303" t="s">
        <v>87</v>
      </c>
      <c r="E100" s="260"/>
      <c r="F100" s="260">
        <f t="shared" si="23"/>
        <v>3023894.5066200001</v>
      </c>
      <c r="G100" s="260">
        <f t="shared" ref="G100" si="24">G101+G102</f>
        <v>493095.91868</v>
      </c>
      <c r="H100" s="260">
        <v>649615.71250000002</v>
      </c>
      <c r="I100" s="336">
        <f>I101+I102</f>
        <v>627060.95847999991</v>
      </c>
      <c r="J100" s="336"/>
      <c r="K100" s="336"/>
      <c r="L100" s="336"/>
      <c r="M100" s="336"/>
      <c r="N100" s="260">
        <f>N101+N102</f>
        <v>627060.95847999991</v>
      </c>
      <c r="O100" s="260">
        <f>O101+O102</f>
        <v>627060.95847999991</v>
      </c>
      <c r="P100" s="431"/>
    </row>
    <row r="101" spans="1:17" s="301" customFormat="1" ht="96" customHeight="1" x14ac:dyDescent="0.25">
      <c r="A101" s="429"/>
      <c r="B101" s="367"/>
      <c r="C101" s="347"/>
      <c r="D101" s="305" t="s">
        <v>88</v>
      </c>
      <c r="E101" s="264">
        <v>262352.43170000002</v>
      </c>
      <c r="F101" s="260">
        <f t="shared" si="23"/>
        <v>2902166.7026199996</v>
      </c>
      <c r="G101" s="267">
        <v>469940.35668000003</v>
      </c>
      <c r="H101" s="267">
        <v>625121.01850000001</v>
      </c>
      <c r="I101" s="371">
        <v>602368.44247999997</v>
      </c>
      <c r="J101" s="371"/>
      <c r="K101" s="371"/>
      <c r="L101" s="371"/>
      <c r="M101" s="371"/>
      <c r="N101" s="267">
        <v>602368.44247999997</v>
      </c>
      <c r="O101" s="308">
        <v>602368.44247999997</v>
      </c>
      <c r="P101" s="431"/>
    </row>
    <row r="102" spans="1:17" s="301" customFormat="1" ht="77.25" customHeight="1" x14ac:dyDescent="0.25">
      <c r="A102" s="429"/>
      <c r="B102" s="367"/>
      <c r="C102" s="347"/>
      <c r="D102" s="305" t="s">
        <v>89</v>
      </c>
      <c r="E102" s="264">
        <v>8751.5480000000007</v>
      </c>
      <c r="F102" s="260">
        <f t="shared" si="23"/>
        <v>121727.804</v>
      </c>
      <c r="G102" s="267">
        <v>23155.562000000002</v>
      </c>
      <c r="H102" s="267">
        <v>24494.694</v>
      </c>
      <c r="I102" s="371">
        <v>24692.516</v>
      </c>
      <c r="J102" s="371"/>
      <c r="K102" s="371"/>
      <c r="L102" s="371"/>
      <c r="M102" s="371"/>
      <c r="N102" s="267">
        <v>24692.516</v>
      </c>
      <c r="O102" s="267">
        <v>24692.516</v>
      </c>
      <c r="P102" s="431"/>
      <c r="Q102" s="306"/>
    </row>
    <row r="103" spans="1:17" s="301" customFormat="1" ht="27.75" customHeight="1" x14ac:dyDescent="0.25">
      <c r="A103" s="429"/>
      <c r="B103" s="349" t="s">
        <v>234</v>
      </c>
      <c r="C103" s="344" t="s">
        <v>116</v>
      </c>
      <c r="D103" s="359" t="s">
        <v>116</v>
      </c>
      <c r="E103" s="263"/>
      <c r="F103" s="337" t="s">
        <v>117</v>
      </c>
      <c r="G103" s="261" t="s">
        <v>247</v>
      </c>
      <c r="H103" s="261" t="s">
        <v>248</v>
      </c>
      <c r="I103" s="354" t="s">
        <v>123</v>
      </c>
      <c r="J103" s="339" t="s">
        <v>118</v>
      </c>
      <c r="K103" s="339"/>
      <c r="L103" s="339"/>
      <c r="M103" s="339"/>
      <c r="N103" s="261" t="s">
        <v>124</v>
      </c>
      <c r="O103" s="261" t="s">
        <v>125</v>
      </c>
      <c r="P103" s="340" t="s">
        <v>116</v>
      </c>
      <c r="Q103" s="302"/>
    </row>
    <row r="104" spans="1:17" s="301" customFormat="1" ht="24" customHeight="1" x14ac:dyDescent="0.25">
      <c r="A104" s="429"/>
      <c r="B104" s="349"/>
      <c r="C104" s="344"/>
      <c r="D104" s="359"/>
      <c r="E104" s="263"/>
      <c r="F104" s="337"/>
      <c r="G104" s="263"/>
      <c r="H104" s="263"/>
      <c r="I104" s="354"/>
      <c r="J104" s="263" t="s">
        <v>119</v>
      </c>
      <c r="K104" s="263" t="s">
        <v>120</v>
      </c>
      <c r="L104" s="263" t="s">
        <v>121</v>
      </c>
      <c r="M104" s="263" t="s">
        <v>122</v>
      </c>
      <c r="N104" s="263"/>
      <c r="O104" s="263"/>
      <c r="P104" s="340"/>
      <c r="Q104" s="302"/>
    </row>
    <row r="105" spans="1:17" s="301" customFormat="1" ht="35.25" customHeight="1" x14ac:dyDescent="0.25">
      <c r="A105" s="429"/>
      <c r="B105" s="349"/>
      <c r="C105" s="344"/>
      <c r="D105" s="359"/>
      <c r="E105" s="263"/>
      <c r="F105" s="189">
        <v>39</v>
      </c>
      <c r="G105" s="189">
        <v>39</v>
      </c>
      <c r="H105" s="189">
        <v>39</v>
      </c>
      <c r="I105" s="189">
        <v>39</v>
      </c>
      <c r="J105" s="189">
        <v>39</v>
      </c>
      <c r="K105" s="189">
        <v>39</v>
      </c>
      <c r="L105" s="189">
        <v>39</v>
      </c>
      <c r="M105" s="189">
        <v>39</v>
      </c>
      <c r="N105" s="189">
        <v>39</v>
      </c>
      <c r="O105" s="189">
        <v>39</v>
      </c>
      <c r="P105" s="340"/>
      <c r="Q105" s="302"/>
    </row>
    <row r="106" spans="1:17" s="301" customFormat="1" ht="45" customHeight="1" x14ac:dyDescent="0.25">
      <c r="A106" s="342" t="s">
        <v>78</v>
      </c>
      <c r="B106" s="365" t="s">
        <v>219</v>
      </c>
      <c r="C106" s="361" t="s">
        <v>86</v>
      </c>
      <c r="D106" s="305" t="s">
        <v>40</v>
      </c>
      <c r="E106" s="264"/>
      <c r="F106" s="265">
        <f t="shared" ref="F106:F109" si="25">SUM(G106:O106)</f>
        <v>0</v>
      </c>
      <c r="G106" s="264">
        <v>0</v>
      </c>
      <c r="H106" s="264">
        <v>0</v>
      </c>
      <c r="I106" s="370">
        <v>0</v>
      </c>
      <c r="J106" s="370"/>
      <c r="K106" s="370"/>
      <c r="L106" s="370"/>
      <c r="M106" s="370"/>
      <c r="N106" s="264">
        <v>0</v>
      </c>
      <c r="O106" s="264">
        <v>0</v>
      </c>
      <c r="P106" s="436" t="s">
        <v>90</v>
      </c>
      <c r="Q106" s="306"/>
    </row>
    <row r="107" spans="1:17" s="301" customFormat="1" ht="43.5" customHeight="1" x14ac:dyDescent="0.25">
      <c r="A107" s="342"/>
      <c r="B107" s="365"/>
      <c r="C107" s="361"/>
      <c r="D107" s="305" t="s">
        <v>1</v>
      </c>
      <c r="E107" s="264"/>
      <c r="F107" s="265">
        <f t="shared" si="25"/>
        <v>56000</v>
      </c>
      <c r="G107" s="264">
        <v>0</v>
      </c>
      <c r="H107" s="264">
        <v>56000</v>
      </c>
      <c r="I107" s="370">
        <v>0</v>
      </c>
      <c r="J107" s="370"/>
      <c r="K107" s="370"/>
      <c r="L107" s="370"/>
      <c r="M107" s="370"/>
      <c r="N107" s="264">
        <v>0</v>
      </c>
      <c r="O107" s="264">
        <v>0</v>
      </c>
      <c r="P107" s="436"/>
      <c r="Q107" s="306"/>
    </row>
    <row r="108" spans="1:17" s="301" customFormat="1" ht="57" customHeight="1" x14ac:dyDescent="0.25">
      <c r="A108" s="342"/>
      <c r="B108" s="365"/>
      <c r="C108" s="361"/>
      <c r="D108" s="304" t="s">
        <v>47</v>
      </c>
      <c r="E108" s="264">
        <v>0</v>
      </c>
      <c r="F108" s="265">
        <f t="shared" si="25"/>
        <v>1474800.8404699999</v>
      </c>
      <c r="G108" s="264">
        <v>46658.988669999999</v>
      </c>
      <c r="H108" s="264">
        <v>242111.66776000001</v>
      </c>
      <c r="I108" s="372">
        <f>227593.59711+83196.58693+355000</f>
        <v>665790.18403999996</v>
      </c>
      <c r="J108" s="372"/>
      <c r="K108" s="372"/>
      <c r="L108" s="372"/>
      <c r="M108" s="372"/>
      <c r="N108" s="264">
        <v>260120</v>
      </c>
      <c r="O108" s="264">
        <v>260120</v>
      </c>
      <c r="P108" s="436"/>
    </row>
    <row r="109" spans="1:17" s="301" customFormat="1" ht="49.5" customHeight="1" x14ac:dyDescent="0.25">
      <c r="A109" s="342"/>
      <c r="B109" s="365"/>
      <c r="C109" s="361"/>
      <c r="D109" s="303" t="s">
        <v>87</v>
      </c>
      <c r="E109" s="264"/>
      <c r="F109" s="265">
        <f t="shared" si="25"/>
        <v>0</v>
      </c>
      <c r="G109" s="264">
        <v>0</v>
      </c>
      <c r="H109" s="264">
        <v>0</v>
      </c>
      <c r="I109" s="370">
        <v>0</v>
      </c>
      <c r="J109" s="370"/>
      <c r="K109" s="370"/>
      <c r="L109" s="370"/>
      <c r="M109" s="370"/>
      <c r="N109" s="264">
        <v>0</v>
      </c>
      <c r="O109" s="264">
        <v>0</v>
      </c>
      <c r="P109" s="436"/>
    </row>
    <row r="110" spans="1:17" s="301" customFormat="1" ht="36" customHeight="1" x14ac:dyDescent="0.25">
      <c r="A110" s="342"/>
      <c r="B110" s="349" t="s">
        <v>153</v>
      </c>
      <c r="C110" s="344" t="s">
        <v>116</v>
      </c>
      <c r="D110" s="359" t="s">
        <v>116</v>
      </c>
      <c r="E110" s="263"/>
      <c r="F110" s="337" t="s">
        <v>117</v>
      </c>
      <c r="G110" s="261" t="s">
        <v>247</v>
      </c>
      <c r="H110" s="261" t="s">
        <v>248</v>
      </c>
      <c r="I110" s="354" t="s">
        <v>123</v>
      </c>
      <c r="J110" s="339" t="s">
        <v>118</v>
      </c>
      <c r="K110" s="339"/>
      <c r="L110" s="339"/>
      <c r="M110" s="339"/>
      <c r="N110" s="261" t="s">
        <v>124</v>
      </c>
      <c r="O110" s="261" t="s">
        <v>125</v>
      </c>
      <c r="P110" s="340" t="s">
        <v>116</v>
      </c>
      <c r="Q110" s="302"/>
    </row>
    <row r="111" spans="1:17" s="301" customFormat="1" ht="35.25" customHeight="1" x14ac:dyDescent="0.25">
      <c r="A111" s="342"/>
      <c r="B111" s="349"/>
      <c r="C111" s="344"/>
      <c r="D111" s="359"/>
      <c r="E111" s="263"/>
      <c r="F111" s="337"/>
      <c r="G111" s="263"/>
      <c r="H111" s="263"/>
      <c r="I111" s="354"/>
      <c r="J111" s="263" t="s">
        <v>119</v>
      </c>
      <c r="K111" s="263" t="s">
        <v>120</v>
      </c>
      <c r="L111" s="263" t="s">
        <v>121</v>
      </c>
      <c r="M111" s="263" t="s">
        <v>122</v>
      </c>
      <c r="N111" s="263"/>
      <c r="O111" s="263"/>
      <c r="P111" s="340"/>
      <c r="Q111" s="302"/>
    </row>
    <row r="112" spans="1:17" s="301" customFormat="1" ht="37.5" customHeight="1" x14ac:dyDescent="0.25">
      <c r="A112" s="342"/>
      <c r="B112" s="349"/>
      <c r="C112" s="344"/>
      <c r="D112" s="359"/>
      <c r="E112" s="263"/>
      <c r="F112" s="189">
        <f>I112+H112+G112+N112+O112</f>
        <v>132</v>
      </c>
      <c r="G112" s="189">
        <v>16</v>
      </c>
      <c r="H112" s="189">
        <v>29</v>
      </c>
      <c r="I112" s="189">
        <v>29</v>
      </c>
      <c r="J112" s="189">
        <v>0</v>
      </c>
      <c r="K112" s="189">
        <v>0</v>
      </c>
      <c r="L112" s="189">
        <v>0</v>
      </c>
      <c r="M112" s="189">
        <v>29</v>
      </c>
      <c r="N112" s="189">
        <v>29</v>
      </c>
      <c r="O112" s="189">
        <v>29</v>
      </c>
      <c r="P112" s="340"/>
      <c r="Q112" s="302"/>
    </row>
    <row r="113" spans="1:17" s="301" customFormat="1" ht="40.5" customHeight="1" x14ac:dyDescent="0.25">
      <c r="A113" s="342" t="s">
        <v>79</v>
      </c>
      <c r="B113" s="365" t="s">
        <v>232</v>
      </c>
      <c r="C113" s="361" t="s">
        <v>86</v>
      </c>
      <c r="D113" s="303" t="s">
        <v>40</v>
      </c>
      <c r="E113" s="264"/>
      <c r="F113" s="265">
        <f t="shared" ref="F113:F116" si="26">SUM(G113:O113)</f>
        <v>0</v>
      </c>
      <c r="G113" s="264">
        <v>0</v>
      </c>
      <c r="H113" s="264">
        <v>0</v>
      </c>
      <c r="I113" s="370">
        <v>0</v>
      </c>
      <c r="J113" s="370"/>
      <c r="K113" s="370"/>
      <c r="L113" s="370"/>
      <c r="M113" s="370"/>
      <c r="N113" s="264">
        <v>0</v>
      </c>
      <c r="O113" s="264">
        <v>0</v>
      </c>
      <c r="P113" s="436" t="s">
        <v>3</v>
      </c>
      <c r="Q113" s="307"/>
    </row>
    <row r="114" spans="1:17" s="301" customFormat="1" ht="34.5" x14ac:dyDescent="0.25">
      <c r="A114" s="342"/>
      <c r="B114" s="365"/>
      <c r="C114" s="361"/>
      <c r="D114" s="303" t="s">
        <v>1</v>
      </c>
      <c r="E114" s="264"/>
      <c r="F114" s="265">
        <f t="shared" si="26"/>
        <v>0</v>
      </c>
      <c r="G114" s="264">
        <v>0</v>
      </c>
      <c r="H114" s="264">
        <v>0</v>
      </c>
      <c r="I114" s="370">
        <v>0</v>
      </c>
      <c r="J114" s="370"/>
      <c r="K114" s="370"/>
      <c r="L114" s="370"/>
      <c r="M114" s="370"/>
      <c r="N114" s="264">
        <v>0</v>
      </c>
      <c r="O114" s="264">
        <v>0</v>
      </c>
      <c r="P114" s="436"/>
    </row>
    <row r="115" spans="1:17" s="301" customFormat="1" ht="51.75" x14ac:dyDescent="0.25">
      <c r="A115" s="342"/>
      <c r="B115" s="365"/>
      <c r="C115" s="361"/>
      <c r="D115" s="304" t="s">
        <v>47</v>
      </c>
      <c r="E115" s="264">
        <v>0</v>
      </c>
      <c r="F115" s="265">
        <f t="shared" si="26"/>
        <v>2373739.3428500001</v>
      </c>
      <c r="G115" s="264">
        <v>360185.28365</v>
      </c>
      <c r="H115" s="264">
        <v>446078.51971999998</v>
      </c>
      <c r="I115" s="372">
        <f>521929.2096+1687.91068</f>
        <v>523617.12027999997</v>
      </c>
      <c r="J115" s="372"/>
      <c r="K115" s="372"/>
      <c r="L115" s="372"/>
      <c r="M115" s="372"/>
      <c r="N115" s="264">
        <f t="shared" ref="N115:O115" si="27">470554+51375.2096</f>
        <v>521929.2096</v>
      </c>
      <c r="O115" s="264">
        <f t="shared" si="27"/>
        <v>521929.2096</v>
      </c>
      <c r="P115" s="436"/>
    </row>
    <row r="116" spans="1:17" s="301" customFormat="1" ht="34.5" x14ac:dyDescent="0.25">
      <c r="A116" s="342"/>
      <c r="B116" s="365"/>
      <c r="C116" s="361"/>
      <c r="D116" s="304" t="s">
        <v>87</v>
      </c>
      <c r="E116" s="264"/>
      <c r="F116" s="265">
        <f t="shared" si="26"/>
        <v>0</v>
      </c>
      <c r="G116" s="264">
        <v>0</v>
      </c>
      <c r="H116" s="264">
        <v>0</v>
      </c>
      <c r="I116" s="370">
        <v>0</v>
      </c>
      <c r="J116" s="370"/>
      <c r="K116" s="370"/>
      <c r="L116" s="370"/>
      <c r="M116" s="370"/>
      <c r="N116" s="264">
        <v>0</v>
      </c>
      <c r="O116" s="264">
        <v>0</v>
      </c>
      <c r="P116" s="436"/>
    </row>
    <row r="117" spans="1:17" s="301" customFormat="1" ht="27" customHeight="1" x14ac:dyDescent="0.25">
      <c r="A117" s="342"/>
      <c r="B117" s="349" t="s">
        <v>154</v>
      </c>
      <c r="C117" s="344" t="s">
        <v>116</v>
      </c>
      <c r="D117" s="359" t="s">
        <v>116</v>
      </c>
      <c r="E117" s="263"/>
      <c r="F117" s="337" t="s">
        <v>117</v>
      </c>
      <c r="G117" s="261" t="s">
        <v>247</v>
      </c>
      <c r="H117" s="261" t="s">
        <v>248</v>
      </c>
      <c r="I117" s="354" t="s">
        <v>123</v>
      </c>
      <c r="J117" s="339" t="s">
        <v>118</v>
      </c>
      <c r="K117" s="339"/>
      <c r="L117" s="339"/>
      <c r="M117" s="339"/>
      <c r="N117" s="261" t="s">
        <v>124</v>
      </c>
      <c r="O117" s="261" t="s">
        <v>125</v>
      </c>
      <c r="P117" s="340" t="s">
        <v>116</v>
      </c>
      <c r="Q117" s="302"/>
    </row>
    <row r="118" spans="1:17" s="301" customFormat="1" ht="22.5" customHeight="1" x14ac:dyDescent="0.25">
      <c r="A118" s="342"/>
      <c r="B118" s="349"/>
      <c r="C118" s="344"/>
      <c r="D118" s="359"/>
      <c r="E118" s="263"/>
      <c r="F118" s="337"/>
      <c r="G118" s="263"/>
      <c r="H118" s="263"/>
      <c r="I118" s="354"/>
      <c r="J118" s="263" t="s">
        <v>119</v>
      </c>
      <c r="K118" s="263" t="s">
        <v>120</v>
      </c>
      <c r="L118" s="263" t="s">
        <v>121</v>
      </c>
      <c r="M118" s="263" t="s">
        <v>122</v>
      </c>
      <c r="N118" s="263"/>
      <c r="O118" s="263"/>
      <c r="P118" s="340"/>
      <c r="Q118" s="302"/>
    </row>
    <row r="119" spans="1:17" s="301" customFormat="1" ht="26.25" customHeight="1" x14ac:dyDescent="0.25">
      <c r="A119" s="342"/>
      <c r="B119" s="349"/>
      <c r="C119" s="344"/>
      <c r="D119" s="359"/>
      <c r="E119" s="263"/>
      <c r="F119" s="189">
        <v>100</v>
      </c>
      <c r="G119" s="189">
        <v>100</v>
      </c>
      <c r="H119" s="189">
        <v>100</v>
      </c>
      <c r="I119" s="189">
        <v>100</v>
      </c>
      <c r="J119" s="189">
        <v>100</v>
      </c>
      <c r="K119" s="189">
        <v>100</v>
      </c>
      <c r="L119" s="189">
        <v>100</v>
      </c>
      <c r="M119" s="189">
        <v>100</v>
      </c>
      <c r="N119" s="189">
        <v>100</v>
      </c>
      <c r="O119" s="189">
        <v>100</v>
      </c>
      <c r="P119" s="340"/>
      <c r="Q119" s="302"/>
    </row>
    <row r="120" spans="1:17" s="301" customFormat="1" ht="33.75" customHeight="1" x14ac:dyDescent="0.25">
      <c r="A120" s="342" t="s">
        <v>91</v>
      </c>
      <c r="B120" s="365" t="s">
        <v>233</v>
      </c>
      <c r="C120" s="361" t="s">
        <v>82</v>
      </c>
      <c r="D120" s="304" t="s">
        <v>40</v>
      </c>
      <c r="E120" s="264"/>
      <c r="F120" s="265">
        <f t="shared" ref="F120:F123" si="28">SUM(G120:O120)</f>
        <v>0</v>
      </c>
      <c r="G120" s="264">
        <v>0</v>
      </c>
      <c r="H120" s="264">
        <v>0</v>
      </c>
      <c r="I120" s="370">
        <v>0</v>
      </c>
      <c r="J120" s="370"/>
      <c r="K120" s="370"/>
      <c r="L120" s="370"/>
      <c r="M120" s="370"/>
      <c r="N120" s="264">
        <v>0</v>
      </c>
      <c r="O120" s="264">
        <v>0</v>
      </c>
      <c r="P120" s="434" t="s">
        <v>265</v>
      </c>
    </row>
    <row r="121" spans="1:17" s="301" customFormat="1" ht="34.5" x14ac:dyDescent="0.25">
      <c r="A121" s="342"/>
      <c r="B121" s="365"/>
      <c r="C121" s="361"/>
      <c r="D121" s="304" t="s">
        <v>1</v>
      </c>
      <c r="E121" s="264"/>
      <c r="F121" s="265">
        <f t="shared" si="28"/>
        <v>15141</v>
      </c>
      <c r="G121" s="264">
        <v>0</v>
      </c>
      <c r="H121" s="264">
        <v>0</v>
      </c>
      <c r="I121" s="370">
        <v>15141</v>
      </c>
      <c r="J121" s="370"/>
      <c r="K121" s="370"/>
      <c r="L121" s="370"/>
      <c r="M121" s="370"/>
      <c r="N121" s="264">
        <v>0</v>
      </c>
      <c r="O121" s="264">
        <v>0</v>
      </c>
      <c r="P121" s="434"/>
    </row>
    <row r="122" spans="1:17" s="301" customFormat="1" ht="51.75" x14ac:dyDescent="0.25">
      <c r="A122" s="342"/>
      <c r="B122" s="365"/>
      <c r="C122" s="361"/>
      <c r="D122" s="304" t="s">
        <v>47</v>
      </c>
      <c r="E122" s="264">
        <v>0</v>
      </c>
      <c r="F122" s="265">
        <f t="shared" si="28"/>
        <v>0</v>
      </c>
      <c r="G122" s="264">
        <v>0</v>
      </c>
      <c r="H122" s="264">
        <v>0</v>
      </c>
      <c r="I122" s="370">
        <v>0</v>
      </c>
      <c r="J122" s="370"/>
      <c r="K122" s="370"/>
      <c r="L122" s="370"/>
      <c r="M122" s="370"/>
      <c r="N122" s="264">
        <v>0</v>
      </c>
      <c r="O122" s="264">
        <v>0</v>
      </c>
      <c r="P122" s="434"/>
    </row>
    <row r="123" spans="1:17" s="301" customFormat="1" ht="34.5" x14ac:dyDescent="0.25">
      <c r="A123" s="342"/>
      <c r="B123" s="365"/>
      <c r="C123" s="361"/>
      <c r="D123" s="304" t="s">
        <v>87</v>
      </c>
      <c r="E123" s="264"/>
      <c r="F123" s="265">
        <f t="shared" si="28"/>
        <v>0</v>
      </c>
      <c r="G123" s="264">
        <v>0</v>
      </c>
      <c r="H123" s="264">
        <v>0</v>
      </c>
      <c r="I123" s="370">
        <v>0</v>
      </c>
      <c r="J123" s="370"/>
      <c r="K123" s="370"/>
      <c r="L123" s="370"/>
      <c r="M123" s="370"/>
      <c r="N123" s="264">
        <v>0</v>
      </c>
      <c r="O123" s="264">
        <v>0</v>
      </c>
      <c r="P123" s="434"/>
    </row>
    <row r="124" spans="1:17" s="301" customFormat="1" ht="48" customHeight="1" x14ac:dyDescent="0.25">
      <c r="A124" s="342"/>
      <c r="B124" s="349" t="s">
        <v>272</v>
      </c>
      <c r="C124" s="344" t="s">
        <v>116</v>
      </c>
      <c r="D124" s="359" t="s">
        <v>116</v>
      </c>
      <c r="E124" s="263"/>
      <c r="F124" s="337" t="s">
        <v>117</v>
      </c>
      <c r="G124" s="261" t="s">
        <v>247</v>
      </c>
      <c r="H124" s="261" t="s">
        <v>248</v>
      </c>
      <c r="I124" s="354" t="s">
        <v>123</v>
      </c>
      <c r="J124" s="339" t="s">
        <v>118</v>
      </c>
      <c r="K124" s="339"/>
      <c r="L124" s="339"/>
      <c r="M124" s="339"/>
      <c r="N124" s="261" t="s">
        <v>124</v>
      </c>
      <c r="O124" s="261" t="s">
        <v>125</v>
      </c>
      <c r="P124" s="340" t="s">
        <v>116</v>
      </c>
      <c r="Q124" s="302"/>
    </row>
    <row r="125" spans="1:17" s="301" customFormat="1" ht="52.5" customHeight="1" x14ac:dyDescent="0.25">
      <c r="A125" s="342"/>
      <c r="B125" s="349"/>
      <c r="C125" s="344"/>
      <c r="D125" s="359"/>
      <c r="E125" s="263"/>
      <c r="F125" s="337"/>
      <c r="G125" s="263"/>
      <c r="H125" s="263"/>
      <c r="I125" s="354"/>
      <c r="J125" s="263" t="s">
        <v>119</v>
      </c>
      <c r="K125" s="263" t="s">
        <v>120</v>
      </c>
      <c r="L125" s="263" t="s">
        <v>121</v>
      </c>
      <c r="M125" s="263" t="s">
        <v>122</v>
      </c>
      <c r="N125" s="263"/>
      <c r="O125" s="263"/>
      <c r="P125" s="340"/>
      <c r="Q125" s="302"/>
    </row>
    <row r="126" spans="1:17" s="301" customFormat="1" ht="52.5" customHeight="1" x14ac:dyDescent="0.25">
      <c r="A126" s="342"/>
      <c r="B126" s="349"/>
      <c r="C126" s="344"/>
      <c r="D126" s="359"/>
      <c r="E126" s="263"/>
      <c r="F126" s="189">
        <v>100</v>
      </c>
      <c r="G126" s="189">
        <v>0</v>
      </c>
      <c r="H126" s="189">
        <v>0</v>
      </c>
      <c r="I126" s="189">
        <v>100</v>
      </c>
      <c r="J126" s="189">
        <v>100</v>
      </c>
      <c r="K126" s="189">
        <v>100</v>
      </c>
      <c r="L126" s="189">
        <v>100</v>
      </c>
      <c r="M126" s="189">
        <v>100</v>
      </c>
      <c r="N126" s="189">
        <v>100</v>
      </c>
      <c r="O126" s="189">
        <v>100</v>
      </c>
      <c r="P126" s="340"/>
      <c r="Q126" s="302"/>
    </row>
    <row r="127" spans="1:17" s="301" customFormat="1" ht="33.75" customHeight="1" x14ac:dyDescent="0.25">
      <c r="A127" s="342" t="s">
        <v>92</v>
      </c>
      <c r="B127" s="365" t="s">
        <v>235</v>
      </c>
      <c r="C127" s="361" t="s">
        <v>267</v>
      </c>
      <c r="D127" s="304" t="s">
        <v>40</v>
      </c>
      <c r="E127" s="264"/>
      <c r="F127" s="265">
        <f t="shared" ref="F127:F130" si="29">SUM(G127:O127)</f>
        <v>0</v>
      </c>
      <c r="G127" s="264">
        <v>0</v>
      </c>
      <c r="H127" s="264">
        <v>0</v>
      </c>
      <c r="I127" s="370">
        <v>0</v>
      </c>
      <c r="J127" s="370"/>
      <c r="K127" s="370"/>
      <c r="L127" s="370"/>
      <c r="M127" s="370"/>
      <c r="N127" s="264">
        <v>0</v>
      </c>
      <c r="O127" s="264">
        <v>0</v>
      </c>
      <c r="P127" s="434" t="s">
        <v>265</v>
      </c>
    </row>
    <row r="128" spans="1:17" s="301" customFormat="1" ht="34.5" x14ac:dyDescent="0.25">
      <c r="A128" s="342"/>
      <c r="B128" s="365"/>
      <c r="C128" s="361"/>
      <c r="D128" s="304" t="s">
        <v>1</v>
      </c>
      <c r="E128" s="264"/>
      <c r="F128" s="265">
        <f t="shared" si="29"/>
        <v>1305972</v>
      </c>
      <c r="G128" s="264">
        <v>0</v>
      </c>
      <c r="H128" s="264">
        <v>0</v>
      </c>
      <c r="I128" s="370">
        <v>435324</v>
      </c>
      <c r="J128" s="370"/>
      <c r="K128" s="370"/>
      <c r="L128" s="370"/>
      <c r="M128" s="370"/>
      <c r="N128" s="264">
        <v>435324</v>
      </c>
      <c r="O128" s="264">
        <v>435324</v>
      </c>
      <c r="P128" s="434"/>
    </row>
    <row r="129" spans="1:20" s="301" customFormat="1" ht="51.75" x14ac:dyDescent="0.25">
      <c r="A129" s="342"/>
      <c r="B129" s="365"/>
      <c r="C129" s="361"/>
      <c r="D129" s="304" t="s">
        <v>47</v>
      </c>
      <c r="E129" s="264">
        <v>0</v>
      </c>
      <c r="F129" s="265">
        <f t="shared" si="29"/>
        <v>0</v>
      </c>
      <c r="G129" s="264">
        <v>0</v>
      </c>
      <c r="H129" s="264">
        <v>0</v>
      </c>
      <c r="I129" s="370">
        <v>0</v>
      </c>
      <c r="J129" s="370"/>
      <c r="K129" s="370"/>
      <c r="L129" s="370"/>
      <c r="M129" s="370"/>
      <c r="N129" s="264">
        <v>0</v>
      </c>
      <c r="O129" s="264">
        <v>0</v>
      </c>
      <c r="P129" s="434"/>
    </row>
    <row r="130" spans="1:20" s="301" customFormat="1" ht="34.5" x14ac:dyDescent="0.25">
      <c r="A130" s="342"/>
      <c r="B130" s="365"/>
      <c r="C130" s="361"/>
      <c r="D130" s="304" t="s">
        <v>87</v>
      </c>
      <c r="E130" s="264"/>
      <c r="F130" s="265">
        <f t="shared" si="29"/>
        <v>0</v>
      </c>
      <c r="G130" s="264">
        <v>0</v>
      </c>
      <c r="H130" s="264">
        <v>0</v>
      </c>
      <c r="I130" s="370">
        <v>0</v>
      </c>
      <c r="J130" s="370"/>
      <c r="K130" s="370"/>
      <c r="L130" s="370"/>
      <c r="M130" s="370"/>
      <c r="N130" s="264">
        <v>0</v>
      </c>
      <c r="O130" s="264">
        <v>0</v>
      </c>
      <c r="P130" s="434"/>
    </row>
    <row r="131" spans="1:20" s="301" customFormat="1" ht="46.5" customHeight="1" x14ac:dyDescent="0.25">
      <c r="A131" s="342"/>
      <c r="B131" s="349" t="s">
        <v>273</v>
      </c>
      <c r="C131" s="344" t="s">
        <v>116</v>
      </c>
      <c r="D131" s="359" t="s">
        <v>116</v>
      </c>
      <c r="E131" s="263"/>
      <c r="F131" s="337" t="s">
        <v>117</v>
      </c>
      <c r="G131" s="261" t="s">
        <v>247</v>
      </c>
      <c r="H131" s="261" t="s">
        <v>248</v>
      </c>
      <c r="I131" s="354" t="s">
        <v>123</v>
      </c>
      <c r="J131" s="339" t="s">
        <v>118</v>
      </c>
      <c r="K131" s="339"/>
      <c r="L131" s="339"/>
      <c r="M131" s="339"/>
      <c r="N131" s="261" t="s">
        <v>124</v>
      </c>
      <c r="O131" s="261" t="s">
        <v>125</v>
      </c>
      <c r="P131" s="340" t="s">
        <v>116</v>
      </c>
      <c r="Q131" s="302"/>
    </row>
    <row r="132" spans="1:20" s="301" customFormat="1" ht="46.5" customHeight="1" x14ac:dyDescent="0.25">
      <c r="A132" s="342"/>
      <c r="B132" s="349"/>
      <c r="C132" s="344"/>
      <c r="D132" s="359"/>
      <c r="E132" s="263"/>
      <c r="F132" s="337"/>
      <c r="G132" s="263"/>
      <c r="H132" s="263"/>
      <c r="I132" s="354"/>
      <c r="J132" s="263" t="s">
        <v>119</v>
      </c>
      <c r="K132" s="263" t="s">
        <v>120</v>
      </c>
      <c r="L132" s="263" t="s">
        <v>121</v>
      </c>
      <c r="M132" s="263" t="s">
        <v>122</v>
      </c>
      <c r="N132" s="263"/>
      <c r="O132" s="263"/>
      <c r="P132" s="340"/>
      <c r="Q132" s="302"/>
    </row>
    <row r="133" spans="1:20" s="301" customFormat="1" ht="54.75" customHeight="1" x14ac:dyDescent="0.25">
      <c r="A133" s="342"/>
      <c r="B133" s="349"/>
      <c r="C133" s="344"/>
      <c r="D133" s="359"/>
      <c r="E133" s="263"/>
      <c r="F133" s="189">
        <v>100</v>
      </c>
      <c r="G133" s="189">
        <v>0</v>
      </c>
      <c r="H133" s="189">
        <v>0</v>
      </c>
      <c r="I133" s="189">
        <v>100</v>
      </c>
      <c r="J133" s="189">
        <v>100</v>
      </c>
      <c r="K133" s="189">
        <v>100</v>
      </c>
      <c r="L133" s="189">
        <v>100</v>
      </c>
      <c r="M133" s="189">
        <v>100</v>
      </c>
      <c r="N133" s="189">
        <v>100</v>
      </c>
      <c r="O133" s="189">
        <v>100</v>
      </c>
      <c r="P133" s="340"/>
      <c r="Q133" s="302"/>
    </row>
    <row r="134" spans="1:20" s="301" customFormat="1" ht="33.75" customHeight="1" x14ac:dyDescent="0.25">
      <c r="A134" s="342" t="s">
        <v>198</v>
      </c>
      <c r="B134" s="365" t="s">
        <v>236</v>
      </c>
      <c r="C134" s="361" t="s">
        <v>267</v>
      </c>
      <c r="D134" s="304" t="s">
        <v>40</v>
      </c>
      <c r="E134" s="264"/>
      <c r="F134" s="265">
        <f t="shared" ref="F134:F137" si="30">SUM(G134:O134)</f>
        <v>0</v>
      </c>
      <c r="G134" s="264">
        <v>0</v>
      </c>
      <c r="H134" s="264">
        <v>0</v>
      </c>
      <c r="I134" s="370">
        <v>0</v>
      </c>
      <c r="J134" s="370"/>
      <c r="K134" s="370"/>
      <c r="L134" s="370"/>
      <c r="M134" s="370"/>
      <c r="N134" s="264">
        <v>0</v>
      </c>
      <c r="O134" s="264">
        <v>0</v>
      </c>
      <c r="P134" s="431" t="s">
        <v>95</v>
      </c>
    </row>
    <row r="135" spans="1:20" s="301" customFormat="1" ht="34.5" x14ac:dyDescent="0.25">
      <c r="A135" s="342"/>
      <c r="B135" s="365"/>
      <c r="C135" s="361"/>
      <c r="D135" s="304" t="s">
        <v>1</v>
      </c>
      <c r="E135" s="264"/>
      <c r="F135" s="265">
        <f t="shared" si="30"/>
        <v>0</v>
      </c>
      <c r="G135" s="264">
        <v>0</v>
      </c>
      <c r="H135" s="264">
        <v>0</v>
      </c>
      <c r="I135" s="370">
        <v>0</v>
      </c>
      <c r="J135" s="370"/>
      <c r="K135" s="370"/>
      <c r="L135" s="370"/>
      <c r="M135" s="370"/>
      <c r="N135" s="264">
        <v>0</v>
      </c>
      <c r="O135" s="264">
        <v>0</v>
      </c>
      <c r="P135" s="431"/>
    </row>
    <row r="136" spans="1:20" s="301" customFormat="1" ht="51.75" x14ac:dyDescent="0.25">
      <c r="A136" s="342"/>
      <c r="B136" s="365"/>
      <c r="C136" s="361"/>
      <c r="D136" s="304" t="s">
        <v>47</v>
      </c>
      <c r="E136" s="264">
        <v>0</v>
      </c>
      <c r="F136" s="265">
        <f t="shared" si="30"/>
        <v>959053.56108000001</v>
      </c>
      <c r="G136" s="264">
        <v>0</v>
      </c>
      <c r="H136" s="264">
        <v>0</v>
      </c>
      <c r="I136" s="372">
        <f>319744-178.43892</f>
        <v>319565.56108000001</v>
      </c>
      <c r="J136" s="372"/>
      <c r="K136" s="372"/>
      <c r="L136" s="372"/>
      <c r="M136" s="372"/>
      <c r="N136" s="264">
        <v>319744</v>
      </c>
      <c r="O136" s="264">
        <v>319744</v>
      </c>
      <c r="P136" s="431"/>
    </row>
    <row r="137" spans="1:20" s="301" customFormat="1" ht="32.25" customHeight="1" x14ac:dyDescent="0.25">
      <c r="A137" s="342"/>
      <c r="B137" s="365"/>
      <c r="C137" s="361"/>
      <c r="D137" s="304" t="s">
        <v>87</v>
      </c>
      <c r="E137" s="264"/>
      <c r="F137" s="265">
        <f t="shared" si="30"/>
        <v>0</v>
      </c>
      <c r="G137" s="264">
        <v>0</v>
      </c>
      <c r="H137" s="264">
        <v>0</v>
      </c>
      <c r="I137" s="370">
        <v>0</v>
      </c>
      <c r="J137" s="370"/>
      <c r="K137" s="370"/>
      <c r="L137" s="370"/>
      <c r="M137" s="370"/>
      <c r="N137" s="264">
        <v>0</v>
      </c>
      <c r="O137" s="264">
        <v>0</v>
      </c>
      <c r="P137" s="431"/>
    </row>
    <row r="138" spans="1:20" s="301" customFormat="1" ht="41.25" customHeight="1" x14ac:dyDescent="0.25">
      <c r="A138" s="342"/>
      <c r="B138" s="349" t="s">
        <v>160</v>
      </c>
      <c r="C138" s="344" t="s">
        <v>116</v>
      </c>
      <c r="D138" s="359" t="s">
        <v>116</v>
      </c>
      <c r="E138" s="263"/>
      <c r="F138" s="337" t="s">
        <v>117</v>
      </c>
      <c r="G138" s="261" t="s">
        <v>247</v>
      </c>
      <c r="H138" s="261" t="s">
        <v>248</v>
      </c>
      <c r="I138" s="354" t="s">
        <v>123</v>
      </c>
      <c r="J138" s="339" t="s">
        <v>118</v>
      </c>
      <c r="K138" s="339"/>
      <c r="L138" s="339"/>
      <c r="M138" s="339"/>
      <c r="N138" s="261" t="s">
        <v>124</v>
      </c>
      <c r="O138" s="261" t="s">
        <v>125</v>
      </c>
      <c r="P138" s="340" t="s">
        <v>116</v>
      </c>
      <c r="Q138" s="302"/>
    </row>
    <row r="139" spans="1:20" s="301" customFormat="1" ht="28.5" customHeight="1" x14ac:dyDescent="0.25">
      <c r="A139" s="342"/>
      <c r="B139" s="349"/>
      <c r="C139" s="344"/>
      <c r="D139" s="359"/>
      <c r="E139" s="263"/>
      <c r="F139" s="337"/>
      <c r="G139" s="263"/>
      <c r="H139" s="263"/>
      <c r="I139" s="354"/>
      <c r="J139" s="263" t="s">
        <v>119</v>
      </c>
      <c r="K139" s="263" t="s">
        <v>120</v>
      </c>
      <c r="L139" s="263" t="s">
        <v>121</v>
      </c>
      <c r="M139" s="263" t="s">
        <v>122</v>
      </c>
      <c r="N139" s="263"/>
      <c r="O139" s="263"/>
      <c r="P139" s="340"/>
      <c r="Q139" s="302"/>
    </row>
    <row r="140" spans="1:20" s="301" customFormat="1" ht="45" customHeight="1" x14ac:dyDescent="0.25">
      <c r="A140" s="342"/>
      <c r="B140" s="349"/>
      <c r="C140" s="344"/>
      <c r="D140" s="359"/>
      <c r="E140" s="263"/>
      <c r="F140" s="189">
        <v>100</v>
      </c>
      <c r="G140" s="189">
        <v>0</v>
      </c>
      <c r="H140" s="189">
        <v>0</v>
      </c>
      <c r="I140" s="189">
        <v>100</v>
      </c>
      <c r="J140" s="189">
        <v>100</v>
      </c>
      <c r="K140" s="189">
        <v>100</v>
      </c>
      <c r="L140" s="189">
        <v>100</v>
      </c>
      <c r="M140" s="189">
        <v>100</v>
      </c>
      <c r="N140" s="189">
        <v>100</v>
      </c>
      <c r="O140" s="189">
        <v>100</v>
      </c>
      <c r="P140" s="340"/>
      <c r="Q140" s="302"/>
    </row>
    <row r="141" spans="1:20" s="301" customFormat="1" ht="36" customHeight="1" x14ac:dyDescent="0.25">
      <c r="A141" s="342" t="s">
        <v>209</v>
      </c>
      <c r="B141" s="441" t="s">
        <v>237</v>
      </c>
      <c r="C141" s="439" t="s">
        <v>267</v>
      </c>
      <c r="D141" s="304" t="s">
        <v>40</v>
      </c>
      <c r="E141" s="266"/>
      <c r="F141" s="260">
        <f t="shared" ref="F141:F144" si="31">SUM(G141:O141)</f>
        <v>0</v>
      </c>
      <c r="G141" s="266">
        <v>0</v>
      </c>
      <c r="H141" s="266">
        <v>0</v>
      </c>
      <c r="I141" s="433">
        <v>0</v>
      </c>
      <c r="J141" s="433"/>
      <c r="K141" s="433"/>
      <c r="L141" s="433"/>
      <c r="M141" s="433"/>
      <c r="N141" s="266">
        <v>0</v>
      </c>
      <c r="O141" s="266">
        <v>0</v>
      </c>
      <c r="P141" s="434" t="s">
        <v>3</v>
      </c>
      <c r="T141" s="306"/>
    </row>
    <row r="142" spans="1:20" s="301" customFormat="1" ht="34.5" x14ac:dyDescent="0.25">
      <c r="A142" s="342"/>
      <c r="B142" s="441"/>
      <c r="C142" s="439"/>
      <c r="D142" s="300" t="s">
        <v>1</v>
      </c>
      <c r="E142" s="262">
        <v>34122</v>
      </c>
      <c r="F142" s="260">
        <f t="shared" si="31"/>
        <v>121848</v>
      </c>
      <c r="G142" s="262">
        <v>0</v>
      </c>
      <c r="H142" s="262">
        <v>0</v>
      </c>
      <c r="I142" s="338">
        <v>40616</v>
      </c>
      <c r="J142" s="338"/>
      <c r="K142" s="338"/>
      <c r="L142" s="338"/>
      <c r="M142" s="338"/>
      <c r="N142" s="262">
        <v>40616</v>
      </c>
      <c r="O142" s="262">
        <v>40616</v>
      </c>
      <c r="P142" s="434"/>
    </row>
    <row r="143" spans="1:20" s="301" customFormat="1" ht="51.75" x14ac:dyDescent="0.25">
      <c r="A143" s="342"/>
      <c r="B143" s="441"/>
      <c r="C143" s="439"/>
      <c r="D143" s="300" t="s">
        <v>47</v>
      </c>
      <c r="E143" s="262">
        <v>20473</v>
      </c>
      <c r="F143" s="260">
        <f t="shared" si="31"/>
        <v>75000</v>
      </c>
      <c r="G143" s="262">
        <v>0</v>
      </c>
      <c r="H143" s="262">
        <v>0</v>
      </c>
      <c r="I143" s="338">
        <v>25000</v>
      </c>
      <c r="J143" s="338"/>
      <c r="K143" s="338"/>
      <c r="L143" s="338"/>
      <c r="M143" s="338"/>
      <c r="N143" s="262">
        <v>25000</v>
      </c>
      <c r="O143" s="262">
        <v>25000</v>
      </c>
      <c r="P143" s="434"/>
    </row>
    <row r="144" spans="1:20" s="301" customFormat="1" ht="46.5" customHeight="1" x14ac:dyDescent="0.25">
      <c r="A144" s="342"/>
      <c r="B144" s="441"/>
      <c r="C144" s="439"/>
      <c r="D144" s="300" t="s">
        <v>87</v>
      </c>
      <c r="E144" s="262"/>
      <c r="F144" s="260">
        <f t="shared" si="31"/>
        <v>0</v>
      </c>
      <c r="G144" s="262">
        <v>0</v>
      </c>
      <c r="H144" s="262">
        <v>0</v>
      </c>
      <c r="I144" s="338">
        <v>0</v>
      </c>
      <c r="J144" s="338"/>
      <c r="K144" s="338"/>
      <c r="L144" s="338"/>
      <c r="M144" s="338"/>
      <c r="N144" s="262">
        <v>0</v>
      </c>
      <c r="O144" s="262">
        <v>0</v>
      </c>
      <c r="P144" s="434"/>
    </row>
    <row r="145" spans="1:21" s="301" customFormat="1" ht="92.25" customHeight="1" x14ac:dyDescent="0.25">
      <c r="A145" s="342"/>
      <c r="B145" s="349" t="s">
        <v>172</v>
      </c>
      <c r="C145" s="344" t="s">
        <v>116</v>
      </c>
      <c r="D145" s="359" t="s">
        <v>116</v>
      </c>
      <c r="E145" s="263"/>
      <c r="F145" s="337" t="s">
        <v>117</v>
      </c>
      <c r="G145" s="261" t="s">
        <v>247</v>
      </c>
      <c r="H145" s="261" t="s">
        <v>248</v>
      </c>
      <c r="I145" s="354" t="s">
        <v>123</v>
      </c>
      <c r="J145" s="339" t="s">
        <v>118</v>
      </c>
      <c r="K145" s="339"/>
      <c r="L145" s="339"/>
      <c r="M145" s="339"/>
      <c r="N145" s="261" t="s">
        <v>124</v>
      </c>
      <c r="O145" s="261" t="s">
        <v>125</v>
      </c>
      <c r="P145" s="340" t="s">
        <v>116</v>
      </c>
      <c r="Q145" s="302"/>
    </row>
    <row r="146" spans="1:21" s="301" customFormat="1" ht="33.950000000000003" customHeight="1" x14ac:dyDescent="0.25">
      <c r="A146" s="342"/>
      <c r="B146" s="349"/>
      <c r="C146" s="344"/>
      <c r="D146" s="359"/>
      <c r="E146" s="263"/>
      <c r="F146" s="337"/>
      <c r="G146" s="263"/>
      <c r="H146" s="263"/>
      <c r="I146" s="354"/>
      <c r="J146" s="263" t="s">
        <v>119</v>
      </c>
      <c r="K146" s="263" t="s">
        <v>120</v>
      </c>
      <c r="L146" s="263" t="s">
        <v>121</v>
      </c>
      <c r="M146" s="263" t="s">
        <v>122</v>
      </c>
      <c r="N146" s="263"/>
      <c r="O146" s="263"/>
      <c r="P146" s="340"/>
      <c r="Q146" s="302"/>
    </row>
    <row r="147" spans="1:21" s="301" customFormat="1" ht="151.5" customHeight="1" x14ac:dyDescent="0.25">
      <c r="A147" s="342"/>
      <c r="B147" s="349"/>
      <c r="C147" s="344"/>
      <c r="D147" s="359"/>
      <c r="E147" s="263"/>
      <c r="F147" s="189">
        <f>I147</f>
        <v>31</v>
      </c>
      <c r="G147" s="189">
        <v>0</v>
      </c>
      <c r="H147" s="189">
        <v>0</v>
      </c>
      <c r="I147" s="189">
        <v>31</v>
      </c>
      <c r="J147" s="189">
        <v>31</v>
      </c>
      <c r="K147" s="189">
        <v>31</v>
      </c>
      <c r="L147" s="189">
        <v>31</v>
      </c>
      <c r="M147" s="189">
        <v>31</v>
      </c>
      <c r="N147" s="189">
        <v>31</v>
      </c>
      <c r="O147" s="189">
        <v>31</v>
      </c>
      <c r="P147" s="340"/>
      <c r="Q147" s="302"/>
      <c r="S147" s="301">
        <f>770.61/2448.6*100</f>
        <v>31.471453075226663</v>
      </c>
    </row>
    <row r="148" spans="1:21" s="9" customFormat="1" ht="30" customHeight="1" x14ac:dyDescent="0.25">
      <c r="A148" s="343" t="s">
        <v>74</v>
      </c>
      <c r="B148" s="366" t="s">
        <v>93</v>
      </c>
      <c r="C148" s="366" t="s">
        <v>86</v>
      </c>
      <c r="D148" s="218" t="s">
        <v>2</v>
      </c>
      <c r="E148" s="142" t="e">
        <f>E150+E151+E149</f>
        <v>#REF!</v>
      </c>
      <c r="F148" s="156">
        <f>SUM(G148:O148)</f>
        <v>2906120.6616399996</v>
      </c>
      <c r="G148" s="204">
        <f t="shared" ref="G148:H148" si="32">G150+G151+G149+G152</f>
        <v>724828.87861999997</v>
      </c>
      <c r="H148" s="142">
        <f t="shared" si="32"/>
        <v>785105.55301999999</v>
      </c>
      <c r="I148" s="351">
        <f>I150+I151+I149+I152</f>
        <v>502467.33999999997</v>
      </c>
      <c r="J148" s="351"/>
      <c r="K148" s="351"/>
      <c r="L148" s="351"/>
      <c r="M148" s="351"/>
      <c r="N148" s="142">
        <f t="shared" ref="N148:O148" si="33">N150+N151+N149+N152</f>
        <v>450380.11</v>
      </c>
      <c r="O148" s="142">
        <f t="shared" si="33"/>
        <v>443338.78</v>
      </c>
      <c r="P148" s="432"/>
      <c r="S148" s="113">
        <f>770.61/999.3*100</f>
        <v>77.114980486340443</v>
      </c>
      <c r="T148" s="45"/>
      <c r="U148" s="45"/>
    </row>
    <row r="149" spans="1:21" s="9" customFormat="1" ht="39.75" customHeight="1" x14ac:dyDescent="0.25">
      <c r="A149" s="343"/>
      <c r="B149" s="366"/>
      <c r="C149" s="366"/>
      <c r="D149" s="218" t="s">
        <v>40</v>
      </c>
      <c r="E149" s="143">
        <f>E167</f>
        <v>0</v>
      </c>
      <c r="F149" s="156">
        <f t="shared" ref="F149:F156" si="34">SUM(G149:O149)</f>
        <v>925902.25178000017</v>
      </c>
      <c r="G149" s="203">
        <f t="shared" ref="G149:H149" si="35">G153+G160+G167+G177+G184</f>
        <v>168810.5778</v>
      </c>
      <c r="H149" s="143">
        <f t="shared" si="35"/>
        <v>194255.56570000001</v>
      </c>
      <c r="I149" s="448">
        <f>I153+I160+I167+I177+I184</f>
        <v>199531.94307000001</v>
      </c>
      <c r="J149" s="449"/>
      <c r="K149" s="449"/>
      <c r="L149" s="449"/>
      <c r="M149" s="450"/>
      <c r="N149" s="143">
        <f t="shared" ref="N149:O149" si="36">N153+N160+N167+N177+N184</f>
        <v>187166.77438000002</v>
      </c>
      <c r="O149" s="143">
        <f t="shared" si="36"/>
        <v>176137.39083000002</v>
      </c>
      <c r="P149" s="432"/>
      <c r="T149" s="45"/>
      <c r="U149" s="45"/>
    </row>
    <row r="150" spans="1:21" s="9" customFormat="1" ht="39.75" customHeight="1" x14ac:dyDescent="0.25">
      <c r="A150" s="343"/>
      <c r="B150" s="366"/>
      <c r="C150" s="366"/>
      <c r="D150" s="218" t="s">
        <v>1</v>
      </c>
      <c r="E150" s="143" t="e">
        <f>#REF!+E153+E154+E161+#REF!+#REF!+E168+E178</f>
        <v>#REF!</v>
      </c>
      <c r="F150" s="156">
        <f t="shared" si="34"/>
        <v>1237582.50789</v>
      </c>
      <c r="G150" s="203">
        <f>G154+G161+G168+G178+G185+G199+G192</f>
        <v>266250.13696999999</v>
      </c>
      <c r="H150" s="143">
        <f>H154+H161+H168+H178+H185+H199+H192</f>
        <v>326694.87919999997</v>
      </c>
      <c r="I150" s="448">
        <f>I154+I161+I168+I178+I185+I192+I199</f>
        <v>239705.85693000001</v>
      </c>
      <c r="J150" s="449"/>
      <c r="K150" s="449"/>
      <c r="L150" s="449"/>
      <c r="M150" s="450"/>
      <c r="N150" s="143">
        <f t="shared" ref="N150:O150" si="37">N154+N161+N168+N178+N185+N199</f>
        <v>200150.72561999998</v>
      </c>
      <c r="O150" s="143">
        <f t="shared" si="37"/>
        <v>204780.90917</v>
      </c>
      <c r="P150" s="432"/>
      <c r="T150" s="45"/>
      <c r="U150" s="45"/>
    </row>
    <row r="151" spans="1:21" s="9" customFormat="1" ht="58.5" customHeight="1" x14ac:dyDescent="0.25">
      <c r="A151" s="343"/>
      <c r="B151" s="366"/>
      <c r="C151" s="366"/>
      <c r="D151" s="218" t="s">
        <v>48</v>
      </c>
      <c r="E151" s="143" t="e">
        <f>#REF!+E162+#REF!+#REF!+#REF!+E169+E179</f>
        <v>#REF!</v>
      </c>
      <c r="F151" s="156">
        <f t="shared" si="34"/>
        <v>742635.90197000001</v>
      </c>
      <c r="G151" s="203">
        <f>G155+G162+G169+G179+G186</f>
        <v>289768.16385000001</v>
      </c>
      <c r="H151" s="143">
        <f>H155+H162+H169+H179+H186</f>
        <v>264155.10811999999</v>
      </c>
      <c r="I151" s="350">
        <f>I155+I162+I169+I179+I186+I193+I200</f>
        <v>63229.54</v>
      </c>
      <c r="J151" s="350"/>
      <c r="K151" s="350"/>
      <c r="L151" s="350"/>
      <c r="M151" s="350"/>
      <c r="N151" s="143">
        <f>N155+N162+N169+N179+N186</f>
        <v>63062.61</v>
      </c>
      <c r="O151" s="143">
        <f t="shared" ref="O151" si="38">O155+O162+O169+O179+O186</f>
        <v>62420.480000000003</v>
      </c>
      <c r="P151" s="432"/>
      <c r="T151" s="45"/>
      <c r="U151" s="45"/>
    </row>
    <row r="152" spans="1:21" s="9" customFormat="1" ht="34.5" x14ac:dyDescent="0.25">
      <c r="A152" s="343"/>
      <c r="B152" s="366"/>
      <c r="C152" s="366"/>
      <c r="D152" s="218" t="s">
        <v>87</v>
      </c>
      <c r="E152" s="143"/>
      <c r="F152" s="156">
        <f t="shared" si="34"/>
        <v>0</v>
      </c>
      <c r="G152" s="203">
        <f t="shared" ref="G152:H152" si="39">G156+G163+G170+G180+G187</f>
        <v>0</v>
      </c>
      <c r="H152" s="143">
        <f t="shared" si="39"/>
        <v>0</v>
      </c>
      <c r="I152" s="350">
        <f>I156+I163+I170+I180+I187+I194+I201</f>
        <v>0</v>
      </c>
      <c r="J152" s="350"/>
      <c r="K152" s="350"/>
      <c r="L152" s="350"/>
      <c r="M152" s="350"/>
      <c r="N152" s="143">
        <f t="shared" ref="N152:O152" si="40">N156+N163+N170+N180+N187</f>
        <v>0</v>
      </c>
      <c r="O152" s="143">
        <f t="shared" si="40"/>
        <v>0</v>
      </c>
      <c r="P152" s="432"/>
      <c r="T152" s="45"/>
      <c r="U152" s="45"/>
    </row>
    <row r="153" spans="1:21" s="40" customFormat="1" ht="37.5" customHeight="1" x14ac:dyDescent="0.25">
      <c r="A153" s="345" t="s">
        <v>30</v>
      </c>
      <c r="B153" s="367" t="s">
        <v>94</v>
      </c>
      <c r="C153" s="347" t="s">
        <v>268</v>
      </c>
      <c r="D153" s="304" t="s">
        <v>40</v>
      </c>
      <c r="E153" s="288">
        <v>200475</v>
      </c>
      <c r="F153" s="309">
        <f>SUM(G153:O153)</f>
        <v>0</v>
      </c>
      <c r="G153" s="288">
        <v>0</v>
      </c>
      <c r="H153" s="288">
        <v>0</v>
      </c>
      <c r="I153" s="336">
        <v>0</v>
      </c>
      <c r="J153" s="336"/>
      <c r="K153" s="336"/>
      <c r="L153" s="336"/>
      <c r="M153" s="336"/>
      <c r="N153" s="288">
        <v>0</v>
      </c>
      <c r="O153" s="288">
        <v>0</v>
      </c>
      <c r="P153" s="431" t="s">
        <v>3</v>
      </c>
    </row>
    <row r="154" spans="1:21" s="40" customFormat="1" ht="34.5" x14ac:dyDescent="0.25">
      <c r="A154" s="345"/>
      <c r="B154" s="367"/>
      <c r="C154" s="347"/>
      <c r="D154" s="304" t="s">
        <v>1</v>
      </c>
      <c r="E154" s="288">
        <v>93</v>
      </c>
      <c r="F154" s="309">
        <f t="shared" si="34"/>
        <v>7</v>
      </c>
      <c r="G154" s="288">
        <v>7</v>
      </c>
      <c r="H154" s="288">
        <v>0</v>
      </c>
      <c r="I154" s="336">
        <v>0</v>
      </c>
      <c r="J154" s="336"/>
      <c r="K154" s="336"/>
      <c r="L154" s="336"/>
      <c r="M154" s="336"/>
      <c r="N154" s="288">
        <f>15+1-16</f>
        <v>0</v>
      </c>
      <c r="O154" s="288">
        <f>15+1-16</f>
        <v>0</v>
      </c>
      <c r="P154" s="431"/>
    </row>
    <row r="155" spans="1:21" s="40" customFormat="1" ht="51.75" x14ac:dyDescent="0.25">
      <c r="A155" s="345"/>
      <c r="B155" s="367"/>
      <c r="C155" s="347"/>
      <c r="D155" s="304" t="s">
        <v>47</v>
      </c>
      <c r="E155" s="288"/>
      <c r="F155" s="309">
        <f t="shared" si="34"/>
        <v>0</v>
      </c>
      <c r="G155" s="288">
        <v>0</v>
      </c>
      <c r="H155" s="288">
        <v>0</v>
      </c>
      <c r="I155" s="336">
        <v>0</v>
      </c>
      <c r="J155" s="336"/>
      <c r="K155" s="336"/>
      <c r="L155" s="336"/>
      <c r="M155" s="336"/>
      <c r="N155" s="288">
        <v>0</v>
      </c>
      <c r="O155" s="288">
        <v>0</v>
      </c>
      <c r="P155" s="431"/>
    </row>
    <row r="156" spans="1:21" s="40" customFormat="1" ht="33" customHeight="1" x14ac:dyDescent="0.25">
      <c r="A156" s="345"/>
      <c r="B156" s="367"/>
      <c r="C156" s="347"/>
      <c r="D156" s="304" t="s">
        <v>87</v>
      </c>
      <c r="E156" s="288"/>
      <c r="F156" s="309">
        <f t="shared" si="34"/>
        <v>0</v>
      </c>
      <c r="G156" s="288">
        <v>0</v>
      </c>
      <c r="H156" s="288">
        <v>0</v>
      </c>
      <c r="I156" s="336">
        <v>0</v>
      </c>
      <c r="J156" s="336"/>
      <c r="K156" s="336"/>
      <c r="L156" s="336"/>
      <c r="M156" s="336"/>
      <c r="N156" s="288">
        <v>0</v>
      </c>
      <c r="O156" s="288">
        <v>0</v>
      </c>
      <c r="P156" s="431"/>
    </row>
    <row r="157" spans="1:21" s="40" customFormat="1" ht="23.25" customHeight="1" x14ac:dyDescent="0.25">
      <c r="A157" s="345"/>
      <c r="B157" s="349" t="s">
        <v>157</v>
      </c>
      <c r="C157" s="344" t="s">
        <v>116</v>
      </c>
      <c r="D157" s="359" t="s">
        <v>116</v>
      </c>
      <c r="E157" s="287"/>
      <c r="F157" s="360" t="s">
        <v>117</v>
      </c>
      <c r="G157" s="286" t="s">
        <v>247</v>
      </c>
      <c r="H157" s="286" t="s">
        <v>248</v>
      </c>
      <c r="I157" s="354" t="s">
        <v>123</v>
      </c>
      <c r="J157" s="339" t="s">
        <v>118</v>
      </c>
      <c r="K157" s="339"/>
      <c r="L157" s="339"/>
      <c r="M157" s="339"/>
      <c r="N157" s="286" t="s">
        <v>124</v>
      </c>
      <c r="O157" s="286" t="s">
        <v>125</v>
      </c>
      <c r="P157" s="340" t="s">
        <v>116</v>
      </c>
      <c r="Q157" s="41"/>
    </row>
    <row r="158" spans="1:21" s="40" customFormat="1" ht="21.75" customHeight="1" x14ac:dyDescent="0.25">
      <c r="A158" s="345"/>
      <c r="B158" s="349"/>
      <c r="C158" s="344"/>
      <c r="D158" s="359"/>
      <c r="E158" s="287"/>
      <c r="F158" s="360"/>
      <c r="G158" s="287"/>
      <c r="H158" s="287"/>
      <c r="I158" s="354"/>
      <c r="J158" s="287" t="s">
        <v>119</v>
      </c>
      <c r="K158" s="287" t="s">
        <v>120</v>
      </c>
      <c r="L158" s="287" t="s">
        <v>121</v>
      </c>
      <c r="M158" s="287" t="s">
        <v>122</v>
      </c>
      <c r="N158" s="287"/>
      <c r="O158" s="287"/>
      <c r="P158" s="340"/>
      <c r="Q158" s="41"/>
    </row>
    <row r="159" spans="1:21" s="40" customFormat="1" ht="27.75" customHeight="1" x14ac:dyDescent="0.25">
      <c r="A159" s="345"/>
      <c r="B159" s="349"/>
      <c r="C159" s="344"/>
      <c r="D159" s="359"/>
      <c r="E159" s="287"/>
      <c r="F159" s="190">
        <v>100</v>
      </c>
      <c r="G159" s="189">
        <v>100</v>
      </c>
      <c r="H159" s="189">
        <v>0</v>
      </c>
      <c r="I159" s="189">
        <v>0</v>
      </c>
      <c r="J159" s="189">
        <v>0</v>
      </c>
      <c r="K159" s="189">
        <v>0</v>
      </c>
      <c r="L159" s="189">
        <v>0</v>
      </c>
      <c r="M159" s="189">
        <v>0</v>
      </c>
      <c r="N159" s="189">
        <v>0</v>
      </c>
      <c r="O159" s="189">
        <v>0</v>
      </c>
      <c r="P159" s="340"/>
      <c r="Q159" s="41"/>
    </row>
    <row r="160" spans="1:21" s="40" customFormat="1" ht="33.75" customHeight="1" x14ac:dyDescent="0.25">
      <c r="A160" s="345" t="s">
        <v>31</v>
      </c>
      <c r="B160" s="369" t="s">
        <v>130</v>
      </c>
      <c r="C160" s="347" t="s">
        <v>207</v>
      </c>
      <c r="D160" s="304" t="s">
        <v>40</v>
      </c>
      <c r="E160" s="288"/>
      <c r="F160" s="309">
        <f>SUM(G160:O160)</f>
        <v>0</v>
      </c>
      <c r="G160" s="288">
        <v>0</v>
      </c>
      <c r="H160" s="288">
        <v>0</v>
      </c>
      <c r="I160" s="336">
        <v>0</v>
      </c>
      <c r="J160" s="336"/>
      <c r="K160" s="336"/>
      <c r="L160" s="336"/>
      <c r="M160" s="336"/>
      <c r="N160" s="288">
        <f>1680-1680</f>
        <v>0</v>
      </c>
      <c r="O160" s="288">
        <v>0</v>
      </c>
      <c r="P160" s="431" t="s">
        <v>3</v>
      </c>
    </row>
    <row r="161" spans="1:17" s="40" customFormat="1" ht="37.5" customHeight="1" x14ac:dyDescent="0.25">
      <c r="A161" s="345"/>
      <c r="B161" s="369"/>
      <c r="C161" s="347"/>
      <c r="D161" s="304" t="s">
        <v>1</v>
      </c>
      <c r="E161" s="288">
        <v>1680</v>
      </c>
      <c r="F161" s="309">
        <f t="shared" ref="F161:F163" si="41">SUM(G161:O161)</f>
        <v>36144</v>
      </c>
      <c r="G161" s="288">
        <v>0</v>
      </c>
      <c r="H161" s="288">
        <v>7608</v>
      </c>
      <c r="I161" s="336">
        <v>9032</v>
      </c>
      <c r="J161" s="336"/>
      <c r="K161" s="336"/>
      <c r="L161" s="336"/>
      <c r="M161" s="336"/>
      <c r="N161" s="288">
        <v>9504</v>
      </c>
      <c r="O161" s="288">
        <v>10000</v>
      </c>
      <c r="P161" s="431"/>
    </row>
    <row r="162" spans="1:17" s="40" customFormat="1" ht="51.75" x14ac:dyDescent="0.25">
      <c r="A162" s="345"/>
      <c r="B162" s="369"/>
      <c r="C162" s="347"/>
      <c r="D162" s="304" t="s">
        <v>47</v>
      </c>
      <c r="E162" s="288">
        <v>420</v>
      </c>
      <c r="F162" s="309">
        <f t="shared" si="41"/>
        <v>9036</v>
      </c>
      <c r="G162" s="288">
        <v>0</v>
      </c>
      <c r="H162" s="288">
        <v>1902</v>
      </c>
      <c r="I162" s="336">
        <v>2258</v>
      </c>
      <c r="J162" s="336"/>
      <c r="K162" s="336"/>
      <c r="L162" s="336"/>
      <c r="M162" s="336"/>
      <c r="N162" s="288">
        <v>2376</v>
      </c>
      <c r="O162" s="288">
        <v>2500</v>
      </c>
      <c r="P162" s="431"/>
    </row>
    <row r="163" spans="1:17" s="40" customFormat="1" ht="34.5" x14ac:dyDescent="0.25">
      <c r="A163" s="345"/>
      <c r="B163" s="369"/>
      <c r="C163" s="347"/>
      <c r="D163" s="304" t="s">
        <v>87</v>
      </c>
      <c r="E163" s="288"/>
      <c r="F163" s="309">
        <f t="shared" si="41"/>
        <v>0</v>
      </c>
      <c r="G163" s="288">
        <v>0</v>
      </c>
      <c r="H163" s="288">
        <v>0</v>
      </c>
      <c r="I163" s="336">
        <v>0</v>
      </c>
      <c r="J163" s="336"/>
      <c r="K163" s="336"/>
      <c r="L163" s="336"/>
      <c r="M163" s="336"/>
      <c r="N163" s="288">
        <v>0</v>
      </c>
      <c r="O163" s="288">
        <v>0</v>
      </c>
      <c r="P163" s="431"/>
    </row>
    <row r="164" spans="1:17" s="40" customFormat="1" ht="24.75" customHeight="1" x14ac:dyDescent="0.25">
      <c r="A164" s="345"/>
      <c r="B164" s="349" t="s">
        <v>158</v>
      </c>
      <c r="C164" s="344" t="s">
        <v>116</v>
      </c>
      <c r="D164" s="359" t="s">
        <v>116</v>
      </c>
      <c r="E164" s="287"/>
      <c r="F164" s="360" t="s">
        <v>117</v>
      </c>
      <c r="G164" s="286" t="s">
        <v>247</v>
      </c>
      <c r="H164" s="286" t="s">
        <v>248</v>
      </c>
      <c r="I164" s="354" t="s">
        <v>123</v>
      </c>
      <c r="J164" s="339" t="s">
        <v>118</v>
      </c>
      <c r="K164" s="339"/>
      <c r="L164" s="339"/>
      <c r="M164" s="339"/>
      <c r="N164" s="286" t="s">
        <v>124</v>
      </c>
      <c r="O164" s="286" t="s">
        <v>125</v>
      </c>
      <c r="P164" s="340" t="s">
        <v>116</v>
      </c>
      <c r="Q164" s="41"/>
    </row>
    <row r="165" spans="1:17" s="40" customFormat="1" ht="24.75" customHeight="1" x14ac:dyDescent="0.25">
      <c r="A165" s="345"/>
      <c r="B165" s="349"/>
      <c r="C165" s="344"/>
      <c r="D165" s="359"/>
      <c r="E165" s="287"/>
      <c r="F165" s="360"/>
      <c r="G165" s="287"/>
      <c r="H165" s="287"/>
      <c r="I165" s="354"/>
      <c r="J165" s="287" t="s">
        <v>119</v>
      </c>
      <c r="K165" s="287" t="s">
        <v>120</v>
      </c>
      <c r="L165" s="287" t="s">
        <v>121</v>
      </c>
      <c r="M165" s="287" t="s">
        <v>122</v>
      </c>
      <c r="N165" s="287"/>
      <c r="O165" s="287"/>
      <c r="P165" s="340"/>
      <c r="Q165" s="41"/>
    </row>
    <row r="166" spans="1:17" s="40" customFormat="1" ht="32.25" customHeight="1" x14ac:dyDescent="0.25">
      <c r="A166" s="345"/>
      <c r="B166" s="349"/>
      <c r="C166" s="344"/>
      <c r="D166" s="359"/>
      <c r="E166" s="287"/>
      <c r="F166" s="190">
        <f>I166+H166+G166+N166+O166</f>
        <v>8</v>
      </c>
      <c r="G166" s="189">
        <v>0</v>
      </c>
      <c r="H166" s="189">
        <v>2</v>
      </c>
      <c r="I166" s="189">
        <v>2</v>
      </c>
      <c r="J166" s="189">
        <v>0</v>
      </c>
      <c r="K166" s="189">
        <v>0</v>
      </c>
      <c r="L166" s="189">
        <v>0</v>
      </c>
      <c r="M166" s="189">
        <v>2</v>
      </c>
      <c r="N166" s="189">
        <v>2</v>
      </c>
      <c r="O166" s="189">
        <v>2</v>
      </c>
      <c r="P166" s="340"/>
      <c r="Q166" s="41"/>
    </row>
    <row r="167" spans="1:17" s="40" customFormat="1" ht="36.75" customHeight="1" x14ac:dyDescent="0.25">
      <c r="A167" s="362" t="s">
        <v>32</v>
      </c>
      <c r="B167" s="369" t="s">
        <v>131</v>
      </c>
      <c r="C167" s="347" t="s">
        <v>86</v>
      </c>
      <c r="D167" s="303" t="s">
        <v>40</v>
      </c>
      <c r="E167" s="288">
        <v>0</v>
      </c>
      <c r="F167" s="309">
        <f>SUM(G167:O167)</f>
        <v>925902.25178000017</v>
      </c>
      <c r="G167" s="288">
        <v>168810.5778</v>
      </c>
      <c r="H167" s="288">
        <v>194255.56570000001</v>
      </c>
      <c r="I167" s="336">
        <f>199531.92+0.02307</f>
        <v>199531.94307000001</v>
      </c>
      <c r="J167" s="336"/>
      <c r="K167" s="336"/>
      <c r="L167" s="336"/>
      <c r="M167" s="336"/>
      <c r="N167" s="322">
        <f>187166.76+0.01438</f>
        <v>187166.77438000002</v>
      </c>
      <c r="O167" s="322">
        <f>176137.39+0.00083</f>
        <v>176137.39083000002</v>
      </c>
      <c r="P167" s="431" t="s">
        <v>95</v>
      </c>
    </row>
    <row r="168" spans="1:17" s="40" customFormat="1" ht="34.5" x14ac:dyDescent="0.25">
      <c r="A168" s="363"/>
      <c r="B168" s="369"/>
      <c r="C168" s="347"/>
      <c r="D168" s="303" t="s">
        <v>1</v>
      </c>
      <c r="E168" s="288">
        <v>0</v>
      </c>
      <c r="F168" s="309">
        <f t="shared" ref="F168:F170" si="42">SUM(G168:O168)</f>
        <v>625093.50789000001</v>
      </c>
      <c r="G168" s="288">
        <v>102492.13697000001</v>
      </c>
      <c r="H168" s="288">
        <v>117940.8792</v>
      </c>
      <c r="I168" s="336">
        <f>126974.88-0.02307</f>
        <v>126974.85693000001</v>
      </c>
      <c r="J168" s="336"/>
      <c r="K168" s="336"/>
      <c r="L168" s="336"/>
      <c r="M168" s="336"/>
      <c r="N168" s="322">
        <f>136775.74-0.01438</f>
        <v>136775.72561999998</v>
      </c>
      <c r="O168" s="322">
        <f>140909.91-0.00083</f>
        <v>140909.90917</v>
      </c>
      <c r="P168" s="431"/>
    </row>
    <row r="169" spans="1:17" s="40" customFormat="1" ht="51.75" x14ac:dyDescent="0.25">
      <c r="A169" s="363"/>
      <c r="B169" s="369"/>
      <c r="C169" s="347"/>
      <c r="D169" s="303" t="s">
        <v>48</v>
      </c>
      <c r="E169" s="288">
        <v>0</v>
      </c>
      <c r="F169" s="309">
        <f t="shared" si="42"/>
        <v>172332.86997000003</v>
      </c>
      <c r="G169" s="288">
        <v>30144.746090000001</v>
      </c>
      <c r="H169" s="288">
        <v>34688.493880000002</v>
      </c>
      <c r="I169" s="336">
        <v>36278.54</v>
      </c>
      <c r="J169" s="336"/>
      <c r="K169" s="336"/>
      <c r="L169" s="336"/>
      <c r="M169" s="336"/>
      <c r="N169" s="288">
        <v>35993.61</v>
      </c>
      <c r="O169" s="288">
        <v>35227.480000000003</v>
      </c>
      <c r="P169" s="431"/>
    </row>
    <row r="170" spans="1:17" s="40" customFormat="1" ht="34.5" x14ac:dyDescent="0.25">
      <c r="A170" s="363"/>
      <c r="B170" s="369"/>
      <c r="C170" s="347"/>
      <c r="D170" s="304" t="s">
        <v>87</v>
      </c>
      <c r="E170" s="288"/>
      <c r="F170" s="309">
        <f t="shared" si="42"/>
        <v>0</v>
      </c>
      <c r="G170" s="288">
        <v>0</v>
      </c>
      <c r="H170" s="288">
        <v>0</v>
      </c>
      <c r="I170" s="336">
        <v>0</v>
      </c>
      <c r="J170" s="336"/>
      <c r="K170" s="336"/>
      <c r="L170" s="336"/>
      <c r="M170" s="336"/>
      <c r="N170" s="288">
        <v>0</v>
      </c>
      <c r="O170" s="288">
        <v>0</v>
      </c>
      <c r="P170" s="431"/>
    </row>
    <row r="171" spans="1:17" s="40" customFormat="1" ht="38.25" customHeight="1" x14ac:dyDescent="0.25">
      <c r="A171" s="363"/>
      <c r="B171" s="398" t="s">
        <v>159</v>
      </c>
      <c r="C171" s="344" t="s">
        <v>116</v>
      </c>
      <c r="D171" s="359" t="s">
        <v>116</v>
      </c>
      <c r="E171" s="324"/>
      <c r="F171" s="360" t="s">
        <v>117</v>
      </c>
      <c r="G171" s="325" t="s">
        <v>247</v>
      </c>
      <c r="H171" s="325" t="s">
        <v>248</v>
      </c>
      <c r="I171" s="354" t="s">
        <v>123</v>
      </c>
      <c r="J171" s="339" t="s">
        <v>118</v>
      </c>
      <c r="K171" s="339"/>
      <c r="L171" s="339"/>
      <c r="M171" s="339"/>
      <c r="N171" s="325" t="s">
        <v>124</v>
      </c>
      <c r="O171" s="325" t="s">
        <v>125</v>
      </c>
      <c r="P171" s="340" t="s">
        <v>116</v>
      </c>
      <c r="Q171" s="41"/>
    </row>
    <row r="172" spans="1:17" s="40" customFormat="1" ht="32.25" customHeight="1" x14ac:dyDescent="0.25">
      <c r="A172" s="363"/>
      <c r="B172" s="398"/>
      <c r="C172" s="344"/>
      <c r="D172" s="359"/>
      <c r="E172" s="324"/>
      <c r="F172" s="360"/>
      <c r="G172" s="324"/>
      <c r="H172" s="324"/>
      <c r="I172" s="354"/>
      <c r="J172" s="324" t="s">
        <v>119</v>
      </c>
      <c r="K172" s="324" t="s">
        <v>120</v>
      </c>
      <c r="L172" s="324" t="s">
        <v>121</v>
      </c>
      <c r="M172" s="324" t="s">
        <v>122</v>
      </c>
      <c r="N172" s="324"/>
      <c r="O172" s="324"/>
      <c r="P172" s="340"/>
      <c r="Q172" s="41"/>
    </row>
    <row r="173" spans="1:17" s="40" customFormat="1" ht="25.5" customHeight="1" x14ac:dyDescent="0.25">
      <c r="A173" s="363"/>
      <c r="B173" s="398"/>
      <c r="C173" s="344"/>
      <c r="D173" s="359"/>
      <c r="E173" s="324"/>
      <c r="F173" s="157">
        <v>100</v>
      </c>
      <c r="G173" s="133">
        <v>100</v>
      </c>
      <c r="H173" s="133">
        <v>100</v>
      </c>
      <c r="I173" s="564">
        <v>0</v>
      </c>
      <c r="J173" s="564">
        <v>0</v>
      </c>
      <c r="K173" s="564">
        <v>0</v>
      </c>
      <c r="L173" s="564">
        <v>0</v>
      </c>
      <c r="M173" s="564">
        <v>0</v>
      </c>
      <c r="N173" s="564">
        <v>0</v>
      </c>
      <c r="O173" s="564">
        <v>0</v>
      </c>
      <c r="P173" s="340"/>
      <c r="Q173" s="41"/>
    </row>
    <row r="174" spans="1:17" s="40" customFormat="1" ht="38.25" customHeight="1" x14ac:dyDescent="0.25">
      <c r="A174" s="363"/>
      <c r="B174" s="565" t="s">
        <v>276</v>
      </c>
      <c r="C174" s="344" t="s">
        <v>116</v>
      </c>
      <c r="D174" s="359" t="s">
        <v>116</v>
      </c>
      <c r="E174" s="287"/>
      <c r="F174" s="360" t="s">
        <v>117</v>
      </c>
      <c r="G174" s="286" t="s">
        <v>247</v>
      </c>
      <c r="H174" s="286" t="s">
        <v>248</v>
      </c>
      <c r="I174" s="354" t="s">
        <v>123</v>
      </c>
      <c r="J174" s="339" t="s">
        <v>118</v>
      </c>
      <c r="K174" s="339"/>
      <c r="L174" s="339"/>
      <c r="M174" s="339"/>
      <c r="N174" s="286" t="s">
        <v>124</v>
      </c>
      <c r="O174" s="286" t="s">
        <v>125</v>
      </c>
      <c r="P174" s="340" t="s">
        <v>116</v>
      </c>
      <c r="Q174" s="41"/>
    </row>
    <row r="175" spans="1:17" s="40" customFormat="1" ht="32.25" customHeight="1" x14ac:dyDescent="0.25">
      <c r="A175" s="363"/>
      <c r="B175" s="565"/>
      <c r="C175" s="344"/>
      <c r="D175" s="359"/>
      <c r="E175" s="287"/>
      <c r="F175" s="360"/>
      <c r="G175" s="287"/>
      <c r="H175" s="287"/>
      <c r="I175" s="354"/>
      <c r="J175" s="287" t="s">
        <v>119</v>
      </c>
      <c r="K175" s="287" t="s">
        <v>120</v>
      </c>
      <c r="L175" s="287" t="s">
        <v>121</v>
      </c>
      <c r="M175" s="287" t="s">
        <v>122</v>
      </c>
      <c r="N175" s="287"/>
      <c r="O175" s="287"/>
      <c r="P175" s="340"/>
      <c r="Q175" s="41"/>
    </row>
    <row r="176" spans="1:17" s="40" customFormat="1" ht="25.5" customHeight="1" x14ac:dyDescent="0.25">
      <c r="A176" s="364"/>
      <c r="B176" s="565"/>
      <c r="C176" s="344"/>
      <c r="D176" s="359"/>
      <c r="E176" s="287"/>
      <c r="F176" s="566">
        <f>I176+N176+O176</f>
        <v>67798</v>
      </c>
      <c r="G176" s="564">
        <v>0</v>
      </c>
      <c r="H176" s="564">
        <v>0</v>
      </c>
      <c r="I176" s="564" t="s">
        <v>277</v>
      </c>
      <c r="J176" s="564" t="s">
        <v>277</v>
      </c>
      <c r="K176" s="564" t="s">
        <v>277</v>
      </c>
      <c r="L176" s="564" t="s">
        <v>277</v>
      </c>
      <c r="M176" s="564" t="s">
        <v>277</v>
      </c>
      <c r="N176" s="564">
        <v>22674</v>
      </c>
      <c r="O176" s="564">
        <v>21335</v>
      </c>
      <c r="P176" s="340"/>
      <c r="Q176" s="41"/>
    </row>
    <row r="177" spans="1:17" s="40" customFormat="1" ht="46.5" customHeight="1" x14ac:dyDescent="0.25">
      <c r="A177" s="345" t="s">
        <v>33</v>
      </c>
      <c r="B177" s="369" t="s">
        <v>132</v>
      </c>
      <c r="C177" s="347" t="s">
        <v>269</v>
      </c>
      <c r="D177" s="303" t="s">
        <v>40</v>
      </c>
      <c r="E177" s="288"/>
      <c r="F177" s="309">
        <f t="shared" ref="F177:F180" si="43">SUM(G177:O177)</f>
        <v>0</v>
      </c>
      <c r="G177" s="288">
        <v>0</v>
      </c>
      <c r="H177" s="288">
        <v>0</v>
      </c>
      <c r="I177" s="336">
        <v>0</v>
      </c>
      <c r="J177" s="336"/>
      <c r="K177" s="336"/>
      <c r="L177" s="336"/>
      <c r="M177" s="336"/>
      <c r="N177" s="288">
        <v>0</v>
      </c>
      <c r="O177" s="288">
        <v>0</v>
      </c>
      <c r="P177" s="431" t="s">
        <v>95</v>
      </c>
    </row>
    <row r="178" spans="1:17" s="40" customFormat="1" ht="47.25" customHeight="1" x14ac:dyDescent="0.25">
      <c r="A178" s="345"/>
      <c r="B178" s="369"/>
      <c r="C178" s="347"/>
      <c r="D178" s="303" t="s">
        <v>1</v>
      </c>
      <c r="E178" s="288">
        <v>0</v>
      </c>
      <c r="F178" s="309">
        <f t="shared" si="43"/>
        <v>245884</v>
      </c>
      <c r="G178" s="288">
        <v>115501</v>
      </c>
      <c r="H178" s="288">
        <v>130383</v>
      </c>
      <c r="I178" s="336">
        <v>0</v>
      </c>
      <c r="J178" s="336"/>
      <c r="K178" s="336"/>
      <c r="L178" s="336"/>
      <c r="M178" s="336"/>
      <c r="N178" s="288">
        <f t="shared" ref="N178:O178" si="44">106081-726-105355</f>
        <v>0</v>
      </c>
      <c r="O178" s="288">
        <f t="shared" si="44"/>
        <v>0</v>
      </c>
      <c r="P178" s="431"/>
    </row>
    <row r="179" spans="1:17" s="40" customFormat="1" ht="65.25" customHeight="1" x14ac:dyDescent="0.25">
      <c r="A179" s="345"/>
      <c r="B179" s="369"/>
      <c r="C179" s="347"/>
      <c r="D179" s="303" t="s">
        <v>48</v>
      </c>
      <c r="E179" s="288">
        <v>0</v>
      </c>
      <c r="F179" s="309">
        <f t="shared" si="43"/>
        <v>427077.31842000003</v>
      </c>
      <c r="G179" s="288">
        <v>223675.70418</v>
      </c>
      <c r="H179" s="288">
        <v>203401.61424</v>
      </c>
      <c r="I179" s="336">
        <v>0</v>
      </c>
      <c r="J179" s="336"/>
      <c r="K179" s="336"/>
      <c r="L179" s="336"/>
      <c r="M179" s="336"/>
      <c r="N179" s="288">
        <v>0</v>
      </c>
      <c r="O179" s="288">
        <v>0</v>
      </c>
      <c r="P179" s="431"/>
    </row>
    <row r="180" spans="1:17" s="40" customFormat="1" ht="38.25" customHeight="1" x14ac:dyDescent="0.25">
      <c r="A180" s="345"/>
      <c r="B180" s="369"/>
      <c r="C180" s="347"/>
      <c r="D180" s="304" t="s">
        <v>87</v>
      </c>
      <c r="E180" s="288"/>
      <c r="F180" s="309">
        <f t="shared" si="43"/>
        <v>0</v>
      </c>
      <c r="G180" s="288">
        <v>0</v>
      </c>
      <c r="H180" s="288">
        <v>0</v>
      </c>
      <c r="I180" s="336">
        <v>0</v>
      </c>
      <c r="J180" s="336"/>
      <c r="K180" s="336"/>
      <c r="L180" s="336"/>
      <c r="M180" s="336"/>
      <c r="N180" s="288">
        <v>0</v>
      </c>
      <c r="O180" s="288">
        <v>0</v>
      </c>
      <c r="P180" s="431"/>
    </row>
    <row r="181" spans="1:17" s="40" customFormat="1" ht="45.75" customHeight="1" x14ac:dyDescent="0.25">
      <c r="A181" s="345"/>
      <c r="B181" s="349" t="s">
        <v>160</v>
      </c>
      <c r="C181" s="344" t="s">
        <v>116</v>
      </c>
      <c r="D181" s="359" t="s">
        <v>116</v>
      </c>
      <c r="E181" s="287"/>
      <c r="F181" s="360" t="s">
        <v>117</v>
      </c>
      <c r="G181" s="286" t="s">
        <v>247</v>
      </c>
      <c r="H181" s="286" t="s">
        <v>248</v>
      </c>
      <c r="I181" s="354" t="s">
        <v>123</v>
      </c>
      <c r="J181" s="339" t="s">
        <v>118</v>
      </c>
      <c r="K181" s="339"/>
      <c r="L181" s="339"/>
      <c r="M181" s="339"/>
      <c r="N181" s="286" t="s">
        <v>124</v>
      </c>
      <c r="O181" s="286" t="s">
        <v>125</v>
      </c>
      <c r="P181" s="340" t="s">
        <v>116</v>
      </c>
      <c r="Q181" s="41"/>
    </row>
    <row r="182" spans="1:17" s="40" customFormat="1" ht="45.75" customHeight="1" x14ac:dyDescent="0.25">
      <c r="A182" s="345"/>
      <c r="B182" s="349"/>
      <c r="C182" s="344"/>
      <c r="D182" s="359"/>
      <c r="E182" s="287"/>
      <c r="F182" s="360"/>
      <c r="G182" s="287"/>
      <c r="H182" s="287"/>
      <c r="I182" s="354"/>
      <c r="J182" s="287" t="s">
        <v>119</v>
      </c>
      <c r="K182" s="287" t="s">
        <v>120</v>
      </c>
      <c r="L182" s="287" t="s">
        <v>121</v>
      </c>
      <c r="M182" s="287" t="s">
        <v>122</v>
      </c>
      <c r="N182" s="287"/>
      <c r="O182" s="287"/>
      <c r="P182" s="340"/>
      <c r="Q182" s="41"/>
    </row>
    <row r="183" spans="1:17" s="40" customFormat="1" ht="36" customHeight="1" x14ac:dyDescent="0.25">
      <c r="A183" s="345"/>
      <c r="B183" s="349"/>
      <c r="C183" s="344"/>
      <c r="D183" s="359"/>
      <c r="E183" s="287"/>
      <c r="F183" s="190">
        <v>100</v>
      </c>
      <c r="G183" s="189">
        <v>100</v>
      </c>
      <c r="H183" s="189">
        <v>100</v>
      </c>
      <c r="I183" s="189">
        <v>0</v>
      </c>
      <c r="J183" s="189">
        <v>0</v>
      </c>
      <c r="K183" s="189">
        <v>0</v>
      </c>
      <c r="L183" s="189">
        <v>0</v>
      </c>
      <c r="M183" s="189">
        <v>0</v>
      </c>
      <c r="N183" s="189">
        <v>0</v>
      </c>
      <c r="O183" s="189">
        <v>0</v>
      </c>
      <c r="P183" s="340"/>
      <c r="Q183" s="41"/>
    </row>
    <row r="184" spans="1:17" s="40" customFormat="1" ht="48.75" customHeight="1" x14ac:dyDescent="0.25">
      <c r="A184" s="342" t="s">
        <v>68</v>
      </c>
      <c r="B184" s="365" t="s">
        <v>135</v>
      </c>
      <c r="C184" s="361" t="s">
        <v>86</v>
      </c>
      <c r="D184" s="303" t="s">
        <v>40</v>
      </c>
      <c r="E184" s="288"/>
      <c r="F184" s="309">
        <f t="shared" ref="F184:F187" si="45">SUM(G184:O184)</f>
        <v>0</v>
      </c>
      <c r="G184" s="288">
        <v>0</v>
      </c>
      <c r="H184" s="288">
        <v>0</v>
      </c>
      <c r="I184" s="336">
        <v>0</v>
      </c>
      <c r="J184" s="336"/>
      <c r="K184" s="336"/>
      <c r="L184" s="336"/>
      <c r="M184" s="336"/>
      <c r="N184" s="288">
        <v>0</v>
      </c>
      <c r="O184" s="288">
        <v>0</v>
      </c>
      <c r="P184" s="436" t="s">
        <v>3</v>
      </c>
    </row>
    <row r="185" spans="1:17" s="40" customFormat="1" ht="43.5" customHeight="1" x14ac:dyDescent="0.25">
      <c r="A185" s="342"/>
      <c r="B185" s="365"/>
      <c r="C185" s="361"/>
      <c r="D185" s="303" t="s">
        <v>1</v>
      </c>
      <c r="E185" s="289">
        <v>0</v>
      </c>
      <c r="F185" s="309">
        <f t="shared" si="45"/>
        <v>199780</v>
      </c>
      <c r="G185" s="289">
        <v>39329</v>
      </c>
      <c r="H185" s="289">
        <v>40100</v>
      </c>
      <c r="I185" s="370">
        <v>40117</v>
      </c>
      <c r="J185" s="370"/>
      <c r="K185" s="370"/>
      <c r="L185" s="370"/>
      <c r="M185" s="370"/>
      <c r="N185" s="289">
        <v>40117</v>
      </c>
      <c r="O185" s="289">
        <v>40117</v>
      </c>
      <c r="P185" s="436"/>
    </row>
    <row r="186" spans="1:17" s="40" customFormat="1" ht="63" customHeight="1" x14ac:dyDescent="0.25">
      <c r="A186" s="342"/>
      <c r="B186" s="365"/>
      <c r="C186" s="361"/>
      <c r="D186" s="303" t="s">
        <v>48</v>
      </c>
      <c r="E186" s="289">
        <v>0</v>
      </c>
      <c r="F186" s="309">
        <f t="shared" si="45"/>
        <v>134189.71358000001</v>
      </c>
      <c r="G186" s="289">
        <v>35947.713580000003</v>
      </c>
      <c r="H186" s="289">
        <v>24163</v>
      </c>
      <c r="I186" s="370">
        <v>24693</v>
      </c>
      <c r="J186" s="370"/>
      <c r="K186" s="370"/>
      <c r="L186" s="370"/>
      <c r="M186" s="370"/>
      <c r="N186" s="289">
        <v>24693</v>
      </c>
      <c r="O186" s="289">
        <v>24693</v>
      </c>
      <c r="P186" s="436"/>
    </row>
    <row r="187" spans="1:17" s="40" customFormat="1" ht="35.25" customHeight="1" x14ac:dyDescent="0.25">
      <c r="A187" s="342"/>
      <c r="B187" s="365"/>
      <c r="C187" s="361"/>
      <c r="D187" s="304" t="s">
        <v>87</v>
      </c>
      <c r="E187" s="289"/>
      <c r="F187" s="309">
        <f t="shared" si="45"/>
        <v>0</v>
      </c>
      <c r="G187" s="289">
        <v>0</v>
      </c>
      <c r="H187" s="289">
        <v>0</v>
      </c>
      <c r="I187" s="370">
        <v>0</v>
      </c>
      <c r="J187" s="370"/>
      <c r="K187" s="370"/>
      <c r="L187" s="370"/>
      <c r="M187" s="370"/>
      <c r="N187" s="289">
        <v>0</v>
      </c>
      <c r="O187" s="289">
        <v>0</v>
      </c>
      <c r="P187" s="436"/>
    </row>
    <row r="188" spans="1:17" s="40" customFormat="1" ht="32.25" customHeight="1" x14ac:dyDescent="0.25">
      <c r="A188" s="342"/>
      <c r="B188" s="349" t="s">
        <v>161</v>
      </c>
      <c r="C188" s="344" t="s">
        <v>116</v>
      </c>
      <c r="D188" s="359" t="s">
        <v>116</v>
      </c>
      <c r="E188" s="287"/>
      <c r="F188" s="360" t="s">
        <v>117</v>
      </c>
      <c r="G188" s="286" t="s">
        <v>247</v>
      </c>
      <c r="H188" s="286" t="s">
        <v>248</v>
      </c>
      <c r="I188" s="354" t="s">
        <v>123</v>
      </c>
      <c r="J188" s="339" t="s">
        <v>118</v>
      </c>
      <c r="K188" s="339"/>
      <c r="L188" s="339"/>
      <c r="M188" s="339"/>
      <c r="N188" s="286" t="s">
        <v>124</v>
      </c>
      <c r="O188" s="286" t="s">
        <v>125</v>
      </c>
      <c r="P188" s="340" t="s">
        <v>116</v>
      </c>
      <c r="Q188" s="41"/>
    </row>
    <row r="189" spans="1:17" s="40" customFormat="1" ht="28.5" customHeight="1" x14ac:dyDescent="0.25">
      <c r="A189" s="342"/>
      <c r="B189" s="349"/>
      <c r="C189" s="344"/>
      <c r="D189" s="359"/>
      <c r="E189" s="287"/>
      <c r="F189" s="360"/>
      <c r="G189" s="287"/>
      <c r="H189" s="287"/>
      <c r="I189" s="354"/>
      <c r="J189" s="287" t="s">
        <v>119</v>
      </c>
      <c r="K189" s="287" t="s">
        <v>120</v>
      </c>
      <c r="L189" s="287" t="s">
        <v>121</v>
      </c>
      <c r="M189" s="287" t="s">
        <v>122</v>
      </c>
      <c r="N189" s="287"/>
      <c r="O189" s="287"/>
      <c r="P189" s="340"/>
      <c r="Q189" s="41"/>
    </row>
    <row r="190" spans="1:17" s="40" customFormat="1" ht="28.5" customHeight="1" x14ac:dyDescent="0.25">
      <c r="A190" s="342"/>
      <c r="B190" s="349"/>
      <c r="C190" s="344"/>
      <c r="D190" s="359"/>
      <c r="E190" s="287"/>
      <c r="F190" s="190">
        <v>785</v>
      </c>
      <c r="G190" s="189">
        <v>785</v>
      </c>
      <c r="H190" s="189">
        <v>785</v>
      </c>
      <c r="I190" s="189">
        <v>785</v>
      </c>
      <c r="J190" s="189">
        <v>785</v>
      </c>
      <c r="K190" s="189">
        <v>785</v>
      </c>
      <c r="L190" s="189">
        <v>785</v>
      </c>
      <c r="M190" s="189">
        <v>785</v>
      </c>
      <c r="N190" s="189">
        <v>785</v>
      </c>
      <c r="O190" s="189">
        <v>785</v>
      </c>
      <c r="P190" s="340"/>
      <c r="Q190" s="41"/>
    </row>
    <row r="191" spans="1:17" s="113" customFormat="1" ht="42.75" customHeight="1" x14ac:dyDescent="0.25">
      <c r="A191" s="342" t="s">
        <v>200</v>
      </c>
      <c r="B191" s="365" t="s">
        <v>201</v>
      </c>
      <c r="C191" s="361" t="s">
        <v>269</v>
      </c>
      <c r="D191" s="303" t="s">
        <v>40</v>
      </c>
      <c r="E191" s="288"/>
      <c r="F191" s="309">
        <f t="shared" ref="F191:F194" si="46">SUM(G191:O191)</f>
        <v>0</v>
      </c>
      <c r="G191" s="288">
        <v>0</v>
      </c>
      <c r="H191" s="288">
        <v>0</v>
      </c>
      <c r="I191" s="336">
        <v>0</v>
      </c>
      <c r="J191" s="336"/>
      <c r="K191" s="336"/>
      <c r="L191" s="336"/>
      <c r="M191" s="336"/>
      <c r="N191" s="288">
        <v>0</v>
      </c>
      <c r="O191" s="288">
        <v>0</v>
      </c>
      <c r="P191" s="436" t="s">
        <v>3</v>
      </c>
    </row>
    <row r="192" spans="1:17" s="113" customFormat="1" ht="42" customHeight="1" x14ac:dyDescent="0.25">
      <c r="A192" s="342"/>
      <c r="B192" s="365"/>
      <c r="C192" s="361"/>
      <c r="D192" s="303" t="s">
        <v>1</v>
      </c>
      <c r="E192" s="289">
        <v>0</v>
      </c>
      <c r="F192" s="309">
        <f t="shared" si="46"/>
        <v>79462</v>
      </c>
      <c r="G192" s="289">
        <v>8921</v>
      </c>
      <c r="H192" s="289">
        <v>20713</v>
      </c>
      <c r="I192" s="372">
        <v>49828</v>
      </c>
      <c r="J192" s="372"/>
      <c r="K192" s="372"/>
      <c r="L192" s="372"/>
      <c r="M192" s="372"/>
      <c r="N192" s="289">
        <v>0</v>
      </c>
      <c r="O192" s="289">
        <v>0</v>
      </c>
      <c r="P192" s="436"/>
    </row>
    <row r="193" spans="1:21" s="113" customFormat="1" ht="51" customHeight="1" x14ac:dyDescent="0.25">
      <c r="A193" s="342"/>
      <c r="B193" s="365"/>
      <c r="C193" s="361"/>
      <c r="D193" s="303" t="s">
        <v>48</v>
      </c>
      <c r="E193" s="289">
        <v>0</v>
      </c>
      <c r="F193" s="309">
        <f t="shared" si="46"/>
        <v>0</v>
      </c>
      <c r="G193" s="289">
        <v>0</v>
      </c>
      <c r="H193" s="289">
        <v>0</v>
      </c>
      <c r="I193" s="370">
        <v>0</v>
      </c>
      <c r="J193" s="370"/>
      <c r="K193" s="370"/>
      <c r="L193" s="370"/>
      <c r="M193" s="370"/>
      <c r="N193" s="289">
        <v>0</v>
      </c>
      <c r="O193" s="289">
        <v>0</v>
      </c>
      <c r="P193" s="436"/>
    </row>
    <row r="194" spans="1:21" s="113" customFormat="1" ht="34.5" customHeight="1" x14ac:dyDescent="0.25">
      <c r="A194" s="342"/>
      <c r="B194" s="365"/>
      <c r="C194" s="361"/>
      <c r="D194" s="304" t="s">
        <v>87</v>
      </c>
      <c r="E194" s="289"/>
      <c r="F194" s="309">
        <f t="shared" si="46"/>
        <v>0</v>
      </c>
      <c r="G194" s="289">
        <v>0</v>
      </c>
      <c r="H194" s="289">
        <v>0</v>
      </c>
      <c r="I194" s="370">
        <v>0</v>
      </c>
      <c r="J194" s="370"/>
      <c r="K194" s="370"/>
      <c r="L194" s="370"/>
      <c r="M194" s="370"/>
      <c r="N194" s="289">
        <v>0</v>
      </c>
      <c r="O194" s="289">
        <v>0</v>
      </c>
      <c r="P194" s="436"/>
    </row>
    <row r="195" spans="1:21" s="113" customFormat="1" ht="33.75" customHeight="1" x14ac:dyDescent="0.25">
      <c r="A195" s="342"/>
      <c r="B195" s="349" t="s">
        <v>202</v>
      </c>
      <c r="C195" s="344" t="s">
        <v>116</v>
      </c>
      <c r="D195" s="359" t="s">
        <v>116</v>
      </c>
      <c r="E195" s="287"/>
      <c r="F195" s="360" t="s">
        <v>117</v>
      </c>
      <c r="G195" s="286" t="s">
        <v>247</v>
      </c>
      <c r="H195" s="286" t="s">
        <v>248</v>
      </c>
      <c r="I195" s="354" t="s">
        <v>123</v>
      </c>
      <c r="J195" s="339" t="s">
        <v>118</v>
      </c>
      <c r="K195" s="339"/>
      <c r="L195" s="339"/>
      <c r="M195" s="339"/>
      <c r="N195" s="286" t="s">
        <v>124</v>
      </c>
      <c r="O195" s="286" t="s">
        <v>125</v>
      </c>
      <c r="P195" s="340" t="s">
        <v>116</v>
      </c>
      <c r="Q195" s="114"/>
    </row>
    <row r="196" spans="1:21" s="113" customFormat="1" ht="27" customHeight="1" x14ac:dyDescent="0.25">
      <c r="A196" s="342"/>
      <c r="B196" s="349"/>
      <c r="C196" s="344"/>
      <c r="D196" s="359"/>
      <c r="E196" s="287"/>
      <c r="F196" s="360"/>
      <c r="G196" s="287"/>
      <c r="H196" s="287"/>
      <c r="I196" s="354"/>
      <c r="J196" s="287" t="s">
        <v>119</v>
      </c>
      <c r="K196" s="287" t="s">
        <v>120</v>
      </c>
      <c r="L196" s="287" t="s">
        <v>121</v>
      </c>
      <c r="M196" s="287" t="s">
        <v>122</v>
      </c>
      <c r="N196" s="287"/>
      <c r="O196" s="287"/>
      <c r="P196" s="340"/>
      <c r="Q196" s="114"/>
    </row>
    <row r="197" spans="1:21" s="113" customFormat="1" ht="29.25" customHeight="1" x14ac:dyDescent="0.25">
      <c r="A197" s="342"/>
      <c r="B197" s="349"/>
      <c r="C197" s="344"/>
      <c r="D197" s="359"/>
      <c r="E197" s="287"/>
      <c r="F197" s="190">
        <v>100</v>
      </c>
      <c r="G197" s="189">
        <v>100</v>
      </c>
      <c r="H197" s="189">
        <v>100</v>
      </c>
      <c r="I197" s="564">
        <v>100</v>
      </c>
      <c r="J197" s="564">
        <v>100</v>
      </c>
      <c r="K197" s="564">
        <v>100</v>
      </c>
      <c r="L197" s="564">
        <v>100</v>
      </c>
      <c r="M197" s="564">
        <v>100</v>
      </c>
      <c r="N197" s="189">
        <v>0</v>
      </c>
      <c r="O197" s="189">
        <v>0</v>
      </c>
      <c r="P197" s="340"/>
      <c r="Q197" s="114"/>
    </row>
    <row r="198" spans="1:21" s="40" customFormat="1" ht="39" customHeight="1" x14ac:dyDescent="0.25">
      <c r="A198" s="408" t="s">
        <v>226</v>
      </c>
      <c r="B198" s="365" t="s">
        <v>210</v>
      </c>
      <c r="C198" s="361" t="s">
        <v>207</v>
      </c>
      <c r="D198" s="303" t="s">
        <v>40</v>
      </c>
      <c r="E198" s="288"/>
      <c r="F198" s="309">
        <f t="shared" ref="F198:F201" si="47">SUM(G198:O198)</f>
        <v>0</v>
      </c>
      <c r="G198" s="288">
        <v>0</v>
      </c>
      <c r="H198" s="288">
        <v>0</v>
      </c>
      <c r="I198" s="336">
        <v>0</v>
      </c>
      <c r="J198" s="336"/>
      <c r="K198" s="336"/>
      <c r="L198" s="336"/>
      <c r="M198" s="336"/>
      <c r="N198" s="288">
        <v>0</v>
      </c>
      <c r="O198" s="288">
        <v>0</v>
      </c>
      <c r="P198" s="436" t="s">
        <v>3</v>
      </c>
    </row>
    <row r="199" spans="1:21" s="40" customFormat="1" ht="34.5" x14ac:dyDescent="0.25">
      <c r="A199" s="409"/>
      <c r="B199" s="365"/>
      <c r="C199" s="361"/>
      <c r="D199" s="303" t="s">
        <v>1</v>
      </c>
      <c r="E199" s="289">
        <v>0</v>
      </c>
      <c r="F199" s="309">
        <f t="shared" si="47"/>
        <v>51212</v>
      </c>
      <c r="G199" s="289">
        <v>0</v>
      </c>
      <c r="H199" s="289">
        <v>9950</v>
      </c>
      <c r="I199" s="370">
        <v>13754</v>
      </c>
      <c r="J199" s="370"/>
      <c r="K199" s="370"/>
      <c r="L199" s="370"/>
      <c r="M199" s="370"/>
      <c r="N199" s="289">
        <v>13754</v>
      </c>
      <c r="O199" s="289">
        <v>13754</v>
      </c>
      <c r="P199" s="436"/>
    </row>
    <row r="200" spans="1:21" s="40" customFormat="1" ht="51.75" x14ac:dyDescent="0.25">
      <c r="A200" s="409"/>
      <c r="B200" s="365"/>
      <c r="C200" s="361"/>
      <c r="D200" s="303" t="s">
        <v>48</v>
      </c>
      <c r="E200" s="289">
        <v>0</v>
      </c>
      <c r="F200" s="309">
        <f t="shared" si="47"/>
        <v>0</v>
      </c>
      <c r="G200" s="289">
        <v>0</v>
      </c>
      <c r="H200" s="289">
        <v>0</v>
      </c>
      <c r="I200" s="370">
        <v>0</v>
      </c>
      <c r="J200" s="370"/>
      <c r="K200" s="370"/>
      <c r="L200" s="370"/>
      <c r="M200" s="370"/>
      <c r="N200" s="289">
        <v>0</v>
      </c>
      <c r="O200" s="289">
        <v>0</v>
      </c>
      <c r="P200" s="436"/>
    </row>
    <row r="201" spans="1:21" s="40" customFormat="1" ht="34.5" x14ac:dyDescent="0.25">
      <c r="A201" s="409"/>
      <c r="B201" s="365"/>
      <c r="C201" s="361"/>
      <c r="D201" s="304" t="s">
        <v>87</v>
      </c>
      <c r="E201" s="289"/>
      <c r="F201" s="309">
        <f t="shared" si="47"/>
        <v>0</v>
      </c>
      <c r="G201" s="289">
        <v>0</v>
      </c>
      <c r="H201" s="289">
        <v>0</v>
      </c>
      <c r="I201" s="370">
        <v>0</v>
      </c>
      <c r="J201" s="370"/>
      <c r="K201" s="370"/>
      <c r="L201" s="370"/>
      <c r="M201" s="370"/>
      <c r="N201" s="289">
        <v>0</v>
      </c>
      <c r="O201" s="289">
        <v>0</v>
      </c>
      <c r="P201" s="436"/>
    </row>
    <row r="202" spans="1:21" s="40" customFormat="1" ht="39" customHeight="1" x14ac:dyDescent="0.25">
      <c r="A202" s="409"/>
      <c r="B202" s="349" t="s">
        <v>212</v>
      </c>
      <c r="C202" s="344" t="s">
        <v>116</v>
      </c>
      <c r="D202" s="359" t="s">
        <v>116</v>
      </c>
      <c r="E202" s="287"/>
      <c r="F202" s="360" t="s">
        <v>117</v>
      </c>
      <c r="G202" s="286" t="s">
        <v>247</v>
      </c>
      <c r="H202" s="286" t="s">
        <v>248</v>
      </c>
      <c r="I202" s="354" t="s">
        <v>123</v>
      </c>
      <c r="J202" s="339" t="s">
        <v>118</v>
      </c>
      <c r="K202" s="339"/>
      <c r="L202" s="339"/>
      <c r="M202" s="339"/>
      <c r="N202" s="286" t="s">
        <v>124</v>
      </c>
      <c r="O202" s="286" t="s">
        <v>125</v>
      </c>
      <c r="P202" s="340" t="s">
        <v>116</v>
      </c>
      <c r="Q202" s="41"/>
    </row>
    <row r="203" spans="1:21" s="40" customFormat="1" ht="38.25" customHeight="1" x14ac:dyDescent="0.25">
      <c r="A203" s="409"/>
      <c r="B203" s="349"/>
      <c r="C203" s="344"/>
      <c r="D203" s="359"/>
      <c r="E203" s="287"/>
      <c r="F203" s="360"/>
      <c r="G203" s="287"/>
      <c r="H203" s="287"/>
      <c r="I203" s="354"/>
      <c r="J203" s="287" t="s">
        <v>119</v>
      </c>
      <c r="K203" s="287" t="s">
        <v>120</v>
      </c>
      <c r="L203" s="287" t="s">
        <v>121</v>
      </c>
      <c r="M203" s="287" t="s">
        <v>122</v>
      </c>
      <c r="N203" s="287"/>
      <c r="O203" s="287"/>
      <c r="P203" s="340"/>
      <c r="Q203" s="41"/>
    </row>
    <row r="204" spans="1:21" s="40" customFormat="1" ht="30.75" customHeight="1" x14ac:dyDescent="0.25">
      <c r="A204" s="410"/>
      <c r="B204" s="349"/>
      <c r="C204" s="344"/>
      <c r="D204" s="359"/>
      <c r="E204" s="287"/>
      <c r="F204" s="190">
        <v>100</v>
      </c>
      <c r="G204" s="189">
        <v>0</v>
      </c>
      <c r="H204" s="189">
        <v>0</v>
      </c>
      <c r="I204" s="189">
        <v>100</v>
      </c>
      <c r="J204" s="189">
        <v>100</v>
      </c>
      <c r="K204" s="189">
        <v>100</v>
      </c>
      <c r="L204" s="189">
        <v>100</v>
      </c>
      <c r="M204" s="189">
        <v>100</v>
      </c>
      <c r="N204" s="189">
        <v>100</v>
      </c>
      <c r="O204" s="189">
        <v>100</v>
      </c>
      <c r="P204" s="340"/>
      <c r="Q204" s="41"/>
    </row>
    <row r="205" spans="1:21" s="9" customFormat="1" ht="31.5" customHeight="1" x14ac:dyDescent="0.25">
      <c r="A205" s="341" t="s">
        <v>37</v>
      </c>
      <c r="B205" s="395" t="s">
        <v>96</v>
      </c>
      <c r="C205" s="395" t="s">
        <v>86</v>
      </c>
      <c r="D205" s="223" t="s">
        <v>2</v>
      </c>
      <c r="E205" s="146">
        <f>E208</f>
        <v>9428.6200000000008</v>
      </c>
      <c r="F205" s="156">
        <f t="shared" ref="F205:F213" si="48">SUM(G205:O205)</f>
        <v>169811.96334999998</v>
      </c>
      <c r="G205" s="213">
        <f t="shared" ref="G205:H205" si="49">G206+G207+G208+G209</f>
        <v>16635.688859999998</v>
      </c>
      <c r="H205" s="146">
        <f t="shared" si="49"/>
        <v>41560</v>
      </c>
      <c r="I205" s="352">
        <f>I206+I207+I208+I209</f>
        <v>38584.274489999996</v>
      </c>
      <c r="J205" s="352"/>
      <c r="K205" s="352"/>
      <c r="L205" s="352"/>
      <c r="M205" s="352"/>
      <c r="N205" s="146">
        <f t="shared" ref="N205:O205" si="50">N206+N207+N208+N209</f>
        <v>36516</v>
      </c>
      <c r="O205" s="146">
        <f t="shared" si="50"/>
        <v>36516</v>
      </c>
      <c r="P205" s="462"/>
      <c r="T205" s="45"/>
      <c r="U205" s="45"/>
    </row>
    <row r="206" spans="1:21" s="9" customFormat="1" ht="45.75" customHeight="1" x14ac:dyDescent="0.25">
      <c r="A206" s="341"/>
      <c r="B206" s="395"/>
      <c r="C206" s="395"/>
      <c r="D206" s="223" t="s">
        <v>40</v>
      </c>
      <c r="E206" s="146"/>
      <c r="F206" s="156">
        <f t="shared" si="48"/>
        <v>0</v>
      </c>
      <c r="G206" s="211">
        <f t="shared" ref="G206:H206" si="51">G210</f>
        <v>0</v>
      </c>
      <c r="H206" s="147">
        <f t="shared" si="51"/>
        <v>0</v>
      </c>
      <c r="I206" s="378">
        <f>I210</f>
        <v>0</v>
      </c>
      <c r="J206" s="378"/>
      <c r="K206" s="378"/>
      <c r="L206" s="378"/>
      <c r="M206" s="378"/>
      <c r="N206" s="147">
        <f t="shared" ref="N206:O206" si="52">N210</f>
        <v>0</v>
      </c>
      <c r="O206" s="147">
        <f t="shared" si="52"/>
        <v>0</v>
      </c>
      <c r="P206" s="462"/>
      <c r="T206" s="45"/>
      <c r="U206" s="45"/>
    </row>
    <row r="207" spans="1:21" s="9" customFormat="1" ht="48" customHeight="1" x14ac:dyDescent="0.25">
      <c r="A207" s="341"/>
      <c r="B207" s="395"/>
      <c r="C207" s="395"/>
      <c r="D207" s="223" t="s">
        <v>1</v>
      </c>
      <c r="E207" s="146"/>
      <c r="F207" s="156">
        <f t="shared" si="48"/>
        <v>119903</v>
      </c>
      <c r="G207" s="211">
        <f>G211+G218</f>
        <v>0</v>
      </c>
      <c r="H207" s="147">
        <f>H211+H218</f>
        <v>27842</v>
      </c>
      <c r="I207" s="378">
        <f>I218</f>
        <v>30687</v>
      </c>
      <c r="J207" s="378"/>
      <c r="K207" s="378"/>
      <c r="L207" s="378"/>
      <c r="M207" s="378"/>
      <c r="N207" s="147">
        <f t="shared" ref="N207:O207" si="53">N211+N218</f>
        <v>30687</v>
      </c>
      <c r="O207" s="147">
        <f t="shared" si="53"/>
        <v>30687</v>
      </c>
      <c r="P207" s="462"/>
      <c r="T207" s="45"/>
      <c r="U207" s="45"/>
    </row>
    <row r="208" spans="1:21" s="9" customFormat="1" ht="64.5" customHeight="1" x14ac:dyDescent="0.25">
      <c r="A208" s="341"/>
      <c r="B208" s="395"/>
      <c r="C208" s="395"/>
      <c r="D208" s="223" t="s">
        <v>47</v>
      </c>
      <c r="E208" s="148">
        <f>E212</f>
        <v>9428.6200000000008</v>
      </c>
      <c r="F208" s="156">
        <f t="shared" si="48"/>
        <v>49908.963349999998</v>
      </c>
      <c r="G208" s="148">
        <f t="shared" ref="G208:H208" si="54">G212</f>
        <v>16635.688859999998</v>
      </c>
      <c r="H208" s="148">
        <f t="shared" si="54"/>
        <v>13718</v>
      </c>
      <c r="I208" s="376">
        <f>I212</f>
        <v>7897.2744899999998</v>
      </c>
      <c r="J208" s="376"/>
      <c r="K208" s="376"/>
      <c r="L208" s="376"/>
      <c r="M208" s="376"/>
      <c r="N208" s="148">
        <f t="shared" ref="N208:O208" si="55">N212</f>
        <v>5829</v>
      </c>
      <c r="O208" s="148">
        <f t="shared" si="55"/>
        <v>5829</v>
      </c>
      <c r="P208" s="462"/>
      <c r="T208" s="45"/>
      <c r="U208" s="45"/>
    </row>
    <row r="209" spans="1:21" s="9" customFormat="1" ht="44.25" customHeight="1" x14ac:dyDescent="0.25">
      <c r="A209" s="341"/>
      <c r="B209" s="395"/>
      <c r="C209" s="395"/>
      <c r="D209" s="223" t="s">
        <v>87</v>
      </c>
      <c r="E209" s="148"/>
      <c r="F209" s="156">
        <f t="shared" si="48"/>
        <v>0</v>
      </c>
      <c r="G209" s="148">
        <f t="shared" ref="G209:H209" si="56">G213</f>
        <v>0</v>
      </c>
      <c r="H209" s="148">
        <f t="shared" si="56"/>
        <v>0</v>
      </c>
      <c r="I209" s="376">
        <f>I213</f>
        <v>0</v>
      </c>
      <c r="J209" s="376"/>
      <c r="K209" s="376"/>
      <c r="L209" s="376"/>
      <c r="M209" s="376"/>
      <c r="N209" s="148">
        <f t="shared" ref="N209:O209" si="57">N213</f>
        <v>0</v>
      </c>
      <c r="O209" s="148">
        <f t="shared" si="57"/>
        <v>0</v>
      </c>
      <c r="P209" s="462"/>
      <c r="T209" s="45"/>
      <c r="U209" s="45"/>
    </row>
    <row r="210" spans="1:21" s="9" customFormat="1" ht="36" customHeight="1" x14ac:dyDescent="0.25">
      <c r="A210" s="419" t="s">
        <v>51</v>
      </c>
      <c r="B210" s="424" t="s">
        <v>97</v>
      </c>
      <c r="C210" s="425" t="s">
        <v>86</v>
      </c>
      <c r="D210" s="304" t="s">
        <v>40</v>
      </c>
      <c r="E210" s="298"/>
      <c r="F210" s="309">
        <f t="shared" si="48"/>
        <v>0</v>
      </c>
      <c r="G210" s="291">
        <v>0</v>
      </c>
      <c r="H210" s="291">
        <v>0</v>
      </c>
      <c r="I210" s="358">
        <v>0</v>
      </c>
      <c r="J210" s="358"/>
      <c r="K210" s="358"/>
      <c r="L210" s="358"/>
      <c r="M210" s="358"/>
      <c r="N210" s="291">
        <v>0</v>
      </c>
      <c r="O210" s="291">
        <v>0</v>
      </c>
      <c r="P210" s="488" t="s">
        <v>3</v>
      </c>
      <c r="T210" s="45"/>
      <c r="U210" s="45"/>
    </row>
    <row r="211" spans="1:21" s="9" customFormat="1" ht="34.5" x14ac:dyDescent="0.25">
      <c r="A211" s="419"/>
      <c r="B211" s="424"/>
      <c r="C211" s="425"/>
      <c r="D211" s="304" t="s">
        <v>1</v>
      </c>
      <c r="E211" s="298"/>
      <c r="F211" s="309">
        <f t="shared" si="48"/>
        <v>0</v>
      </c>
      <c r="G211" s="291">
        <v>0</v>
      </c>
      <c r="H211" s="291">
        <v>0</v>
      </c>
      <c r="I211" s="358">
        <v>0</v>
      </c>
      <c r="J211" s="358"/>
      <c r="K211" s="358"/>
      <c r="L211" s="358"/>
      <c r="M211" s="358"/>
      <c r="N211" s="291">
        <v>0</v>
      </c>
      <c r="O211" s="291">
        <v>0</v>
      </c>
      <c r="P211" s="488"/>
      <c r="T211" s="45"/>
      <c r="U211" s="45"/>
    </row>
    <row r="212" spans="1:21" s="40" customFormat="1" ht="51.75" x14ac:dyDescent="0.25">
      <c r="A212" s="419"/>
      <c r="B212" s="424"/>
      <c r="C212" s="425"/>
      <c r="D212" s="304" t="s">
        <v>47</v>
      </c>
      <c r="E212" s="291">
        <v>9428.6200000000008</v>
      </c>
      <c r="F212" s="309">
        <f t="shared" si="48"/>
        <v>49908.963349999998</v>
      </c>
      <c r="G212" s="291">
        <v>16635.688859999998</v>
      </c>
      <c r="H212" s="291">
        <v>13718</v>
      </c>
      <c r="I212" s="358">
        <f>5829+2068.27449</f>
        <v>7897.2744899999998</v>
      </c>
      <c r="J212" s="358"/>
      <c r="K212" s="358"/>
      <c r="L212" s="358"/>
      <c r="M212" s="358"/>
      <c r="N212" s="291">
        <v>5829</v>
      </c>
      <c r="O212" s="291">
        <v>5829</v>
      </c>
      <c r="P212" s="488"/>
    </row>
    <row r="213" spans="1:21" s="40" customFormat="1" ht="34.5" x14ac:dyDescent="0.25">
      <c r="A213" s="419"/>
      <c r="B213" s="424"/>
      <c r="C213" s="425"/>
      <c r="D213" s="304" t="s">
        <v>87</v>
      </c>
      <c r="E213" s="291"/>
      <c r="F213" s="309">
        <f t="shared" si="48"/>
        <v>0</v>
      </c>
      <c r="G213" s="291">
        <v>0</v>
      </c>
      <c r="H213" s="291">
        <v>0</v>
      </c>
      <c r="I213" s="358">
        <v>0</v>
      </c>
      <c r="J213" s="358"/>
      <c r="K213" s="358"/>
      <c r="L213" s="358"/>
      <c r="M213" s="358"/>
      <c r="N213" s="291">
        <v>0</v>
      </c>
      <c r="O213" s="291">
        <v>0</v>
      </c>
      <c r="P213" s="488"/>
    </row>
    <row r="214" spans="1:21" s="40" customFormat="1" ht="36.75" customHeight="1" x14ac:dyDescent="0.25">
      <c r="A214" s="419"/>
      <c r="B214" s="349" t="s">
        <v>181</v>
      </c>
      <c r="C214" s="344" t="s">
        <v>116</v>
      </c>
      <c r="D214" s="359" t="s">
        <v>116</v>
      </c>
      <c r="E214" s="287"/>
      <c r="F214" s="360" t="s">
        <v>117</v>
      </c>
      <c r="G214" s="286" t="s">
        <v>247</v>
      </c>
      <c r="H214" s="286" t="s">
        <v>248</v>
      </c>
      <c r="I214" s="354" t="s">
        <v>123</v>
      </c>
      <c r="J214" s="339" t="s">
        <v>118</v>
      </c>
      <c r="K214" s="339"/>
      <c r="L214" s="339"/>
      <c r="M214" s="339"/>
      <c r="N214" s="286" t="s">
        <v>124</v>
      </c>
      <c r="O214" s="286" t="s">
        <v>125</v>
      </c>
      <c r="P214" s="340" t="s">
        <v>116</v>
      </c>
      <c r="Q214" s="41"/>
    </row>
    <row r="215" spans="1:21" s="40" customFormat="1" ht="41.25" customHeight="1" x14ac:dyDescent="0.25">
      <c r="A215" s="419"/>
      <c r="B215" s="349"/>
      <c r="C215" s="344"/>
      <c r="D215" s="359"/>
      <c r="E215" s="287"/>
      <c r="F215" s="360"/>
      <c r="G215" s="287"/>
      <c r="H215" s="287"/>
      <c r="I215" s="354"/>
      <c r="J215" s="287" t="s">
        <v>119</v>
      </c>
      <c r="K215" s="287" t="s">
        <v>120</v>
      </c>
      <c r="L215" s="287" t="s">
        <v>121</v>
      </c>
      <c r="M215" s="287" t="s">
        <v>122</v>
      </c>
      <c r="N215" s="287"/>
      <c r="O215" s="287"/>
      <c r="P215" s="340"/>
      <c r="Q215" s="41"/>
    </row>
    <row r="216" spans="1:21" s="40" customFormat="1" ht="51" customHeight="1" x14ac:dyDescent="0.25">
      <c r="A216" s="419"/>
      <c r="B216" s="349"/>
      <c r="C216" s="344"/>
      <c r="D216" s="359"/>
      <c r="E216" s="287"/>
      <c r="F216" s="190">
        <v>100</v>
      </c>
      <c r="G216" s="189">
        <v>100</v>
      </c>
      <c r="H216" s="189">
        <v>100</v>
      </c>
      <c r="I216" s="189">
        <v>100</v>
      </c>
      <c r="J216" s="189">
        <v>100</v>
      </c>
      <c r="K216" s="189">
        <v>100</v>
      </c>
      <c r="L216" s="189">
        <v>100</v>
      </c>
      <c r="M216" s="189">
        <v>100</v>
      </c>
      <c r="N216" s="189">
        <v>100</v>
      </c>
      <c r="O216" s="189">
        <v>100</v>
      </c>
      <c r="P216" s="340"/>
      <c r="Q216" s="41"/>
    </row>
    <row r="217" spans="1:21" s="9" customFormat="1" ht="36" customHeight="1" x14ac:dyDescent="0.25">
      <c r="A217" s="411" t="s">
        <v>204</v>
      </c>
      <c r="B217" s="424" t="s">
        <v>211</v>
      </c>
      <c r="C217" s="425" t="s">
        <v>207</v>
      </c>
      <c r="D217" s="304" t="s">
        <v>40</v>
      </c>
      <c r="E217" s="298"/>
      <c r="F217" s="309">
        <f t="shared" ref="F217:F220" si="58">SUM(G217:O217)</f>
        <v>0</v>
      </c>
      <c r="G217" s="291">
        <v>0</v>
      </c>
      <c r="H217" s="291">
        <v>0</v>
      </c>
      <c r="I217" s="358">
        <v>0</v>
      </c>
      <c r="J217" s="358"/>
      <c r="K217" s="358"/>
      <c r="L217" s="358"/>
      <c r="M217" s="358"/>
      <c r="N217" s="291">
        <v>0</v>
      </c>
      <c r="O217" s="291">
        <v>0</v>
      </c>
      <c r="P217" s="488" t="s">
        <v>3</v>
      </c>
      <c r="T217" s="45"/>
      <c r="U217" s="45"/>
    </row>
    <row r="218" spans="1:21" s="9" customFormat="1" ht="43.5" customHeight="1" x14ac:dyDescent="0.25">
      <c r="A218" s="412"/>
      <c r="B218" s="424"/>
      <c r="C218" s="425"/>
      <c r="D218" s="304" t="s">
        <v>1</v>
      </c>
      <c r="E218" s="298"/>
      <c r="F218" s="309">
        <f t="shared" si="58"/>
        <v>119903</v>
      </c>
      <c r="G218" s="291">
        <v>0</v>
      </c>
      <c r="H218" s="291">
        <v>27842</v>
      </c>
      <c r="I218" s="358">
        <v>30687</v>
      </c>
      <c r="J218" s="358"/>
      <c r="K218" s="358"/>
      <c r="L218" s="358"/>
      <c r="M218" s="358"/>
      <c r="N218" s="291">
        <v>30687</v>
      </c>
      <c r="O218" s="291">
        <v>30687</v>
      </c>
      <c r="P218" s="488"/>
      <c r="T218" s="45"/>
      <c r="U218" s="45"/>
    </row>
    <row r="219" spans="1:21" s="40" customFormat="1" ht="57.75" customHeight="1" x14ac:dyDescent="0.25">
      <c r="A219" s="412"/>
      <c r="B219" s="424"/>
      <c r="C219" s="425"/>
      <c r="D219" s="304" t="s">
        <v>47</v>
      </c>
      <c r="E219" s="291">
        <v>9428.6200000000008</v>
      </c>
      <c r="F219" s="309">
        <f t="shared" si="58"/>
        <v>0</v>
      </c>
      <c r="G219" s="291">
        <v>0</v>
      </c>
      <c r="H219" s="291">
        <v>0</v>
      </c>
      <c r="I219" s="358">
        <v>0</v>
      </c>
      <c r="J219" s="358"/>
      <c r="K219" s="358"/>
      <c r="L219" s="358"/>
      <c r="M219" s="358"/>
      <c r="N219" s="291">
        <v>0</v>
      </c>
      <c r="O219" s="291">
        <v>0</v>
      </c>
      <c r="P219" s="488"/>
    </row>
    <row r="220" spans="1:21" s="40" customFormat="1" ht="43.5" customHeight="1" x14ac:dyDescent="0.25">
      <c r="A220" s="413"/>
      <c r="B220" s="424"/>
      <c r="C220" s="425"/>
      <c r="D220" s="304" t="s">
        <v>87</v>
      </c>
      <c r="E220" s="291"/>
      <c r="F220" s="309">
        <f t="shared" si="58"/>
        <v>0</v>
      </c>
      <c r="G220" s="291">
        <v>0</v>
      </c>
      <c r="H220" s="291">
        <v>0</v>
      </c>
      <c r="I220" s="358">
        <v>0</v>
      </c>
      <c r="J220" s="358"/>
      <c r="K220" s="358"/>
      <c r="L220" s="358"/>
      <c r="M220" s="358"/>
      <c r="N220" s="291">
        <v>0</v>
      </c>
      <c r="O220" s="291">
        <v>0</v>
      </c>
      <c r="P220" s="488"/>
    </row>
    <row r="221" spans="1:21" s="40" customFormat="1" ht="58.5" customHeight="1" x14ac:dyDescent="0.25">
      <c r="A221" s="411"/>
      <c r="B221" s="398" t="s">
        <v>213</v>
      </c>
      <c r="C221" s="394" t="s">
        <v>116</v>
      </c>
      <c r="D221" s="379" t="s">
        <v>116</v>
      </c>
      <c r="E221" s="131"/>
      <c r="F221" s="355" t="s">
        <v>117</v>
      </c>
      <c r="G221" s="229" t="s">
        <v>247</v>
      </c>
      <c r="H221" s="229" t="s">
        <v>248</v>
      </c>
      <c r="I221" s="354" t="s">
        <v>123</v>
      </c>
      <c r="J221" s="339" t="s">
        <v>118</v>
      </c>
      <c r="K221" s="339"/>
      <c r="L221" s="339"/>
      <c r="M221" s="339"/>
      <c r="N221" s="132" t="s">
        <v>124</v>
      </c>
      <c r="O221" s="132" t="s">
        <v>125</v>
      </c>
      <c r="P221" s="457" t="s">
        <v>116</v>
      </c>
      <c r="Q221" s="41"/>
    </row>
    <row r="222" spans="1:21" s="40" customFormat="1" ht="37.5" customHeight="1" x14ac:dyDescent="0.25">
      <c r="A222" s="412"/>
      <c r="B222" s="398"/>
      <c r="C222" s="394"/>
      <c r="D222" s="379"/>
      <c r="E222" s="131"/>
      <c r="F222" s="355"/>
      <c r="G222" s="205"/>
      <c r="H222" s="131"/>
      <c r="I222" s="354"/>
      <c r="J222" s="194" t="s">
        <v>119</v>
      </c>
      <c r="K222" s="194" t="s">
        <v>120</v>
      </c>
      <c r="L222" s="194" t="s">
        <v>121</v>
      </c>
      <c r="M222" s="194" t="s">
        <v>122</v>
      </c>
      <c r="N222" s="131"/>
      <c r="O222" s="131"/>
      <c r="P222" s="457"/>
      <c r="Q222" s="41"/>
    </row>
    <row r="223" spans="1:21" s="40" customFormat="1" ht="45" customHeight="1" x14ac:dyDescent="0.25">
      <c r="A223" s="413"/>
      <c r="B223" s="398"/>
      <c r="C223" s="394"/>
      <c r="D223" s="379"/>
      <c r="E223" s="131"/>
      <c r="F223" s="157">
        <v>100</v>
      </c>
      <c r="G223" s="133">
        <v>0</v>
      </c>
      <c r="H223" s="133">
        <v>0</v>
      </c>
      <c r="I223" s="189">
        <v>100</v>
      </c>
      <c r="J223" s="189">
        <v>0</v>
      </c>
      <c r="K223" s="189">
        <v>100</v>
      </c>
      <c r="L223" s="189">
        <v>100</v>
      </c>
      <c r="M223" s="189">
        <v>100</v>
      </c>
      <c r="N223" s="133">
        <v>100</v>
      </c>
      <c r="O223" s="133">
        <v>100</v>
      </c>
      <c r="P223" s="457"/>
      <c r="Q223" s="41"/>
    </row>
    <row r="224" spans="1:21" s="272" customFormat="1" ht="18.75" hidden="1" customHeight="1" x14ac:dyDescent="0.25">
      <c r="A224" s="423" t="s">
        <v>9</v>
      </c>
      <c r="B224" s="418" t="s">
        <v>189</v>
      </c>
      <c r="C224" s="418" t="s">
        <v>86</v>
      </c>
      <c r="D224" s="281" t="s">
        <v>2</v>
      </c>
      <c r="E224" s="282">
        <f>E227</f>
        <v>9428.6200000000008</v>
      </c>
      <c r="F224" s="279">
        <f t="shared" ref="F224:F232" si="59">SUM(G224:O224)</f>
        <v>0</v>
      </c>
      <c r="G224" s="282">
        <f t="shared" ref="G224:H224" si="60">G225+G226+G227+G228</f>
        <v>0</v>
      </c>
      <c r="H224" s="282">
        <f t="shared" si="60"/>
        <v>0</v>
      </c>
      <c r="I224" s="489">
        <f>I225+I226+I227+I228</f>
        <v>0</v>
      </c>
      <c r="J224" s="489"/>
      <c r="K224" s="489"/>
      <c r="L224" s="489"/>
      <c r="M224" s="489"/>
      <c r="N224" s="282">
        <f t="shared" ref="N224:O224" si="61">N225+N226+N227+N228</f>
        <v>0</v>
      </c>
      <c r="O224" s="282">
        <f t="shared" si="61"/>
        <v>0</v>
      </c>
      <c r="P224" s="490"/>
      <c r="T224" s="280"/>
      <c r="U224" s="280"/>
    </row>
    <row r="225" spans="1:21" s="272" customFormat="1" ht="36" hidden="1" customHeight="1" x14ac:dyDescent="0.25">
      <c r="A225" s="423"/>
      <c r="B225" s="418"/>
      <c r="C225" s="418"/>
      <c r="D225" s="281" t="s">
        <v>40</v>
      </c>
      <c r="E225" s="282"/>
      <c r="F225" s="279">
        <f t="shared" si="59"/>
        <v>0</v>
      </c>
      <c r="G225" s="283">
        <f t="shared" ref="G225:H225" si="62">G229</f>
        <v>0</v>
      </c>
      <c r="H225" s="283">
        <f t="shared" si="62"/>
        <v>0</v>
      </c>
      <c r="I225" s="356">
        <f>I229</f>
        <v>0</v>
      </c>
      <c r="J225" s="356"/>
      <c r="K225" s="356"/>
      <c r="L225" s="356"/>
      <c r="M225" s="356"/>
      <c r="N225" s="283">
        <f t="shared" ref="N225:O225" si="63">N229</f>
        <v>0</v>
      </c>
      <c r="O225" s="283">
        <f t="shared" si="63"/>
        <v>0</v>
      </c>
      <c r="P225" s="490"/>
      <c r="T225" s="280"/>
      <c r="U225" s="280"/>
    </row>
    <row r="226" spans="1:21" s="272" customFormat="1" ht="34.5" hidden="1" x14ac:dyDescent="0.25">
      <c r="A226" s="423"/>
      <c r="B226" s="418"/>
      <c r="C226" s="418"/>
      <c r="D226" s="281" t="s">
        <v>1</v>
      </c>
      <c r="E226" s="282"/>
      <c r="F226" s="279">
        <f t="shared" si="59"/>
        <v>0</v>
      </c>
      <c r="G226" s="283">
        <f t="shared" ref="G226:H226" si="64">G230</f>
        <v>0</v>
      </c>
      <c r="H226" s="283">
        <f t="shared" si="64"/>
        <v>0</v>
      </c>
      <c r="I226" s="356">
        <f>I230</f>
        <v>0</v>
      </c>
      <c r="J226" s="356"/>
      <c r="K226" s="356"/>
      <c r="L226" s="356"/>
      <c r="M226" s="356"/>
      <c r="N226" s="283">
        <f t="shared" ref="N226:O226" si="65">N230</f>
        <v>0</v>
      </c>
      <c r="O226" s="283">
        <f t="shared" si="65"/>
        <v>0</v>
      </c>
      <c r="P226" s="490"/>
      <c r="T226" s="280"/>
      <c r="U226" s="280"/>
    </row>
    <row r="227" spans="1:21" s="272" customFormat="1" ht="51.75" hidden="1" x14ac:dyDescent="0.25">
      <c r="A227" s="423"/>
      <c r="B227" s="418"/>
      <c r="C227" s="418"/>
      <c r="D227" s="281" t="s">
        <v>47</v>
      </c>
      <c r="E227" s="284">
        <f>E231</f>
        <v>9428.6200000000008</v>
      </c>
      <c r="F227" s="279">
        <f t="shared" si="59"/>
        <v>0</v>
      </c>
      <c r="G227" s="284">
        <f t="shared" ref="G227:H227" si="66">G231</f>
        <v>0</v>
      </c>
      <c r="H227" s="284">
        <f t="shared" si="66"/>
        <v>0</v>
      </c>
      <c r="I227" s="357">
        <f>I231</f>
        <v>0</v>
      </c>
      <c r="J227" s="357"/>
      <c r="K227" s="357"/>
      <c r="L227" s="357"/>
      <c r="M227" s="357"/>
      <c r="N227" s="284">
        <f t="shared" ref="N227:O227" si="67">N231</f>
        <v>0</v>
      </c>
      <c r="O227" s="284">
        <f t="shared" si="67"/>
        <v>0</v>
      </c>
      <c r="P227" s="490"/>
      <c r="T227" s="280"/>
      <c r="U227" s="280"/>
    </row>
    <row r="228" spans="1:21" s="272" customFormat="1" ht="34.5" hidden="1" x14ac:dyDescent="0.25">
      <c r="A228" s="423"/>
      <c r="B228" s="418"/>
      <c r="C228" s="418"/>
      <c r="D228" s="281" t="s">
        <v>87</v>
      </c>
      <c r="E228" s="284"/>
      <c r="F228" s="279">
        <f t="shared" si="59"/>
        <v>0</v>
      </c>
      <c r="G228" s="284">
        <f t="shared" ref="G228:H228" si="68">G232</f>
        <v>0</v>
      </c>
      <c r="H228" s="284">
        <f t="shared" si="68"/>
        <v>0</v>
      </c>
      <c r="I228" s="357">
        <f>I232</f>
        <v>0</v>
      </c>
      <c r="J228" s="357"/>
      <c r="K228" s="357"/>
      <c r="L228" s="357"/>
      <c r="M228" s="357"/>
      <c r="N228" s="284">
        <f t="shared" ref="N228:O228" si="69">N232</f>
        <v>0</v>
      </c>
      <c r="O228" s="284">
        <f t="shared" si="69"/>
        <v>0</v>
      </c>
      <c r="P228" s="490"/>
      <c r="T228" s="280"/>
      <c r="U228" s="280"/>
    </row>
    <row r="229" spans="1:21" s="272" customFormat="1" ht="36" hidden="1" customHeight="1" x14ac:dyDescent="0.25">
      <c r="A229" s="416" t="s">
        <v>52</v>
      </c>
      <c r="B229" s="414" t="s">
        <v>190</v>
      </c>
      <c r="C229" s="418" t="s">
        <v>86</v>
      </c>
      <c r="D229" s="271" t="s">
        <v>40</v>
      </c>
      <c r="E229" s="284"/>
      <c r="F229" s="279">
        <f t="shared" si="59"/>
        <v>0</v>
      </c>
      <c r="G229" s="285">
        <v>0</v>
      </c>
      <c r="H229" s="285">
        <v>0</v>
      </c>
      <c r="I229" s="353">
        <v>0</v>
      </c>
      <c r="J229" s="353"/>
      <c r="K229" s="353"/>
      <c r="L229" s="353"/>
      <c r="M229" s="353"/>
      <c r="N229" s="285">
        <v>0</v>
      </c>
      <c r="O229" s="285">
        <v>0</v>
      </c>
      <c r="P229" s="487" t="s">
        <v>3</v>
      </c>
      <c r="T229" s="280"/>
      <c r="U229" s="280"/>
    </row>
    <row r="230" spans="1:21" s="272" customFormat="1" ht="34.5" hidden="1" x14ac:dyDescent="0.25">
      <c r="A230" s="416"/>
      <c r="B230" s="414"/>
      <c r="C230" s="418"/>
      <c r="D230" s="271" t="s">
        <v>1</v>
      </c>
      <c r="E230" s="284"/>
      <c r="F230" s="279">
        <f t="shared" si="59"/>
        <v>0</v>
      </c>
      <c r="G230" s="285">
        <v>0</v>
      </c>
      <c r="H230" s="285">
        <v>0</v>
      </c>
      <c r="I230" s="353">
        <v>0</v>
      </c>
      <c r="J230" s="353"/>
      <c r="K230" s="353"/>
      <c r="L230" s="353"/>
      <c r="M230" s="353"/>
      <c r="N230" s="285">
        <v>0</v>
      </c>
      <c r="O230" s="285">
        <v>0</v>
      </c>
      <c r="P230" s="487"/>
      <c r="T230" s="280"/>
      <c r="U230" s="280"/>
    </row>
    <row r="231" spans="1:21" s="272" customFormat="1" ht="51.75" hidden="1" x14ac:dyDescent="0.25">
      <c r="A231" s="416"/>
      <c r="B231" s="414"/>
      <c r="C231" s="418"/>
      <c r="D231" s="271" t="s">
        <v>47</v>
      </c>
      <c r="E231" s="285">
        <v>9428.6200000000008</v>
      </c>
      <c r="F231" s="279">
        <f t="shared" si="59"/>
        <v>0</v>
      </c>
      <c r="G231" s="285">
        <v>0</v>
      </c>
      <c r="H231" s="285">
        <v>0</v>
      </c>
      <c r="I231" s="353">
        <v>0</v>
      </c>
      <c r="J231" s="353"/>
      <c r="K231" s="353"/>
      <c r="L231" s="353"/>
      <c r="M231" s="353"/>
      <c r="N231" s="285">
        <v>0</v>
      </c>
      <c r="O231" s="285">
        <v>0</v>
      </c>
      <c r="P231" s="487"/>
    </row>
    <row r="232" spans="1:21" s="272" customFormat="1" ht="34.5" hidden="1" x14ac:dyDescent="0.25">
      <c r="A232" s="416"/>
      <c r="B232" s="414"/>
      <c r="C232" s="418"/>
      <c r="D232" s="271" t="s">
        <v>87</v>
      </c>
      <c r="E232" s="285"/>
      <c r="F232" s="279">
        <f t="shared" si="59"/>
        <v>0</v>
      </c>
      <c r="G232" s="285">
        <v>0</v>
      </c>
      <c r="H232" s="285">
        <v>0</v>
      </c>
      <c r="I232" s="353">
        <v>0</v>
      </c>
      <c r="J232" s="353"/>
      <c r="K232" s="353"/>
      <c r="L232" s="353"/>
      <c r="M232" s="353"/>
      <c r="N232" s="285">
        <v>0</v>
      </c>
      <c r="O232" s="285">
        <v>0</v>
      </c>
      <c r="P232" s="487"/>
    </row>
    <row r="233" spans="1:21" s="272" customFormat="1" ht="22.5" hidden="1" customHeight="1" x14ac:dyDescent="0.25">
      <c r="A233" s="416"/>
      <c r="B233" s="415" t="s">
        <v>191</v>
      </c>
      <c r="C233" s="407" t="s">
        <v>116</v>
      </c>
      <c r="D233" s="377" t="s">
        <v>116</v>
      </c>
      <c r="E233" s="273"/>
      <c r="F233" s="380" t="s">
        <v>117</v>
      </c>
      <c r="G233" s="274" t="s">
        <v>247</v>
      </c>
      <c r="H233" s="274" t="s">
        <v>248</v>
      </c>
      <c r="I233" s="381" t="s">
        <v>123</v>
      </c>
      <c r="J233" s="382" t="s">
        <v>118</v>
      </c>
      <c r="K233" s="382"/>
      <c r="L233" s="382"/>
      <c r="M233" s="382"/>
      <c r="N233" s="274" t="s">
        <v>124</v>
      </c>
      <c r="O233" s="274" t="s">
        <v>125</v>
      </c>
      <c r="P233" s="491" t="s">
        <v>116</v>
      </c>
      <c r="Q233" s="275"/>
    </row>
    <row r="234" spans="1:21" s="272" customFormat="1" ht="24.75" hidden="1" customHeight="1" x14ac:dyDescent="0.25">
      <c r="A234" s="416"/>
      <c r="B234" s="415"/>
      <c r="C234" s="407"/>
      <c r="D234" s="377"/>
      <c r="E234" s="273"/>
      <c r="F234" s="380"/>
      <c r="G234" s="273"/>
      <c r="H234" s="273"/>
      <c r="I234" s="381"/>
      <c r="J234" s="276" t="s">
        <v>119</v>
      </c>
      <c r="K234" s="276" t="s">
        <v>120</v>
      </c>
      <c r="L234" s="276" t="s">
        <v>121</v>
      </c>
      <c r="M234" s="276" t="s">
        <v>122</v>
      </c>
      <c r="N234" s="273"/>
      <c r="O234" s="273"/>
      <c r="P234" s="491"/>
      <c r="Q234" s="275"/>
    </row>
    <row r="235" spans="1:21" s="272" customFormat="1" ht="31.5" hidden="1" customHeight="1" x14ac:dyDescent="0.25">
      <c r="A235" s="416"/>
      <c r="B235" s="415"/>
      <c r="C235" s="407"/>
      <c r="D235" s="377"/>
      <c r="E235" s="273"/>
      <c r="F235" s="277">
        <v>0</v>
      </c>
      <c r="G235" s="277">
        <v>0</v>
      </c>
      <c r="H235" s="277">
        <v>0</v>
      </c>
      <c r="I235" s="278">
        <v>0</v>
      </c>
      <c r="J235" s="278">
        <v>0</v>
      </c>
      <c r="K235" s="278">
        <v>0</v>
      </c>
      <c r="L235" s="278">
        <v>0</v>
      </c>
      <c r="M235" s="278">
        <v>0</v>
      </c>
      <c r="N235" s="277">
        <v>0</v>
      </c>
      <c r="O235" s="277">
        <v>0</v>
      </c>
      <c r="P235" s="491"/>
      <c r="Q235" s="275"/>
    </row>
    <row r="236" spans="1:21" s="9" customFormat="1" ht="27.75" customHeight="1" x14ac:dyDescent="0.25">
      <c r="A236" s="341" t="s">
        <v>35</v>
      </c>
      <c r="B236" s="395" t="s">
        <v>98</v>
      </c>
      <c r="C236" s="395" t="s">
        <v>45</v>
      </c>
      <c r="D236" s="223" t="s">
        <v>2</v>
      </c>
      <c r="E236" s="146">
        <f>E239</f>
        <v>0</v>
      </c>
      <c r="F236" s="156">
        <f t="shared" ref="F236:F244" si="70">SUM(G236:O236)</f>
        <v>147396.42741</v>
      </c>
      <c r="G236" s="213">
        <f t="shared" ref="G236:H236" si="71">G237+G238+G239+G240</f>
        <v>147396.42741</v>
      </c>
      <c r="H236" s="146">
        <f t="shared" si="71"/>
        <v>0</v>
      </c>
      <c r="I236" s="352">
        <f>I237+I238+I239+I240</f>
        <v>0</v>
      </c>
      <c r="J236" s="352"/>
      <c r="K236" s="352"/>
      <c r="L236" s="352"/>
      <c r="M236" s="352"/>
      <c r="N236" s="146">
        <f t="shared" ref="N236:O236" si="72">N237+N238+N239+N240</f>
        <v>0</v>
      </c>
      <c r="O236" s="146">
        <f t="shared" si="72"/>
        <v>0</v>
      </c>
      <c r="P236" s="462"/>
      <c r="T236" s="45"/>
      <c r="U236" s="45"/>
    </row>
    <row r="237" spans="1:21" s="9" customFormat="1" ht="36" customHeight="1" x14ac:dyDescent="0.25">
      <c r="A237" s="341"/>
      <c r="B237" s="395"/>
      <c r="C237" s="395"/>
      <c r="D237" s="223" t="s">
        <v>40</v>
      </c>
      <c r="E237" s="146"/>
      <c r="F237" s="156">
        <f t="shared" si="70"/>
        <v>0</v>
      </c>
      <c r="G237" s="211">
        <f t="shared" ref="G237:H237" si="73">G241</f>
        <v>0</v>
      </c>
      <c r="H237" s="147">
        <f t="shared" si="73"/>
        <v>0</v>
      </c>
      <c r="I237" s="378">
        <f>I241</f>
        <v>0</v>
      </c>
      <c r="J237" s="378"/>
      <c r="K237" s="378"/>
      <c r="L237" s="378"/>
      <c r="M237" s="378"/>
      <c r="N237" s="147">
        <f t="shared" ref="N237:O237" si="74">N241</f>
        <v>0</v>
      </c>
      <c r="O237" s="147">
        <f t="shared" si="74"/>
        <v>0</v>
      </c>
      <c r="P237" s="462"/>
      <c r="T237" s="45"/>
      <c r="U237" s="45"/>
    </row>
    <row r="238" spans="1:21" s="9" customFormat="1" ht="34.5" x14ac:dyDescent="0.25">
      <c r="A238" s="341"/>
      <c r="B238" s="395"/>
      <c r="C238" s="395"/>
      <c r="D238" s="223" t="s">
        <v>1</v>
      </c>
      <c r="E238" s="146"/>
      <c r="F238" s="156">
        <f t="shared" si="70"/>
        <v>61976.218000000001</v>
      </c>
      <c r="G238" s="211">
        <f>G242</f>
        <v>61976.218000000001</v>
      </c>
      <c r="H238" s="299">
        <f>H242</f>
        <v>0</v>
      </c>
      <c r="I238" s="378">
        <f t="shared" ref="I238:I239" si="75">I242</f>
        <v>0</v>
      </c>
      <c r="J238" s="378"/>
      <c r="K238" s="378"/>
      <c r="L238" s="378"/>
      <c r="M238" s="378"/>
      <c r="N238" s="147">
        <f t="shared" ref="N238:O238" si="76">N242</f>
        <v>0</v>
      </c>
      <c r="O238" s="147">
        <f t="shared" si="76"/>
        <v>0</v>
      </c>
      <c r="P238" s="462"/>
      <c r="T238" s="45"/>
      <c r="U238" s="45"/>
    </row>
    <row r="239" spans="1:21" s="9" customFormat="1" ht="51.75" x14ac:dyDescent="0.25">
      <c r="A239" s="341"/>
      <c r="B239" s="395"/>
      <c r="C239" s="395"/>
      <c r="D239" s="223" t="s">
        <v>47</v>
      </c>
      <c r="E239" s="148">
        <f>E242</f>
        <v>0</v>
      </c>
      <c r="F239" s="156">
        <f t="shared" si="70"/>
        <v>85420.209409999996</v>
      </c>
      <c r="G239" s="299">
        <f>G243</f>
        <v>85420.209409999996</v>
      </c>
      <c r="H239" s="299">
        <f>H243</f>
        <v>0</v>
      </c>
      <c r="I239" s="378">
        <f t="shared" si="75"/>
        <v>0</v>
      </c>
      <c r="J239" s="378"/>
      <c r="K239" s="378"/>
      <c r="L239" s="378"/>
      <c r="M239" s="378"/>
      <c r="N239" s="148">
        <f t="shared" ref="N239:O239" si="77">N243</f>
        <v>0</v>
      </c>
      <c r="O239" s="148">
        <f t="shared" si="77"/>
        <v>0</v>
      </c>
      <c r="P239" s="462"/>
      <c r="T239" s="45"/>
      <c r="U239" s="45"/>
    </row>
    <row r="240" spans="1:21" s="9" customFormat="1" ht="34.5" x14ac:dyDescent="0.25">
      <c r="A240" s="341"/>
      <c r="B240" s="395"/>
      <c r="C240" s="395"/>
      <c r="D240" s="223" t="s">
        <v>87</v>
      </c>
      <c r="E240" s="148"/>
      <c r="F240" s="156">
        <f t="shared" si="70"/>
        <v>0</v>
      </c>
      <c r="G240" s="148">
        <f t="shared" ref="G240:H240" si="78">G244</f>
        <v>0</v>
      </c>
      <c r="H240" s="148">
        <f t="shared" si="78"/>
        <v>0</v>
      </c>
      <c r="I240" s="376">
        <f>I244</f>
        <v>0</v>
      </c>
      <c r="J240" s="376"/>
      <c r="K240" s="376"/>
      <c r="L240" s="376"/>
      <c r="M240" s="376"/>
      <c r="N240" s="148">
        <f t="shared" ref="N240:O240" si="79">N244</f>
        <v>0</v>
      </c>
      <c r="O240" s="148">
        <f t="shared" si="79"/>
        <v>0</v>
      </c>
      <c r="P240" s="462"/>
      <c r="T240" s="45"/>
      <c r="U240" s="45"/>
    </row>
    <row r="241" spans="1:21" s="9" customFormat="1" ht="40.5" customHeight="1" x14ac:dyDescent="0.25">
      <c r="A241" s="420" t="s">
        <v>57</v>
      </c>
      <c r="B241" s="405" t="s">
        <v>99</v>
      </c>
      <c r="C241" s="396" t="s">
        <v>45</v>
      </c>
      <c r="D241" s="224" t="s">
        <v>40</v>
      </c>
      <c r="E241" s="71"/>
      <c r="F241" s="156">
        <f t="shared" si="70"/>
        <v>0</v>
      </c>
      <c r="G241" s="212">
        <v>0</v>
      </c>
      <c r="H241" s="117">
        <v>0</v>
      </c>
      <c r="I241" s="358">
        <v>0</v>
      </c>
      <c r="J241" s="358"/>
      <c r="K241" s="358"/>
      <c r="L241" s="358"/>
      <c r="M241" s="358"/>
      <c r="N241" s="117">
        <v>0</v>
      </c>
      <c r="O241" s="117">
        <v>0</v>
      </c>
      <c r="P241" s="457" t="s">
        <v>3</v>
      </c>
      <c r="T241" s="45"/>
      <c r="U241" s="45"/>
    </row>
    <row r="242" spans="1:21" s="40" customFormat="1" ht="34.5" x14ac:dyDescent="0.25">
      <c r="A242" s="421"/>
      <c r="B242" s="405"/>
      <c r="C242" s="396"/>
      <c r="D242" s="220" t="s">
        <v>1</v>
      </c>
      <c r="E242" s="130">
        <v>0</v>
      </c>
      <c r="F242" s="156">
        <f t="shared" si="70"/>
        <v>61976.218000000001</v>
      </c>
      <c r="G242" s="130">
        <v>61976.218000000001</v>
      </c>
      <c r="H242" s="130">
        <v>0</v>
      </c>
      <c r="I242" s="338">
        <f>114716.441-114716.441</f>
        <v>0</v>
      </c>
      <c r="J242" s="338"/>
      <c r="K242" s="338"/>
      <c r="L242" s="338"/>
      <c r="M242" s="338"/>
      <c r="N242" s="130">
        <v>0</v>
      </c>
      <c r="O242" s="130">
        <v>0</v>
      </c>
      <c r="P242" s="457"/>
    </row>
    <row r="243" spans="1:21" s="40" customFormat="1" ht="51.75" x14ac:dyDescent="0.25">
      <c r="A243" s="421"/>
      <c r="B243" s="405"/>
      <c r="C243" s="396"/>
      <c r="D243" s="220" t="s">
        <v>47</v>
      </c>
      <c r="E243" s="130">
        <v>0</v>
      </c>
      <c r="F243" s="156">
        <f t="shared" si="70"/>
        <v>85420.209409999996</v>
      </c>
      <c r="G243" s="130">
        <v>85420.209409999996</v>
      </c>
      <c r="H243" s="130">
        <v>0</v>
      </c>
      <c r="I243" s="338">
        <f>69830.1+42839.82134-112669.92134</f>
        <v>0</v>
      </c>
      <c r="J243" s="338"/>
      <c r="K243" s="338"/>
      <c r="L243" s="338"/>
      <c r="M243" s="338"/>
      <c r="N243" s="130">
        <v>0</v>
      </c>
      <c r="O243" s="130">
        <v>0</v>
      </c>
      <c r="P243" s="457"/>
      <c r="Q243" s="41"/>
    </row>
    <row r="244" spans="1:21" s="40" customFormat="1" ht="34.5" x14ac:dyDescent="0.25">
      <c r="A244" s="421"/>
      <c r="B244" s="405"/>
      <c r="C244" s="396"/>
      <c r="D244" s="220" t="s">
        <v>87</v>
      </c>
      <c r="E244" s="130"/>
      <c r="F244" s="156">
        <f t="shared" si="70"/>
        <v>0</v>
      </c>
      <c r="G244" s="130">
        <v>0</v>
      </c>
      <c r="H244" s="130">
        <v>0</v>
      </c>
      <c r="I244" s="338">
        <v>0</v>
      </c>
      <c r="J244" s="338"/>
      <c r="K244" s="338"/>
      <c r="L244" s="338"/>
      <c r="M244" s="338"/>
      <c r="N244" s="130">
        <v>0</v>
      </c>
      <c r="O244" s="130">
        <v>0</v>
      </c>
      <c r="P244" s="457"/>
      <c r="Q244" s="41"/>
    </row>
    <row r="245" spans="1:21" s="40" customFormat="1" ht="24" customHeight="1" x14ac:dyDescent="0.25">
      <c r="A245" s="421"/>
      <c r="B245" s="398" t="s">
        <v>162</v>
      </c>
      <c r="C245" s="394" t="s">
        <v>116</v>
      </c>
      <c r="D245" s="379" t="s">
        <v>116</v>
      </c>
      <c r="E245" s="131"/>
      <c r="F245" s="355" t="s">
        <v>117</v>
      </c>
      <c r="G245" s="229" t="s">
        <v>247</v>
      </c>
      <c r="H245" s="229" t="s">
        <v>248</v>
      </c>
      <c r="I245" s="354" t="s">
        <v>123</v>
      </c>
      <c r="J245" s="339" t="s">
        <v>118</v>
      </c>
      <c r="K245" s="339"/>
      <c r="L245" s="339"/>
      <c r="M245" s="339"/>
      <c r="N245" s="132" t="s">
        <v>124</v>
      </c>
      <c r="O245" s="132" t="s">
        <v>125</v>
      </c>
      <c r="P245" s="457" t="s">
        <v>116</v>
      </c>
      <c r="Q245" s="41"/>
    </row>
    <row r="246" spans="1:21" s="40" customFormat="1" ht="24" customHeight="1" x14ac:dyDescent="0.25">
      <c r="A246" s="421"/>
      <c r="B246" s="398"/>
      <c r="C246" s="394"/>
      <c r="D246" s="379"/>
      <c r="E246" s="131"/>
      <c r="F246" s="355"/>
      <c r="G246" s="205"/>
      <c r="H246" s="131"/>
      <c r="I246" s="354"/>
      <c r="J246" s="194" t="s">
        <v>119</v>
      </c>
      <c r="K246" s="194" t="s">
        <v>120</v>
      </c>
      <c r="L246" s="194" t="s">
        <v>121</v>
      </c>
      <c r="M246" s="194" t="s">
        <v>122</v>
      </c>
      <c r="N246" s="131"/>
      <c r="O246" s="131"/>
      <c r="P246" s="457"/>
      <c r="Q246" s="41"/>
    </row>
    <row r="247" spans="1:21" s="40" customFormat="1" ht="26.25" customHeight="1" x14ac:dyDescent="0.25">
      <c r="A247" s="422"/>
      <c r="B247" s="398"/>
      <c r="C247" s="394"/>
      <c r="D247" s="379"/>
      <c r="E247" s="131"/>
      <c r="F247" s="157">
        <v>0</v>
      </c>
      <c r="G247" s="133">
        <v>0</v>
      </c>
      <c r="H247" s="133">
        <v>0</v>
      </c>
      <c r="I247" s="189">
        <v>0</v>
      </c>
      <c r="J247" s="189">
        <v>0</v>
      </c>
      <c r="K247" s="189">
        <v>0</v>
      </c>
      <c r="L247" s="189">
        <v>0</v>
      </c>
      <c r="M247" s="189">
        <v>0</v>
      </c>
      <c r="N247" s="133">
        <v>0</v>
      </c>
      <c r="O247" s="133">
        <v>0</v>
      </c>
      <c r="P247" s="457"/>
      <c r="Q247" s="41"/>
    </row>
    <row r="248" spans="1:21" s="9" customFormat="1" ht="29.25" customHeight="1" x14ac:dyDescent="0.25">
      <c r="A248" s="343" t="s">
        <v>10</v>
      </c>
      <c r="B248" s="366" t="s">
        <v>80</v>
      </c>
      <c r="C248" s="366" t="s">
        <v>45</v>
      </c>
      <c r="D248" s="218" t="s">
        <v>2</v>
      </c>
      <c r="E248" s="142">
        <f>E250+E251</f>
        <v>0</v>
      </c>
      <c r="F248" s="156">
        <f t="shared" ref="F248:F256" si="80">SUM(G248:O248)</f>
        <v>806006.23083000001</v>
      </c>
      <c r="G248" s="204">
        <f t="shared" ref="G248:H248" si="81">G249+G250+G251+G252</f>
        <v>806006.23083000001</v>
      </c>
      <c r="H248" s="142">
        <f t="shared" si="81"/>
        <v>0</v>
      </c>
      <c r="I248" s="351">
        <f>I249+I250+I251+I252</f>
        <v>0</v>
      </c>
      <c r="J248" s="351"/>
      <c r="K248" s="351"/>
      <c r="L248" s="351"/>
      <c r="M248" s="351"/>
      <c r="N248" s="142">
        <f t="shared" ref="N248:O248" si="82">N249+N250+N251+N252</f>
        <v>0</v>
      </c>
      <c r="O248" s="142">
        <f t="shared" si="82"/>
        <v>0</v>
      </c>
      <c r="P248" s="432"/>
      <c r="T248" s="45"/>
      <c r="U248" s="45"/>
    </row>
    <row r="249" spans="1:21" s="9" customFormat="1" ht="39.75" customHeight="1" x14ac:dyDescent="0.25">
      <c r="A249" s="343"/>
      <c r="B249" s="366"/>
      <c r="C249" s="366"/>
      <c r="D249" s="218" t="s">
        <v>40</v>
      </c>
      <c r="E249" s="142"/>
      <c r="F249" s="156">
        <f t="shared" si="80"/>
        <v>58761.3</v>
      </c>
      <c r="G249" s="203">
        <f>G253+G263+G270+G277+G284</f>
        <v>58761.3</v>
      </c>
      <c r="H249" s="297">
        <f>H253+H263+H270+H277+H284</f>
        <v>0</v>
      </c>
      <c r="I249" s="350">
        <f>I253+I263+I270+I277+I284</f>
        <v>0</v>
      </c>
      <c r="J249" s="350"/>
      <c r="K249" s="350"/>
      <c r="L249" s="350"/>
      <c r="M249" s="350"/>
      <c r="N249" s="143">
        <f>N253+N263+N270+N277+N284</f>
        <v>0</v>
      </c>
      <c r="O249" s="297">
        <f>O253+O263+O270+O277+O284</f>
        <v>0</v>
      </c>
      <c r="P249" s="432"/>
      <c r="T249" s="45"/>
      <c r="U249" s="45"/>
    </row>
    <row r="250" spans="1:21" s="9" customFormat="1" ht="39.75" customHeight="1" x14ac:dyDescent="0.25">
      <c r="A250" s="343"/>
      <c r="B250" s="366"/>
      <c r="C250" s="366"/>
      <c r="D250" s="218" t="s">
        <v>1</v>
      </c>
      <c r="E250" s="143">
        <f>E254</f>
        <v>0</v>
      </c>
      <c r="F250" s="156">
        <f t="shared" si="80"/>
        <v>408038.41587999999</v>
      </c>
      <c r="G250" s="297">
        <f t="shared" ref="G250:I250" si="83">G254+G264+G271+G278+G285</f>
        <v>408038.41587999999</v>
      </c>
      <c r="H250" s="297">
        <f t="shared" si="83"/>
        <v>0</v>
      </c>
      <c r="I250" s="350">
        <f t="shared" si="83"/>
        <v>0</v>
      </c>
      <c r="J250" s="350"/>
      <c r="K250" s="350"/>
      <c r="L250" s="350"/>
      <c r="M250" s="350"/>
      <c r="N250" s="297">
        <f t="shared" ref="N250:O250" si="84">N254+N264+N271+N278+N285</f>
        <v>0</v>
      </c>
      <c r="O250" s="297">
        <f t="shared" si="84"/>
        <v>0</v>
      </c>
      <c r="P250" s="432"/>
      <c r="T250" s="45"/>
      <c r="U250" s="45"/>
    </row>
    <row r="251" spans="1:21" s="9" customFormat="1" ht="58.5" customHeight="1" x14ac:dyDescent="0.25">
      <c r="A251" s="343"/>
      <c r="B251" s="366"/>
      <c r="C251" s="366"/>
      <c r="D251" s="218" t="s">
        <v>48</v>
      </c>
      <c r="E251" s="143">
        <f>E255</f>
        <v>0</v>
      </c>
      <c r="F251" s="156">
        <f t="shared" si="80"/>
        <v>339206.51494999998</v>
      </c>
      <c r="G251" s="297">
        <f>G255+G265+G272+G279+G286+G293</f>
        <v>339206.51494999998</v>
      </c>
      <c r="H251" s="297">
        <f t="shared" ref="G251:I252" si="85">H255+H265+H272+H279+H286</f>
        <v>0</v>
      </c>
      <c r="I251" s="350">
        <f t="shared" si="85"/>
        <v>0</v>
      </c>
      <c r="J251" s="350"/>
      <c r="K251" s="350"/>
      <c r="L251" s="350"/>
      <c r="M251" s="350"/>
      <c r="N251" s="297">
        <f t="shared" ref="N251:O251" si="86">N255+N265+N272+N279+N286</f>
        <v>0</v>
      </c>
      <c r="O251" s="297">
        <f t="shared" si="86"/>
        <v>0</v>
      </c>
      <c r="P251" s="432"/>
      <c r="T251" s="45"/>
      <c r="U251" s="45"/>
    </row>
    <row r="252" spans="1:21" s="9" customFormat="1" ht="34.5" x14ac:dyDescent="0.25">
      <c r="A252" s="343"/>
      <c r="B252" s="366"/>
      <c r="C252" s="366"/>
      <c r="D252" s="218" t="s">
        <v>87</v>
      </c>
      <c r="E252" s="143"/>
      <c r="F252" s="156">
        <f t="shared" si="80"/>
        <v>0</v>
      </c>
      <c r="G252" s="297">
        <f t="shared" si="85"/>
        <v>0</v>
      </c>
      <c r="H252" s="297">
        <f t="shared" si="85"/>
        <v>0</v>
      </c>
      <c r="I252" s="350">
        <f t="shared" si="85"/>
        <v>0</v>
      </c>
      <c r="J252" s="350"/>
      <c r="K252" s="350"/>
      <c r="L252" s="350"/>
      <c r="M252" s="350"/>
      <c r="N252" s="297">
        <f t="shared" ref="N252:O252" si="87">N256+N266+N273+N280+N287</f>
        <v>0</v>
      </c>
      <c r="O252" s="297">
        <f t="shared" si="87"/>
        <v>0</v>
      </c>
      <c r="P252" s="432"/>
      <c r="T252" s="45"/>
      <c r="U252" s="45"/>
    </row>
    <row r="253" spans="1:21" s="40" customFormat="1" ht="42" customHeight="1" x14ac:dyDescent="0.25">
      <c r="A253" s="392" t="s">
        <v>58</v>
      </c>
      <c r="B253" s="397" t="s">
        <v>136</v>
      </c>
      <c r="C253" s="399" t="s">
        <v>45</v>
      </c>
      <c r="D253" s="221" t="s">
        <v>40</v>
      </c>
      <c r="E253" s="121"/>
      <c r="F253" s="156">
        <f t="shared" si="80"/>
        <v>54593.9</v>
      </c>
      <c r="G253" s="202">
        <v>54593.9</v>
      </c>
      <c r="H253" s="118">
        <v>0</v>
      </c>
      <c r="I253" s="336">
        <v>0</v>
      </c>
      <c r="J253" s="336"/>
      <c r="K253" s="336"/>
      <c r="L253" s="336"/>
      <c r="M253" s="336"/>
      <c r="N253" s="118">
        <v>0</v>
      </c>
      <c r="O253" s="118">
        <v>0</v>
      </c>
      <c r="P253" s="458" t="s">
        <v>90</v>
      </c>
    </row>
    <row r="254" spans="1:21" s="40" customFormat="1" ht="34.5" x14ac:dyDescent="0.25">
      <c r="A254" s="392"/>
      <c r="B254" s="397"/>
      <c r="C254" s="399"/>
      <c r="D254" s="221" t="s">
        <v>1</v>
      </c>
      <c r="E254" s="136">
        <v>0</v>
      </c>
      <c r="F254" s="156">
        <f t="shared" si="80"/>
        <v>326667.27737999998</v>
      </c>
      <c r="G254" s="209">
        <v>326667.27737999998</v>
      </c>
      <c r="H254" s="136">
        <v>0</v>
      </c>
      <c r="I254" s="459">
        <f>513435.04025-513435.04025</f>
        <v>0</v>
      </c>
      <c r="J254" s="459"/>
      <c r="K254" s="459"/>
      <c r="L254" s="459"/>
      <c r="M254" s="459"/>
      <c r="N254" s="136">
        <f>508568.72-508568.72</f>
        <v>0</v>
      </c>
      <c r="O254" s="136">
        <v>0</v>
      </c>
      <c r="P254" s="458"/>
    </row>
    <row r="255" spans="1:21" s="40" customFormat="1" ht="51.75" x14ac:dyDescent="0.25">
      <c r="A255" s="392"/>
      <c r="B255" s="397"/>
      <c r="C255" s="399"/>
      <c r="D255" s="221" t="s">
        <v>48</v>
      </c>
      <c r="E255" s="136">
        <v>0</v>
      </c>
      <c r="F255" s="156">
        <f t="shared" si="80"/>
        <v>156526.48230999999</v>
      </c>
      <c r="G255" s="209">
        <v>156526.48230999999</v>
      </c>
      <c r="H255" s="136">
        <v>0</v>
      </c>
      <c r="I255" s="459">
        <f>67451.08779+13947.78634-81398.87413</f>
        <v>0</v>
      </c>
      <c r="J255" s="459"/>
      <c r="K255" s="459"/>
      <c r="L255" s="459"/>
      <c r="M255" s="459"/>
      <c r="N255" s="136">
        <f>56507.64-56507.64</f>
        <v>0</v>
      </c>
      <c r="O255" s="136">
        <v>0</v>
      </c>
      <c r="P255" s="458"/>
    </row>
    <row r="256" spans="1:21" s="40" customFormat="1" ht="34.5" x14ac:dyDescent="0.25">
      <c r="A256" s="392"/>
      <c r="B256" s="397"/>
      <c r="C256" s="399"/>
      <c r="D256" s="221" t="s">
        <v>87</v>
      </c>
      <c r="E256" s="136"/>
      <c r="F256" s="156">
        <f t="shared" si="80"/>
        <v>0</v>
      </c>
      <c r="G256" s="209">
        <v>0</v>
      </c>
      <c r="H256" s="136">
        <v>0</v>
      </c>
      <c r="I256" s="459">
        <v>0</v>
      </c>
      <c r="J256" s="459"/>
      <c r="K256" s="459"/>
      <c r="L256" s="459"/>
      <c r="M256" s="459"/>
      <c r="N256" s="136">
        <v>0</v>
      </c>
      <c r="O256" s="136">
        <v>0</v>
      </c>
      <c r="P256" s="458"/>
    </row>
    <row r="257" spans="1:17" s="40" customFormat="1" ht="24" customHeight="1" x14ac:dyDescent="0.25">
      <c r="A257" s="392"/>
      <c r="B257" s="398" t="s">
        <v>163</v>
      </c>
      <c r="C257" s="394" t="s">
        <v>116</v>
      </c>
      <c r="D257" s="379" t="s">
        <v>116</v>
      </c>
      <c r="E257" s="131"/>
      <c r="F257" s="355" t="s">
        <v>117</v>
      </c>
      <c r="G257" s="229" t="s">
        <v>247</v>
      </c>
      <c r="H257" s="229" t="s">
        <v>248</v>
      </c>
      <c r="I257" s="354" t="s">
        <v>123</v>
      </c>
      <c r="J257" s="339" t="s">
        <v>118</v>
      </c>
      <c r="K257" s="339"/>
      <c r="L257" s="339"/>
      <c r="M257" s="339"/>
      <c r="N257" s="132" t="s">
        <v>124</v>
      </c>
      <c r="O257" s="132" t="s">
        <v>125</v>
      </c>
      <c r="P257" s="457" t="s">
        <v>116</v>
      </c>
      <c r="Q257" s="41"/>
    </row>
    <row r="258" spans="1:17" s="40" customFormat="1" ht="24" customHeight="1" x14ac:dyDescent="0.25">
      <c r="A258" s="392"/>
      <c r="B258" s="398"/>
      <c r="C258" s="394"/>
      <c r="D258" s="379"/>
      <c r="E258" s="131"/>
      <c r="F258" s="355"/>
      <c r="G258" s="205"/>
      <c r="H258" s="131"/>
      <c r="I258" s="354"/>
      <c r="J258" s="194" t="s">
        <v>119</v>
      </c>
      <c r="K258" s="194" t="s">
        <v>120</v>
      </c>
      <c r="L258" s="194" t="s">
        <v>121</v>
      </c>
      <c r="M258" s="194" t="s">
        <v>122</v>
      </c>
      <c r="N258" s="131"/>
      <c r="O258" s="131"/>
      <c r="P258" s="457"/>
      <c r="Q258" s="41"/>
    </row>
    <row r="259" spans="1:17" s="40" customFormat="1" ht="24" customHeight="1" x14ac:dyDescent="0.25">
      <c r="A259" s="392"/>
      <c r="B259" s="398"/>
      <c r="C259" s="394"/>
      <c r="D259" s="379"/>
      <c r="E259" s="131"/>
      <c r="F259" s="157">
        <f>I259+H259+G259+N259+O259</f>
        <v>1</v>
      </c>
      <c r="G259" s="133">
        <v>1</v>
      </c>
      <c r="H259" s="133">
        <v>0</v>
      </c>
      <c r="I259" s="189">
        <v>0</v>
      </c>
      <c r="J259" s="189">
        <v>0</v>
      </c>
      <c r="K259" s="189">
        <v>0</v>
      </c>
      <c r="L259" s="189">
        <v>0</v>
      </c>
      <c r="M259" s="189">
        <v>0</v>
      </c>
      <c r="N259" s="133">
        <v>0</v>
      </c>
      <c r="O259" s="133">
        <v>0</v>
      </c>
      <c r="P259" s="457"/>
      <c r="Q259" s="41"/>
    </row>
    <row r="260" spans="1:17" s="318" customFormat="1" ht="24" hidden="1" customHeight="1" x14ac:dyDescent="0.25">
      <c r="A260" s="392"/>
      <c r="B260" s="417" t="s">
        <v>214</v>
      </c>
      <c r="C260" s="455" t="s">
        <v>116</v>
      </c>
      <c r="D260" s="463" t="s">
        <v>116</v>
      </c>
      <c r="E260" s="315"/>
      <c r="F260" s="464" t="s">
        <v>117</v>
      </c>
      <c r="G260" s="316" t="s">
        <v>247</v>
      </c>
      <c r="H260" s="316" t="s">
        <v>248</v>
      </c>
      <c r="I260" s="460" t="s">
        <v>123</v>
      </c>
      <c r="J260" s="461" t="s">
        <v>118</v>
      </c>
      <c r="K260" s="461"/>
      <c r="L260" s="461"/>
      <c r="M260" s="461"/>
      <c r="N260" s="316" t="s">
        <v>124</v>
      </c>
      <c r="O260" s="316" t="s">
        <v>125</v>
      </c>
      <c r="P260" s="456" t="s">
        <v>116</v>
      </c>
      <c r="Q260" s="317"/>
    </row>
    <row r="261" spans="1:17" s="318" customFormat="1" ht="24" hidden="1" customHeight="1" x14ac:dyDescent="0.25">
      <c r="A261" s="392"/>
      <c r="B261" s="417"/>
      <c r="C261" s="455"/>
      <c r="D261" s="463"/>
      <c r="E261" s="315"/>
      <c r="F261" s="464"/>
      <c r="G261" s="315"/>
      <c r="H261" s="315"/>
      <c r="I261" s="460"/>
      <c r="J261" s="315" t="s">
        <v>119</v>
      </c>
      <c r="K261" s="315" t="s">
        <v>120</v>
      </c>
      <c r="L261" s="315" t="s">
        <v>121</v>
      </c>
      <c r="M261" s="315" t="s">
        <v>122</v>
      </c>
      <c r="N261" s="315"/>
      <c r="O261" s="315"/>
      <c r="P261" s="456"/>
      <c r="Q261" s="317"/>
    </row>
    <row r="262" spans="1:17" s="318" customFormat="1" ht="24" hidden="1" customHeight="1" x14ac:dyDescent="0.25">
      <c r="A262" s="392"/>
      <c r="B262" s="417"/>
      <c r="C262" s="455"/>
      <c r="D262" s="463"/>
      <c r="E262" s="315"/>
      <c r="F262" s="319">
        <f>I262+H262+G262+N262+O262</f>
        <v>0</v>
      </c>
      <c r="G262" s="320">
        <v>0</v>
      </c>
      <c r="H262" s="320">
        <v>0</v>
      </c>
      <c r="I262" s="320">
        <v>0</v>
      </c>
      <c r="J262" s="320">
        <v>0</v>
      </c>
      <c r="K262" s="320">
        <v>0</v>
      </c>
      <c r="L262" s="320">
        <v>0</v>
      </c>
      <c r="M262" s="320">
        <v>0</v>
      </c>
      <c r="N262" s="320">
        <v>0</v>
      </c>
      <c r="O262" s="320">
        <v>0</v>
      </c>
      <c r="P262" s="456"/>
      <c r="Q262" s="317"/>
    </row>
    <row r="263" spans="1:17" s="40" customFormat="1" ht="42" customHeight="1" x14ac:dyDescent="0.25">
      <c r="A263" s="392" t="s">
        <v>192</v>
      </c>
      <c r="B263" s="397" t="s">
        <v>217</v>
      </c>
      <c r="C263" s="399" t="s">
        <v>45</v>
      </c>
      <c r="D263" s="221" t="s">
        <v>40</v>
      </c>
      <c r="E263" s="136"/>
      <c r="F263" s="156">
        <f t="shared" ref="F263:F265" si="88">SUM(G263:O263)</f>
        <v>4167.3999999999996</v>
      </c>
      <c r="G263" s="209">
        <v>4167.3999999999996</v>
      </c>
      <c r="H263" s="136">
        <v>0</v>
      </c>
      <c r="I263" s="459">
        <v>0</v>
      </c>
      <c r="J263" s="459"/>
      <c r="K263" s="459"/>
      <c r="L263" s="459"/>
      <c r="M263" s="459"/>
      <c r="N263" s="136">
        <v>0</v>
      </c>
      <c r="O263" s="136">
        <v>0</v>
      </c>
      <c r="P263" s="458" t="s">
        <v>3</v>
      </c>
    </row>
    <row r="264" spans="1:17" s="40" customFormat="1" ht="34.5" x14ac:dyDescent="0.25">
      <c r="A264" s="392"/>
      <c r="B264" s="397"/>
      <c r="C264" s="399"/>
      <c r="D264" s="221" t="s">
        <v>1</v>
      </c>
      <c r="E264" s="136">
        <v>0</v>
      </c>
      <c r="F264" s="156">
        <f t="shared" si="88"/>
        <v>30721.122500000001</v>
      </c>
      <c r="G264" s="209">
        <v>30721.122500000001</v>
      </c>
      <c r="H264" s="136">
        <v>0</v>
      </c>
      <c r="I264" s="459">
        <f>45033.19-0.007-45033.183</f>
        <v>0</v>
      </c>
      <c r="J264" s="459"/>
      <c r="K264" s="459"/>
      <c r="L264" s="459"/>
      <c r="M264" s="459"/>
      <c r="N264" s="136">
        <f>39400.88-39400.88</f>
        <v>0</v>
      </c>
      <c r="O264" s="136">
        <v>0</v>
      </c>
      <c r="P264" s="458"/>
    </row>
    <row r="265" spans="1:17" s="40" customFormat="1" ht="57.75" customHeight="1" x14ac:dyDescent="0.25">
      <c r="A265" s="392"/>
      <c r="B265" s="397"/>
      <c r="C265" s="399"/>
      <c r="D265" s="221" t="s">
        <v>48</v>
      </c>
      <c r="E265" s="136">
        <v>0</v>
      </c>
      <c r="F265" s="156">
        <f t="shared" si="88"/>
        <v>58144.980499999998</v>
      </c>
      <c r="G265" s="209">
        <v>58144.980499999998</v>
      </c>
      <c r="H265" s="136">
        <v>0</v>
      </c>
      <c r="I265" s="459">
        <f>20837.23+8930.11611-29767.34611</f>
        <v>0</v>
      </c>
      <c r="J265" s="459"/>
      <c r="K265" s="459"/>
      <c r="L265" s="459"/>
      <c r="M265" s="459"/>
      <c r="N265" s="136">
        <f>4377.88-4377.88</f>
        <v>0</v>
      </c>
      <c r="O265" s="136">
        <v>0</v>
      </c>
      <c r="P265" s="458"/>
    </row>
    <row r="266" spans="1:17" s="40" customFormat="1" ht="34.5" x14ac:dyDescent="0.25">
      <c r="A266" s="392"/>
      <c r="B266" s="397"/>
      <c r="C266" s="399"/>
      <c r="D266" s="221" t="s">
        <v>87</v>
      </c>
      <c r="E266" s="136"/>
      <c r="F266" s="156">
        <f>SUM(H266:O266)</f>
        <v>0</v>
      </c>
      <c r="G266" s="209">
        <v>0</v>
      </c>
      <c r="H266" s="136">
        <v>0</v>
      </c>
      <c r="I266" s="459">
        <v>0</v>
      </c>
      <c r="J266" s="459"/>
      <c r="K266" s="459"/>
      <c r="L266" s="459"/>
      <c r="M266" s="459"/>
      <c r="N266" s="136">
        <v>0</v>
      </c>
      <c r="O266" s="136">
        <v>0</v>
      </c>
      <c r="P266" s="458"/>
    </row>
    <row r="267" spans="1:17" s="40" customFormat="1" ht="24" customHeight="1" x14ac:dyDescent="0.25">
      <c r="A267" s="392"/>
      <c r="B267" s="398" t="s">
        <v>164</v>
      </c>
      <c r="C267" s="394" t="s">
        <v>116</v>
      </c>
      <c r="D267" s="379" t="s">
        <v>116</v>
      </c>
      <c r="E267" s="131"/>
      <c r="F267" s="355" t="s">
        <v>117</v>
      </c>
      <c r="G267" s="229" t="s">
        <v>247</v>
      </c>
      <c r="H267" s="229" t="s">
        <v>248</v>
      </c>
      <c r="I267" s="354" t="s">
        <v>123</v>
      </c>
      <c r="J267" s="339" t="s">
        <v>118</v>
      </c>
      <c r="K267" s="339"/>
      <c r="L267" s="339"/>
      <c r="M267" s="339"/>
      <c r="N267" s="132" t="s">
        <v>124</v>
      </c>
      <c r="O267" s="132" t="s">
        <v>125</v>
      </c>
      <c r="P267" s="457" t="s">
        <v>116</v>
      </c>
      <c r="Q267" s="41"/>
    </row>
    <row r="268" spans="1:17" s="40" customFormat="1" ht="24" customHeight="1" x14ac:dyDescent="0.25">
      <c r="A268" s="392"/>
      <c r="B268" s="398"/>
      <c r="C268" s="394"/>
      <c r="D268" s="379"/>
      <c r="E268" s="131"/>
      <c r="F268" s="355"/>
      <c r="G268" s="205"/>
      <c r="H268" s="131"/>
      <c r="I268" s="354"/>
      <c r="J268" s="194" t="s">
        <v>119</v>
      </c>
      <c r="K268" s="194" t="s">
        <v>120</v>
      </c>
      <c r="L268" s="194" t="s">
        <v>121</v>
      </c>
      <c r="M268" s="194" t="s">
        <v>122</v>
      </c>
      <c r="N268" s="131"/>
      <c r="O268" s="131"/>
      <c r="P268" s="457"/>
      <c r="Q268" s="41"/>
    </row>
    <row r="269" spans="1:17" s="40" customFormat="1" ht="27" customHeight="1" x14ac:dyDescent="0.25">
      <c r="A269" s="392"/>
      <c r="B269" s="398"/>
      <c r="C269" s="394"/>
      <c r="D269" s="379"/>
      <c r="E269" s="131"/>
      <c r="F269" s="157">
        <f>I269+H269+G269+N269+O269</f>
        <v>1</v>
      </c>
      <c r="G269" s="133">
        <v>1</v>
      </c>
      <c r="H269" s="133">
        <v>0</v>
      </c>
      <c r="I269" s="189">
        <v>0</v>
      </c>
      <c r="J269" s="189">
        <v>0</v>
      </c>
      <c r="K269" s="189">
        <v>0</v>
      </c>
      <c r="L269" s="189">
        <v>0</v>
      </c>
      <c r="M269" s="189">
        <v>0</v>
      </c>
      <c r="N269" s="133">
        <v>0</v>
      </c>
      <c r="O269" s="133">
        <v>0</v>
      </c>
      <c r="P269" s="457"/>
      <c r="Q269" s="41"/>
    </row>
    <row r="270" spans="1:17" s="40" customFormat="1" ht="40.5" customHeight="1" x14ac:dyDescent="0.25">
      <c r="A270" s="392" t="s">
        <v>193</v>
      </c>
      <c r="B270" s="397" t="s">
        <v>100</v>
      </c>
      <c r="C270" s="399" t="s">
        <v>45</v>
      </c>
      <c r="D270" s="221" t="s">
        <v>40</v>
      </c>
      <c r="E270" s="136"/>
      <c r="F270" s="156">
        <f t="shared" ref="F270:F272" si="89">SUM(G270:O270)</f>
        <v>0</v>
      </c>
      <c r="G270" s="209">
        <v>0</v>
      </c>
      <c r="H270" s="136">
        <v>0</v>
      </c>
      <c r="I270" s="459">
        <v>0</v>
      </c>
      <c r="J270" s="459"/>
      <c r="K270" s="459"/>
      <c r="L270" s="459"/>
      <c r="M270" s="459"/>
      <c r="N270" s="136">
        <v>0</v>
      </c>
      <c r="O270" s="136">
        <v>0</v>
      </c>
      <c r="P270" s="458" t="s">
        <v>3</v>
      </c>
    </row>
    <row r="271" spans="1:17" s="40" customFormat="1" ht="34.5" x14ac:dyDescent="0.25">
      <c r="A271" s="392"/>
      <c r="B271" s="397"/>
      <c r="C271" s="399"/>
      <c r="D271" s="221" t="s">
        <v>1</v>
      </c>
      <c r="E271" s="136">
        <v>0</v>
      </c>
      <c r="F271" s="156">
        <f t="shared" si="89"/>
        <v>38367.31</v>
      </c>
      <c r="G271" s="209">
        <v>38367.31</v>
      </c>
      <c r="H271" s="136">
        <v>0</v>
      </c>
      <c r="I271" s="459">
        <f>30404.68-0.006-30404.674</f>
        <v>0</v>
      </c>
      <c r="J271" s="459"/>
      <c r="K271" s="459"/>
      <c r="L271" s="459"/>
      <c r="M271" s="459"/>
      <c r="N271" s="136">
        <f>38297.91-38297.91</f>
        <v>0</v>
      </c>
      <c r="O271" s="136">
        <v>0</v>
      </c>
      <c r="P271" s="458"/>
    </row>
    <row r="272" spans="1:17" s="40" customFormat="1" ht="51.75" x14ac:dyDescent="0.25">
      <c r="A272" s="392"/>
      <c r="B272" s="397"/>
      <c r="C272" s="399"/>
      <c r="D272" s="221" t="s">
        <v>48</v>
      </c>
      <c r="E272" s="136">
        <v>0</v>
      </c>
      <c r="F272" s="156">
        <f t="shared" si="89"/>
        <v>4263.0379999999996</v>
      </c>
      <c r="G272" s="209">
        <v>4263.0379999999996</v>
      </c>
      <c r="H272" s="136">
        <v>0</v>
      </c>
      <c r="I272" s="459">
        <f>3378.3-3378.3</f>
        <v>0</v>
      </c>
      <c r="J272" s="459"/>
      <c r="K272" s="459"/>
      <c r="L272" s="459"/>
      <c r="M272" s="459"/>
      <c r="N272" s="136">
        <f>4255.33-4255.33</f>
        <v>0</v>
      </c>
      <c r="O272" s="136">
        <v>0</v>
      </c>
      <c r="P272" s="458"/>
    </row>
    <row r="273" spans="1:17" s="40" customFormat="1" ht="34.5" x14ac:dyDescent="0.25">
      <c r="A273" s="392"/>
      <c r="B273" s="397"/>
      <c r="C273" s="399"/>
      <c r="D273" s="221" t="s">
        <v>87</v>
      </c>
      <c r="E273" s="136"/>
      <c r="F273" s="156">
        <f>SUM(H273:O273)</f>
        <v>0</v>
      </c>
      <c r="G273" s="209">
        <v>0</v>
      </c>
      <c r="H273" s="136">
        <v>0</v>
      </c>
      <c r="I273" s="459">
        <v>0</v>
      </c>
      <c r="J273" s="459"/>
      <c r="K273" s="459"/>
      <c r="L273" s="459"/>
      <c r="M273" s="459"/>
      <c r="N273" s="136">
        <v>0</v>
      </c>
      <c r="O273" s="136">
        <v>0</v>
      </c>
      <c r="P273" s="458"/>
    </row>
    <row r="274" spans="1:17" s="40" customFormat="1" ht="24" customHeight="1" x14ac:dyDescent="0.25">
      <c r="A274" s="392"/>
      <c r="B274" s="398" t="s">
        <v>165</v>
      </c>
      <c r="C274" s="394" t="s">
        <v>116</v>
      </c>
      <c r="D274" s="379" t="s">
        <v>116</v>
      </c>
      <c r="E274" s="131"/>
      <c r="F274" s="355" t="s">
        <v>117</v>
      </c>
      <c r="G274" s="229" t="s">
        <v>247</v>
      </c>
      <c r="H274" s="229" t="s">
        <v>248</v>
      </c>
      <c r="I274" s="354" t="s">
        <v>123</v>
      </c>
      <c r="J274" s="339" t="s">
        <v>118</v>
      </c>
      <c r="K274" s="339"/>
      <c r="L274" s="339"/>
      <c r="M274" s="339"/>
      <c r="N274" s="132" t="s">
        <v>124</v>
      </c>
      <c r="O274" s="132" t="s">
        <v>125</v>
      </c>
      <c r="P274" s="457" t="s">
        <v>116</v>
      </c>
      <c r="Q274" s="41"/>
    </row>
    <row r="275" spans="1:17" s="40" customFormat="1" ht="24" customHeight="1" x14ac:dyDescent="0.25">
      <c r="A275" s="392"/>
      <c r="B275" s="398"/>
      <c r="C275" s="394"/>
      <c r="D275" s="379"/>
      <c r="E275" s="131"/>
      <c r="F275" s="355"/>
      <c r="G275" s="205"/>
      <c r="H275" s="131"/>
      <c r="I275" s="354"/>
      <c r="J275" s="194" t="s">
        <v>119</v>
      </c>
      <c r="K275" s="194" t="s">
        <v>120</v>
      </c>
      <c r="L275" s="194" t="s">
        <v>121</v>
      </c>
      <c r="M275" s="194" t="s">
        <v>122</v>
      </c>
      <c r="N275" s="131"/>
      <c r="O275" s="131"/>
      <c r="P275" s="457"/>
      <c r="Q275" s="41"/>
    </row>
    <row r="276" spans="1:17" s="40" customFormat="1" ht="27" customHeight="1" x14ac:dyDescent="0.25">
      <c r="A276" s="392"/>
      <c r="B276" s="398"/>
      <c r="C276" s="394"/>
      <c r="D276" s="379"/>
      <c r="E276" s="131"/>
      <c r="F276" s="157">
        <f>I276+H276+G276+N276</f>
        <v>1</v>
      </c>
      <c r="G276" s="133">
        <v>1</v>
      </c>
      <c r="H276" s="133">
        <v>0</v>
      </c>
      <c r="I276" s="189">
        <v>0</v>
      </c>
      <c r="J276" s="189">
        <v>0</v>
      </c>
      <c r="K276" s="189">
        <v>0</v>
      </c>
      <c r="L276" s="189">
        <v>0</v>
      </c>
      <c r="M276" s="189">
        <v>0</v>
      </c>
      <c r="N276" s="133">
        <v>0</v>
      </c>
      <c r="O276" s="133">
        <v>0</v>
      </c>
      <c r="P276" s="457"/>
      <c r="Q276" s="41"/>
    </row>
    <row r="277" spans="1:17" s="40" customFormat="1" ht="42" customHeight="1" x14ac:dyDescent="0.25">
      <c r="A277" s="392" t="s">
        <v>194</v>
      </c>
      <c r="B277" s="397" t="s">
        <v>101</v>
      </c>
      <c r="C277" s="399" t="s">
        <v>45</v>
      </c>
      <c r="D277" s="221" t="s">
        <v>40</v>
      </c>
      <c r="E277" s="136"/>
      <c r="F277" s="156">
        <f t="shared" ref="F277:F279" si="90">SUM(G277:O277)</f>
        <v>0</v>
      </c>
      <c r="G277" s="209">
        <v>0</v>
      </c>
      <c r="H277" s="136">
        <v>0</v>
      </c>
      <c r="I277" s="459">
        <v>0</v>
      </c>
      <c r="J277" s="459"/>
      <c r="K277" s="459"/>
      <c r="L277" s="459"/>
      <c r="M277" s="459"/>
      <c r="N277" s="136">
        <v>0</v>
      </c>
      <c r="O277" s="136">
        <v>0</v>
      </c>
      <c r="P277" s="458" t="s">
        <v>3</v>
      </c>
    </row>
    <row r="278" spans="1:17" s="40" customFormat="1" ht="34.5" x14ac:dyDescent="0.25">
      <c r="A278" s="392"/>
      <c r="B278" s="397"/>
      <c r="C278" s="399"/>
      <c r="D278" s="221" t="s">
        <v>1</v>
      </c>
      <c r="E278" s="136">
        <v>0</v>
      </c>
      <c r="F278" s="156">
        <f t="shared" si="90"/>
        <v>12282.706</v>
      </c>
      <c r="G278" s="209">
        <v>12282.706</v>
      </c>
      <c r="H278" s="136">
        <v>0</v>
      </c>
      <c r="I278" s="459">
        <f>47052.14-0.005-47052.135</f>
        <v>0</v>
      </c>
      <c r="J278" s="459"/>
      <c r="K278" s="459"/>
      <c r="L278" s="459"/>
      <c r="M278" s="459"/>
      <c r="N278" s="136">
        <f>18000-18000</f>
        <v>0</v>
      </c>
      <c r="O278" s="136">
        <v>0</v>
      </c>
      <c r="P278" s="458"/>
    </row>
    <row r="279" spans="1:17" s="40" customFormat="1" ht="61.5" customHeight="1" x14ac:dyDescent="0.25">
      <c r="A279" s="392"/>
      <c r="B279" s="397"/>
      <c r="C279" s="399"/>
      <c r="D279" s="221" t="s">
        <v>48</v>
      </c>
      <c r="E279" s="136">
        <v>0</v>
      </c>
      <c r="F279" s="156">
        <f t="shared" si="90"/>
        <v>73705.050189999994</v>
      </c>
      <c r="G279" s="209">
        <v>73705.050189999994</v>
      </c>
      <c r="H279" s="136">
        <v>0</v>
      </c>
      <c r="I279" s="459">
        <f>25683.5+6941.93543-32625.43543</f>
        <v>0</v>
      </c>
      <c r="J279" s="459"/>
      <c r="K279" s="459"/>
      <c r="L279" s="459"/>
      <c r="M279" s="459"/>
      <c r="N279" s="136">
        <f>2000-2000</f>
        <v>0</v>
      </c>
      <c r="O279" s="136">
        <v>0</v>
      </c>
      <c r="P279" s="458"/>
    </row>
    <row r="280" spans="1:17" s="40" customFormat="1" ht="34.5" x14ac:dyDescent="0.25">
      <c r="A280" s="392"/>
      <c r="B280" s="397"/>
      <c r="C280" s="399"/>
      <c r="D280" s="221" t="s">
        <v>87</v>
      </c>
      <c r="E280" s="136"/>
      <c r="F280" s="156">
        <f>SUM(H280:O280)</f>
        <v>0</v>
      </c>
      <c r="G280" s="209">
        <v>0</v>
      </c>
      <c r="H280" s="136">
        <v>0</v>
      </c>
      <c r="I280" s="459">
        <v>0</v>
      </c>
      <c r="J280" s="459"/>
      <c r="K280" s="459"/>
      <c r="L280" s="459"/>
      <c r="M280" s="459"/>
      <c r="N280" s="136">
        <v>0</v>
      </c>
      <c r="O280" s="136">
        <v>0</v>
      </c>
      <c r="P280" s="458"/>
    </row>
    <row r="281" spans="1:17" s="40" customFormat="1" ht="24" customHeight="1" x14ac:dyDescent="0.25">
      <c r="A281" s="392"/>
      <c r="B281" s="398" t="s">
        <v>186</v>
      </c>
      <c r="C281" s="394" t="s">
        <v>116</v>
      </c>
      <c r="D281" s="379" t="s">
        <v>116</v>
      </c>
      <c r="E281" s="131"/>
      <c r="F281" s="355" t="s">
        <v>117</v>
      </c>
      <c r="G281" s="229" t="s">
        <v>247</v>
      </c>
      <c r="H281" s="229" t="s">
        <v>248</v>
      </c>
      <c r="I281" s="354" t="s">
        <v>123</v>
      </c>
      <c r="J281" s="339" t="s">
        <v>118</v>
      </c>
      <c r="K281" s="339"/>
      <c r="L281" s="339"/>
      <c r="M281" s="339"/>
      <c r="N281" s="132" t="s">
        <v>124</v>
      </c>
      <c r="O281" s="132" t="s">
        <v>125</v>
      </c>
      <c r="P281" s="457" t="s">
        <v>116</v>
      </c>
      <c r="Q281" s="41"/>
    </row>
    <row r="282" spans="1:17" s="40" customFormat="1" ht="24" customHeight="1" x14ac:dyDescent="0.25">
      <c r="A282" s="392"/>
      <c r="B282" s="398"/>
      <c r="C282" s="394"/>
      <c r="D282" s="379"/>
      <c r="E282" s="131"/>
      <c r="F282" s="355"/>
      <c r="G282" s="205"/>
      <c r="H282" s="131"/>
      <c r="I282" s="354"/>
      <c r="J282" s="194" t="s">
        <v>119</v>
      </c>
      <c r="K282" s="194" t="s">
        <v>120</v>
      </c>
      <c r="L282" s="194" t="s">
        <v>121</v>
      </c>
      <c r="M282" s="194" t="s">
        <v>122</v>
      </c>
      <c r="N282" s="131"/>
      <c r="O282" s="131"/>
      <c r="P282" s="457"/>
      <c r="Q282" s="41"/>
    </row>
    <row r="283" spans="1:17" s="40" customFormat="1" ht="24" customHeight="1" x14ac:dyDescent="0.25">
      <c r="A283" s="392"/>
      <c r="B283" s="398"/>
      <c r="C283" s="394"/>
      <c r="D283" s="379"/>
      <c r="E283" s="131"/>
      <c r="F283" s="157">
        <f>I283+H283+G283+N283+O283</f>
        <v>1</v>
      </c>
      <c r="G283" s="133">
        <v>1</v>
      </c>
      <c r="H283" s="133">
        <v>0</v>
      </c>
      <c r="I283" s="189">
        <v>0</v>
      </c>
      <c r="J283" s="189">
        <v>0</v>
      </c>
      <c r="K283" s="189">
        <v>0</v>
      </c>
      <c r="L283" s="189">
        <v>0</v>
      </c>
      <c r="M283" s="189">
        <v>0</v>
      </c>
      <c r="N283" s="133">
        <v>0</v>
      </c>
      <c r="O283" s="133">
        <v>0</v>
      </c>
      <c r="P283" s="457"/>
      <c r="Q283" s="41"/>
    </row>
    <row r="284" spans="1:17" s="40" customFormat="1" ht="37.5" customHeight="1" x14ac:dyDescent="0.25">
      <c r="A284" s="392" t="s">
        <v>195</v>
      </c>
      <c r="B284" s="397" t="s">
        <v>102</v>
      </c>
      <c r="C284" s="399" t="s">
        <v>45</v>
      </c>
      <c r="D284" s="221" t="s">
        <v>40</v>
      </c>
      <c r="E284" s="136"/>
      <c r="F284" s="156">
        <f t="shared" ref="F284:F285" si="91">SUM(G284:O284)</f>
        <v>0</v>
      </c>
      <c r="G284" s="209">
        <v>0</v>
      </c>
      <c r="H284" s="136">
        <v>0</v>
      </c>
      <c r="I284" s="459">
        <v>0</v>
      </c>
      <c r="J284" s="459"/>
      <c r="K284" s="459"/>
      <c r="L284" s="459"/>
      <c r="M284" s="459"/>
      <c r="N284" s="136">
        <v>0</v>
      </c>
      <c r="O284" s="136">
        <v>0</v>
      </c>
      <c r="P284" s="458" t="s">
        <v>3</v>
      </c>
    </row>
    <row r="285" spans="1:17" s="40" customFormat="1" ht="37.5" customHeight="1" x14ac:dyDescent="0.25">
      <c r="A285" s="392"/>
      <c r="B285" s="397"/>
      <c r="C285" s="399"/>
      <c r="D285" s="221" t="s">
        <v>1</v>
      </c>
      <c r="E285" s="136">
        <v>0</v>
      </c>
      <c r="F285" s="156">
        <f t="shared" si="91"/>
        <v>0</v>
      </c>
      <c r="G285" s="209">
        <v>0</v>
      </c>
      <c r="H285" s="136">
        <v>0</v>
      </c>
      <c r="I285" s="459">
        <v>0</v>
      </c>
      <c r="J285" s="459"/>
      <c r="K285" s="459"/>
      <c r="L285" s="459"/>
      <c r="M285" s="459"/>
      <c r="N285" s="136">
        <v>0</v>
      </c>
      <c r="O285" s="136">
        <v>0</v>
      </c>
      <c r="P285" s="458"/>
    </row>
    <row r="286" spans="1:17" s="40" customFormat="1" ht="51.75" x14ac:dyDescent="0.25">
      <c r="A286" s="392"/>
      <c r="B286" s="397"/>
      <c r="C286" s="399"/>
      <c r="D286" s="221" t="s">
        <v>48</v>
      </c>
      <c r="E286" s="136">
        <v>0</v>
      </c>
      <c r="F286" s="156">
        <f>SUM(G286:O286)</f>
        <v>2375.0113900000001</v>
      </c>
      <c r="G286" s="209">
        <v>2375.0113900000001</v>
      </c>
      <c r="H286" s="136">
        <v>0</v>
      </c>
      <c r="I286" s="459">
        <v>0</v>
      </c>
      <c r="J286" s="459"/>
      <c r="K286" s="459"/>
      <c r="L286" s="459"/>
      <c r="M286" s="459"/>
      <c r="N286" s="136">
        <v>0</v>
      </c>
      <c r="O286" s="136">
        <v>0</v>
      </c>
      <c r="P286" s="458"/>
    </row>
    <row r="287" spans="1:17" s="40" customFormat="1" ht="34.5" x14ac:dyDescent="0.25">
      <c r="A287" s="392"/>
      <c r="B287" s="397"/>
      <c r="C287" s="399"/>
      <c r="D287" s="221" t="s">
        <v>87</v>
      </c>
      <c r="E287" s="136"/>
      <c r="F287" s="156">
        <f t="shared" ref="F287" si="92">SUM(G287:O287)</f>
        <v>0</v>
      </c>
      <c r="G287" s="209">
        <v>0</v>
      </c>
      <c r="H287" s="136">
        <v>0</v>
      </c>
      <c r="I287" s="459">
        <v>0</v>
      </c>
      <c r="J287" s="459"/>
      <c r="K287" s="459"/>
      <c r="L287" s="459"/>
      <c r="M287" s="459"/>
      <c r="N287" s="136">
        <v>0</v>
      </c>
      <c r="O287" s="136">
        <v>0</v>
      </c>
      <c r="P287" s="458"/>
    </row>
    <row r="288" spans="1:17" s="40" customFormat="1" ht="25.5" customHeight="1" x14ac:dyDescent="0.25">
      <c r="A288" s="392"/>
      <c r="B288" s="398" t="s">
        <v>166</v>
      </c>
      <c r="C288" s="394" t="s">
        <v>116</v>
      </c>
      <c r="D288" s="379" t="s">
        <v>116</v>
      </c>
      <c r="E288" s="131"/>
      <c r="F288" s="355" t="s">
        <v>117</v>
      </c>
      <c r="G288" s="229" t="s">
        <v>247</v>
      </c>
      <c r="H288" s="229" t="s">
        <v>248</v>
      </c>
      <c r="I288" s="354" t="s">
        <v>123</v>
      </c>
      <c r="J288" s="339" t="s">
        <v>118</v>
      </c>
      <c r="K288" s="339"/>
      <c r="L288" s="339"/>
      <c r="M288" s="339"/>
      <c r="N288" s="132" t="s">
        <v>124</v>
      </c>
      <c r="O288" s="132" t="s">
        <v>125</v>
      </c>
      <c r="P288" s="457" t="s">
        <v>116</v>
      </c>
      <c r="Q288" s="41"/>
    </row>
    <row r="289" spans="1:21" s="40" customFormat="1" ht="20.25" customHeight="1" x14ac:dyDescent="0.25">
      <c r="A289" s="392"/>
      <c r="B289" s="398"/>
      <c r="C289" s="394"/>
      <c r="D289" s="379"/>
      <c r="E289" s="131"/>
      <c r="F289" s="355"/>
      <c r="G289" s="205"/>
      <c r="H289" s="131"/>
      <c r="I289" s="354"/>
      <c r="J289" s="194" t="s">
        <v>119</v>
      </c>
      <c r="K289" s="194" t="s">
        <v>120</v>
      </c>
      <c r="L289" s="194" t="s">
        <v>121</v>
      </c>
      <c r="M289" s="194" t="s">
        <v>122</v>
      </c>
      <c r="N289" s="131"/>
      <c r="O289" s="131"/>
      <c r="P289" s="457"/>
      <c r="Q289" s="41"/>
    </row>
    <row r="290" spans="1:21" s="40" customFormat="1" ht="23.25" customHeight="1" x14ac:dyDescent="0.25">
      <c r="A290" s="392"/>
      <c r="B290" s="398"/>
      <c r="C290" s="394"/>
      <c r="D290" s="379"/>
      <c r="E290" s="131"/>
      <c r="F290" s="157">
        <f>I290+H290+G290+N290+O290</f>
        <v>1</v>
      </c>
      <c r="G290" s="133">
        <v>1</v>
      </c>
      <c r="H290" s="133">
        <v>0</v>
      </c>
      <c r="I290" s="189">
        <v>0</v>
      </c>
      <c r="J290" s="189">
        <v>0</v>
      </c>
      <c r="K290" s="189">
        <v>0</v>
      </c>
      <c r="L290" s="189">
        <v>0</v>
      </c>
      <c r="M290" s="189">
        <v>0</v>
      </c>
      <c r="N290" s="133">
        <v>0</v>
      </c>
      <c r="O290" s="133">
        <v>0</v>
      </c>
      <c r="P290" s="457"/>
      <c r="Q290" s="41"/>
    </row>
    <row r="291" spans="1:21" s="40" customFormat="1" ht="39" customHeight="1" x14ac:dyDescent="0.25">
      <c r="A291" s="392" t="s">
        <v>196</v>
      </c>
      <c r="B291" s="397" t="s">
        <v>147</v>
      </c>
      <c r="C291" s="399" t="s">
        <v>45</v>
      </c>
      <c r="D291" s="221" t="s">
        <v>40</v>
      </c>
      <c r="E291" s="136"/>
      <c r="F291" s="156">
        <f t="shared" ref="F291:F293" si="93">SUM(G291:O291)</f>
        <v>0</v>
      </c>
      <c r="G291" s="209">
        <v>0</v>
      </c>
      <c r="H291" s="136">
        <v>0</v>
      </c>
      <c r="I291" s="459">
        <v>0</v>
      </c>
      <c r="J291" s="459"/>
      <c r="K291" s="459"/>
      <c r="L291" s="459"/>
      <c r="M291" s="459"/>
      <c r="N291" s="136">
        <v>0</v>
      </c>
      <c r="O291" s="136">
        <v>0</v>
      </c>
      <c r="P291" s="458" t="s">
        <v>3</v>
      </c>
    </row>
    <row r="292" spans="1:21" s="40" customFormat="1" ht="34.5" x14ac:dyDescent="0.25">
      <c r="A292" s="392"/>
      <c r="B292" s="397"/>
      <c r="C292" s="399"/>
      <c r="D292" s="221" t="s">
        <v>1</v>
      </c>
      <c r="E292" s="136">
        <v>0</v>
      </c>
      <c r="F292" s="156">
        <f t="shared" si="93"/>
        <v>0</v>
      </c>
      <c r="G292" s="209">
        <v>0</v>
      </c>
      <c r="H292" s="136">
        <v>0</v>
      </c>
      <c r="I292" s="459">
        <f>72165.6-72165.6</f>
        <v>0</v>
      </c>
      <c r="J292" s="459"/>
      <c r="K292" s="459"/>
      <c r="L292" s="459"/>
      <c r="M292" s="459"/>
      <c r="N292" s="136">
        <v>0</v>
      </c>
      <c r="O292" s="136">
        <v>0</v>
      </c>
      <c r="P292" s="458"/>
    </row>
    <row r="293" spans="1:21" s="40" customFormat="1" ht="51.75" x14ac:dyDescent="0.25">
      <c r="A293" s="392"/>
      <c r="B293" s="397"/>
      <c r="C293" s="399"/>
      <c r="D293" s="221" t="s">
        <v>48</v>
      </c>
      <c r="E293" s="136">
        <v>0</v>
      </c>
      <c r="F293" s="156">
        <f t="shared" si="93"/>
        <v>44191.952559999998</v>
      </c>
      <c r="G293" s="209">
        <v>44191.952559999998</v>
      </c>
      <c r="H293" s="136">
        <v>0</v>
      </c>
      <c r="I293" s="459">
        <f>8018.4-8018.4</f>
        <v>0</v>
      </c>
      <c r="J293" s="459"/>
      <c r="K293" s="459"/>
      <c r="L293" s="459"/>
      <c r="M293" s="459"/>
      <c r="N293" s="136">
        <v>0</v>
      </c>
      <c r="O293" s="136">
        <v>0</v>
      </c>
      <c r="P293" s="458"/>
    </row>
    <row r="294" spans="1:21" s="40" customFormat="1" ht="33" customHeight="1" x14ac:dyDescent="0.25">
      <c r="A294" s="392"/>
      <c r="B294" s="397"/>
      <c r="C294" s="399"/>
      <c r="D294" s="221" t="s">
        <v>87</v>
      </c>
      <c r="E294" s="136"/>
      <c r="F294" s="156">
        <f>SUM(H294:O294)</f>
        <v>0</v>
      </c>
      <c r="G294" s="209">
        <v>0</v>
      </c>
      <c r="H294" s="136">
        <v>0</v>
      </c>
      <c r="I294" s="459">
        <v>0</v>
      </c>
      <c r="J294" s="459"/>
      <c r="K294" s="459"/>
      <c r="L294" s="459"/>
      <c r="M294" s="459"/>
      <c r="N294" s="136">
        <v>0</v>
      </c>
      <c r="O294" s="136">
        <v>0</v>
      </c>
      <c r="P294" s="458"/>
    </row>
    <row r="295" spans="1:21" s="40" customFormat="1" ht="24" customHeight="1" x14ac:dyDescent="0.25">
      <c r="A295" s="392"/>
      <c r="B295" s="398" t="s">
        <v>167</v>
      </c>
      <c r="C295" s="394" t="s">
        <v>116</v>
      </c>
      <c r="D295" s="379" t="s">
        <v>116</v>
      </c>
      <c r="E295" s="131"/>
      <c r="F295" s="355" t="s">
        <v>117</v>
      </c>
      <c r="G295" s="229" t="s">
        <v>247</v>
      </c>
      <c r="H295" s="229" t="s">
        <v>248</v>
      </c>
      <c r="I295" s="354" t="s">
        <v>123</v>
      </c>
      <c r="J295" s="339" t="s">
        <v>118</v>
      </c>
      <c r="K295" s="339"/>
      <c r="L295" s="339"/>
      <c r="M295" s="339"/>
      <c r="N295" s="132" t="s">
        <v>124</v>
      </c>
      <c r="O295" s="132" t="s">
        <v>125</v>
      </c>
      <c r="P295" s="457" t="s">
        <v>116</v>
      </c>
      <c r="Q295" s="41"/>
    </row>
    <row r="296" spans="1:21" s="40" customFormat="1" ht="19.5" customHeight="1" x14ac:dyDescent="0.25">
      <c r="A296" s="392"/>
      <c r="B296" s="398"/>
      <c r="C296" s="394"/>
      <c r="D296" s="379"/>
      <c r="E296" s="131"/>
      <c r="F296" s="355"/>
      <c r="G296" s="205"/>
      <c r="H296" s="131"/>
      <c r="I296" s="354"/>
      <c r="J296" s="194" t="s">
        <v>119</v>
      </c>
      <c r="K296" s="194" t="s">
        <v>120</v>
      </c>
      <c r="L296" s="194" t="s">
        <v>121</v>
      </c>
      <c r="M296" s="194" t="s">
        <v>122</v>
      </c>
      <c r="N296" s="131"/>
      <c r="O296" s="131"/>
      <c r="P296" s="457"/>
      <c r="Q296" s="41"/>
    </row>
    <row r="297" spans="1:21" s="40" customFormat="1" ht="20.25" customHeight="1" x14ac:dyDescent="0.25">
      <c r="A297" s="392"/>
      <c r="B297" s="398"/>
      <c r="C297" s="394"/>
      <c r="D297" s="379"/>
      <c r="E297" s="131"/>
      <c r="F297" s="157">
        <f>I297+H297+G297+N297+O297</f>
        <v>1</v>
      </c>
      <c r="G297" s="133">
        <v>1</v>
      </c>
      <c r="H297" s="133">
        <v>0</v>
      </c>
      <c r="I297" s="189">
        <v>0</v>
      </c>
      <c r="J297" s="189">
        <v>0</v>
      </c>
      <c r="K297" s="189">
        <v>0</v>
      </c>
      <c r="L297" s="189">
        <v>0</v>
      </c>
      <c r="M297" s="189">
        <v>0</v>
      </c>
      <c r="N297" s="133">
        <v>0</v>
      </c>
      <c r="O297" s="133">
        <v>0</v>
      </c>
      <c r="P297" s="457"/>
      <c r="Q297" s="41"/>
    </row>
    <row r="298" spans="1:21" s="9" customFormat="1" ht="18.75" customHeight="1" x14ac:dyDescent="0.25">
      <c r="A298" s="341" t="s">
        <v>36</v>
      </c>
      <c r="B298" s="395" t="s">
        <v>112</v>
      </c>
      <c r="C298" s="395" t="s">
        <v>45</v>
      </c>
      <c r="D298" s="218" t="s">
        <v>2</v>
      </c>
      <c r="E298" s="146">
        <f>E301</f>
        <v>0</v>
      </c>
      <c r="F298" s="156">
        <f t="shared" ref="F298:F306" si="94">SUM(G298:O298)</f>
        <v>3053.4900000000002</v>
      </c>
      <c r="G298" s="213">
        <f t="shared" ref="G298:H298" si="95">G299+G300+G301+G302</f>
        <v>3053.4900000000002</v>
      </c>
      <c r="H298" s="146">
        <f t="shared" si="95"/>
        <v>0</v>
      </c>
      <c r="I298" s="352">
        <f>I299+I300+I301+I302</f>
        <v>0</v>
      </c>
      <c r="J298" s="352"/>
      <c r="K298" s="352"/>
      <c r="L298" s="352"/>
      <c r="M298" s="352"/>
      <c r="N298" s="146">
        <f t="shared" ref="N298:O298" si="96">N299+N300+N301+N302</f>
        <v>0</v>
      </c>
      <c r="O298" s="146">
        <f t="shared" si="96"/>
        <v>0</v>
      </c>
      <c r="P298" s="462"/>
      <c r="T298" s="45"/>
      <c r="U298" s="45"/>
    </row>
    <row r="299" spans="1:21" s="9" customFormat="1" ht="36" customHeight="1" x14ac:dyDescent="0.25">
      <c r="A299" s="341"/>
      <c r="B299" s="395"/>
      <c r="C299" s="395"/>
      <c r="D299" s="223" t="s">
        <v>40</v>
      </c>
      <c r="E299" s="146"/>
      <c r="F299" s="156">
        <f t="shared" si="94"/>
        <v>0</v>
      </c>
      <c r="G299" s="211">
        <f t="shared" ref="G299:H299" si="97">G303</f>
        <v>0</v>
      </c>
      <c r="H299" s="147">
        <f t="shared" si="97"/>
        <v>0</v>
      </c>
      <c r="I299" s="378">
        <f>I303</f>
        <v>0</v>
      </c>
      <c r="J299" s="378"/>
      <c r="K299" s="378"/>
      <c r="L299" s="378"/>
      <c r="M299" s="378"/>
      <c r="N299" s="147">
        <f t="shared" ref="N299:O299" si="98">N303</f>
        <v>0</v>
      </c>
      <c r="O299" s="147">
        <f t="shared" si="98"/>
        <v>0</v>
      </c>
      <c r="P299" s="462"/>
      <c r="T299" s="45"/>
      <c r="U299" s="45"/>
    </row>
    <row r="300" spans="1:21" s="9" customFormat="1" ht="37.5" customHeight="1" x14ac:dyDescent="0.25">
      <c r="A300" s="341"/>
      <c r="B300" s="395"/>
      <c r="C300" s="395"/>
      <c r="D300" s="223" t="s">
        <v>1</v>
      </c>
      <c r="E300" s="146"/>
      <c r="F300" s="156">
        <f t="shared" si="94"/>
        <v>2775.9</v>
      </c>
      <c r="G300" s="211">
        <f t="shared" ref="G300:H300" si="99">G304</f>
        <v>2775.9</v>
      </c>
      <c r="H300" s="147">
        <f t="shared" si="99"/>
        <v>0</v>
      </c>
      <c r="I300" s="378">
        <f>I304</f>
        <v>0</v>
      </c>
      <c r="J300" s="378"/>
      <c r="K300" s="378"/>
      <c r="L300" s="378"/>
      <c r="M300" s="378"/>
      <c r="N300" s="147">
        <f t="shared" ref="N300:O300" si="100">N304</f>
        <v>0</v>
      </c>
      <c r="O300" s="147">
        <f t="shared" si="100"/>
        <v>0</v>
      </c>
      <c r="P300" s="462"/>
      <c r="T300" s="45"/>
      <c r="U300" s="45"/>
    </row>
    <row r="301" spans="1:21" s="9" customFormat="1" ht="56.25" customHeight="1" x14ac:dyDescent="0.25">
      <c r="A301" s="341"/>
      <c r="B301" s="395"/>
      <c r="C301" s="395"/>
      <c r="D301" s="223" t="s">
        <v>47</v>
      </c>
      <c r="E301" s="148">
        <f>E304</f>
        <v>0</v>
      </c>
      <c r="F301" s="156">
        <f t="shared" si="94"/>
        <v>277.58999999999997</v>
      </c>
      <c r="G301" s="148">
        <f t="shared" ref="G301:H301" si="101">G305</f>
        <v>277.58999999999997</v>
      </c>
      <c r="H301" s="148">
        <f t="shared" si="101"/>
        <v>0</v>
      </c>
      <c r="I301" s="376">
        <f>I305</f>
        <v>0</v>
      </c>
      <c r="J301" s="376"/>
      <c r="K301" s="376"/>
      <c r="L301" s="376"/>
      <c r="M301" s="376"/>
      <c r="N301" s="148">
        <f t="shared" ref="N301:O301" si="102">N305</f>
        <v>0</v>
      </c>
      <c r="O301" s="148">
        <f t="shared" si="102"/>
        <v>0</v>
      </c>
      <c r="P301" s="462"/>
      <c r="T301" s="45"/>
      <c r="U301" s="45"/>
    </row>
    <row r="302" spans="1:21" s="9" customFormat="1" ht="37.5" customHeight="1" x14ac:dyDescent="0.25">
      <c r="A302" s="341"/>
      <c r="B302" s="395"/>
      <c r="C302" s="395"/>
      <c r="D302" s="223" t="s">
        <v>87</v>
      </c>
      <c r="E302" s="148"/>
      <c r="F302" s="156">
        <f t="shared" si="94"/>
        <v>0</v>
      </c>
      <c r="G302" s="148">
        <f t="shared" ref="G302:H302" si="103">G306</f>
        <v>0</v>
      </c>
      <c r="H302" s="148">
        <f t="shared" si="103"/>
        <v>0</v>
      </c>
      <c r="I302" s="376">
        <f>I306</f>
        <v>0</v>
      </c>
      <c r="J302" s="376"/>
      <c r="K302" s="376"/>
      <c r="L302" s="376"/>
      <c r="M302" s="376"/>
      <c r="N302" s="148">
        <f t="shared" ref="N302:O302" si="104">N306</f>
        <v>0</v>
      </c>
      <c r="O302" s="148">
        <f t="shared" si="104"/>
        <v>0</v>
      </c>
      <c r="P302" s="462"/>
      <c r="T302" s="45"/>
      <c r="U302" s="45"/>
    </row>
    <row r="303" spans="1:21" s="9" customFormat="1" ht="37.5" customHeight="1" x14ac:dyDescent="0.25">
      <c r="A303" s="391" t="s">
        <v>54</v>
      </c>
      <c r="B303" s="405" t="s">
        <v>103</v>
      </c>
      <c r="C303" s="396" t="s">
        <v>45</v>
      </c>
      <c r="D303" s="224" t="s">
        <v>40</v>
      </c>
      <c r="E303" s="71"/>
      <c r="F303" s="156">
        <f t="shared" si="94"/>
        <v>0</v>
      </c>
      <c r="G303" s="212">
        <v>0</v>
      </c>
      <c r="H303" s="117">
        <v>0</v>
      </c>
      <c r="I303" s="358">
        <v>0</v>
      </c>
      <c r="J303" s="358"/>
      <c r="K303" s="358"/>
      <c r="L303" s="358"/>
      <c r="M303" s="358"/>
      <c r="N303" s="117">
        <v>0</v>
      </c>
      <c r="O303" s="117">
        <v>0</v>
      </c>
      <c r="P303" s="457" t="s">
        <v>3</v>
      </c>
      <c r="T303" s="45"/>
      <c r="U303" s="45"/>
    </row>
    <row r="304" spans="1:21" s="40" customFormat="1" ht="37.5" customHeight="1" x14ac:dyDescent="0.25">
      <c r="A304" s="391"/>
      <c r="B304" s="405"/>
      <c r="C304" s="396"/>
      <c r="D304" s="220" t="s">
        <v>1</v>
      </c>
      <c r="E304" s="130">
        <v>0</v>
      </c>
      <c r="F304" s="156">
        <f t="shared" si="94"/>
        <v>2775.9</v>
      </c>
      <c r="G304" s="130">
        <v>2775.9</v>
      </c>
      <c r="H304" s="130">
        <v>0</v>
      </c>
      <c r="I304" s="338">
        <v>0</v>
      </c>
      <c r="J304" s="338"/>
      <c r="K304" s="338"/>
      <c r="L304" s="338"/>
      <c r="M304" s="338"/>
      <c r="N304" s="130">
        <v>0</v>
      </c>
      <c r="O304" s="130">
        <v>0</v>
      </c>
      <c r="P304" s="457"/>
    </row>
    <row r="305" spans="1:21" s="40" customFormat="1" ht="56.25" customHeight="1" x14ac:dyDescent="0.25">
      <c r="A305" s="391"/>
      <c r="B305" s="405"/>
      <c r="C305" s="396"/>
      <c r="D305" s="220" t="s">
        <v>47</v>
      </c>
      <c r="E305" s="130">
        <v>0</v>
      </c>
      <c r="F305" s="156">
        <f t="shared" si="94"/>
        <v>277.58999999999997</v>
      </c>
      <c r="G305" s="130">
        <v>277.58999999999997</v>
      </c>
      <c r="H305" s="130">
        <v>0</v>
      </c>
      <c r="I305" s="338">
        <v>0</v>
      </c>
      <c r="J305" s="338"/>
      <c r="K305" s="338"/>
      <c r="L305" s="338"/>
      <c r="M305" s="338"/>
      <c r="N305" s="130">
        <v>0</v>
      </c>
      <c r="O305" s="130">
        <v>0</v>
      </c>
      <c r="P305" s="457"/>
      <c r="Q305" s="41"/>
    </row>
    <row r="306" spans="1:21" s="40" customFormat="1" ht="37.5" customHeight="1" x14ac:dyDescent="0.25">
      <c r="A306" s="391"/>
      <c r="B306" s="405"/>
      <c r="C306" s="396"/>
      <c r="D306" s="220" t="s">
        <v>87</v>
      </c>
      <c r="E306" s="130"/>
      <c r="F306" s="156">
        <f t="shared" si="94"/>
        <v>0</v>
      </c>
      <c r="G306" s="130">
        <v>0</v>
      </c>
      <c r="H306" s="130">
        <v>0</v>
      </c>
      <c r="I306" s="338">
        <v>0</v>
      </c>
      <c r="J306" s="338"/>
      <c r="K306" s="338"/>
      <c r="L306" s="338"/>
      <c r="M306" s="338"/>
      <c r="N306" s="130">
        <v>0</v>
      </c>
      <c r="O306" s="130">
        <v>0</v>
      </c>
      <c r="P306" s="457"/>
      <c r="Q306" s="41"/>
    </row>
    <row r="307" spans="1:21" s="40" customFormat="1" ht="39.75" customHeight="1" x14ac:dyDescent="0.25">
      <c r="A307" s="391"/>
      <c r="B307" s="406" t="s">
        <v>168</v>
      </c>
      <c r="C307" s="394" t="s">
        <v>116</v>
      </c>
      <c r="D307" s="379" t="s">
        <v>116</v>
      </c>
      <c r="E307" s="131"/>
      <c r="F307" s="355" t="s">
        <v>117</v>
      </c>
      <c r="G307" s="229" t="s">
        <v>247</v>
      </c>
      <c r="H307" s="229" t="s">
        <v>248</v>
      </c>
      <c r="I307" s="354" t="s">
        <v>123</v>
      </c>
      <c r="J307" s="339" t="s">
        <v>118</v>
      </c>
      <c r="K307" s="339"/>
      <c r="L307" s="339"/>
      <c r="M307" s="339"/>
      <c r="N307" s="132" t="s">
        <v>124</v>
      </c>
      <c r="O307" s="132" t="s">
        <v>125</v>
      </c>
      <c r="P307" s="457" t="s">
        <v>116</v>
      </c>
      <c r="Q307" s="41"/>
    </row>
    <row r="308" spans="1:21" s="40" customFormat="1" ht="39.75" customHeight="1" x14ac:dyDescent="0.25">
      <c r="A308" s="391"/>
      <c r="B308" s="406"/>
      <c r="C308" s="394"/>
      <c r="D308" s="379"/>
      <c r="E308" s="131"/>
      <c r="F308" s="355"/>
      <c r="G308" s="205"/>
      <c r="H308" s="131"/>
      <c r="I308" s="354"/>
      <c r="J308" s="194" t="s">
        <v>119</v>
      </c>
      <c r="K308" s="194" t="s">
        <v>120</v>
      </c>
      <c r="L308" s="194" t="s">
        <v>121</v>
      </c>
      <c r="M308" s="194" t="s">
        <v>122</v>
      </c>
      <c r="N308" s="131"/>
      <c r="O308" s="131"/>
      <c r="P308" s="457"/>
      <c r="Q308" s="41"/>
    </row>
    <row r="309" spans="1:21" s="40" customFormat="1" ht="51" customHeight="1" x14ac:dyDescent="0.25">
      <c r="A309" s="391"/>
      <c r="B309" s="406"/>
      <c r="C309" s="394"/>
      <c r="D309" s="379"/>
      <c r="E309" s="131"/>
      <c r="F309" s="157">
        <f>H309+G309+I309+N309+O309</f>
        <v>1</v>
      </c>
      <c r="G309" s="133">
        <v>1</v>
      </c>
      <c r="H309" s="133">
        <v>0</v>
      </c>
      <c r="I309" s="189">
        <v>0</v>
      </c>
      <c r="J309" s="189">
        <v>0</v>
      </c>
      <c r="K309" s="189">
        <v>0</v>
      </c>
      <c r="L309" s="189">
        <v>0</v>
      </c>
      <c r="M309" s="189">
        <v>0</v>
      </c>
      <c r="N309" s="133">
        <v>0</v>
      </c>
      <c r="O309" s="133">
        <v>0</v>
      </c>
      <c r="P309" s="457"/>
      <c r="Q309" s="41"/>
    </row>
    <row r="310" spans="1:21" s="9" customFormat="1" ht="18.75" customHeight="1" x14ac:dyDescent="0.25">
      <c r="A310" s="343" t="s">
        <v>11</v>
      </c>
      <c r="B310" s="366" t="s">
        <v>149</v>
      </c>
      <c r="C310" s="366" t="s">
        <v>269</v>
      </c>
      <c r="D310" s="218" t="s">
        <v>2</v>
      </c>
      <c r="E310" s="142" t="e">
        <f>E312+E313+E311</f>
        <v>#REF!</v>
      </c>
      <c r="F310" s="156">
        <f t="shared" ref="F310:F318" si="105">SUM(G310:O310)</f>
        <v>20520.5</v>
      </c>
      <c r="G310" s="204">
        <f t="shared" ref="G310:H310" si="106">G311+G312+G313+G314</f>
        <v>9771.2999999999993</v>
      </c>
      <c r="H310" s="142">
        <f t="shared" si="106"/>
        <v>10749.2</v>
      </c>
      <c r="I310" s="351">
        <f>I311+I312+I313+I314</f>
        <v>0</v>
      </c>
      <c r="J310" s="351"/>
      <c r="K310" s="351"/>
      <c r="L310" s="351"/>
      <c r="M310" s="351"/>
      <c r="N310" s="142">
        <f t="shared" ref="N310:O310" si="107">N311+N312+N313+N314</f>
        <v>0</v>
      </c>
      <c r="O310" s="142">
        <f t="shared" si="107"/>
        <v>0</v>
      </c>
      <c r="P310" s="432"/>
      <c r="Q310" s="109"/>
      <c r="R310" s="109"/>
      <c r="S310" s="109"/>
      <c r="T310" s="45"/>
      <c r="U310" s="45"/>
    </row>
    <row r="311" spans="1:21" s="9" customFormat="1" ht="36.75" customHeight="1" x14ac:dyDescent="0.25">
      <c r="A311" s="343"/>
      <c r="B311" s="366"/>
      <c r="C311" s="366"/>
      <c r="D311" s="218" t="s">
        <v>40</v>
      </c>
      <c r="E311" s="143">
        <f>E425</f>
        <v>0</v>
      </c>
      <c r="F311" s="156">
        <f t="shared" si="105"/>
        <v>15390.374980000001</v>
      </c>
      <c r="G311" s="203">
        <f t="shared" ref="G311:H311" si="108">G315</f>
        <v>7328.47498</v>
      </c>
      <c r="H311" s="143">
        <f t="shared" si="108"/>
        <v>8061.9</v>
      </c>
      <c r="I311" s="350">
        <f>I315</f>
        <v>0</v>
      </c>
      <c r="J311" s="350"/>
      <c r="K311" s="350"/>
      <c r="L311" s="350"/>
      <c r="M311" s="350"/>
      <c r="N311" s="143">
        <f t="shared" ref="N311:O314" si="109">N315</f>
        <v>0</v>
      </c>
      <c r="O311" s="143">
        <f t="shared" si="109"/>
        <v>0</v>
      </c>
      <c r="P311" s="432"/>
      <c r="Q311" s="109"/>
      <c r="R311" s="109"/>
      <c r="S311" s="109"/>
      <c r="T311" s="45"/>
      <c r="U311" s="45"/>
    </row>
    <row r="312" spans="1:21" s="9" customFormat="1" ht="39.75" customHeight="1" x14ac:dyDescent="0.25">
      <c r="A312" s="343"/>
      <c r="B312" s="366"/>
      <c r="C312" s="366"/>
      <c r="D312" s="218" t="s">
        <v>1</v>
      </c>
      <c r="E312" s="143" t="e">
        <f>#REF!+E315+E316+#REF!+#REF!+#REF!+E426+E431</f>
        <v>#REF!</v>
      </c>
      <c r="F312" s="156">
        <f t="shared" si="105"/>
        <v>5130.1250200000004</v>
      </c>
      <c r="G312" s="203">
        <f t="shared" ref="G312:H312" si="110">G316</f>
        <v>2442.8250200000002</v>
      </c>
      <c r="H312" s="143">
        <f t="shared" si="110"/>
        <v>2687.3</v>
      </c>
      <c r="I312" s="350">
        <f>I316</f>
        <v>0</v>
      </c>
      <c r="J312" s="350"/>
      <c r="K312" s="350"/>
      <c r="L312" s="350"/>
      <c r="M312" s="350"/>
      <c r="N312" s="143">
        <f t="shared" si="109"/>
        <v>0</v>
      </c>
      <c r="O312" s="143">
        <f t="shared" si="109"/>
        <v>0</v>
      </c>
      <c r="P312" s="432"/>
      <c r="Q312" s="109"/>
      <c r="R312" s="109"/>
      <c r="S312" s="109"/>
      <c r="T312" s="45"/>
      <c r="U312" s="45"/>
    </row>
    <row r="313" spans="1:21" s="9" customFormat="1" ht="58.5" customHeight="1" x14ac:dyDescent="0.25">
      <c r="A313" s="343"/>
      <c r="B313" s="366"/>
      <c r="C313" s="366"/>
      <c r="D313" s="218" t="s">
        <v>48</v>
      </c>
      <c r="E313" s="143" t="e">
        <f>#REF!+E410+#REF!+#REF!+#REF!+E427+E433</f>
        <v>#REF!</v>
      </c>
      <c r="F313" s="156">
        <f t="shared" si="105"/>
        <v>0</v>
      </c>
      <c r="G313" s="203">
        <f t="shared" ref="G313:H313" si="111">G317</f>
        <v>0</v>
      </c>
      <c r="H313" s="143">
        <f t="shared" si="111"/>
        <v>0</v>
      </c>
      <c r="I313" s="350">
        <f>I317</f>
        <v>0</v>
      </c>
      <c r="J313" s="350"/>
      <c r="K313" s="350"/>
      <c r="L313" s="350"/>
      <c r="M313" s="350"/>
      <c r="N313" s="143">
        <f t="shared" si="109"/>
        <v>0</v>
      </c>
      <c r="O313" s="143">
        <f t="shared" si="109"/>
        <v>0</v>
      </c>
      <c r="P313" s="432"/>
      <c r="Q313" s="109"/>
      <c r="R313" s="109"/>
      <c r="S313" s="109"/>
      <c r="T313" s="45"/>
      <c r="U313" s="45"/>
    </row>
    <row r="314" spans="1:21" s="9" customFormat="1" ht="34.5" x14ac:dyDescent="0.25">
      <c r="A314" s="343"/>
      <c r="B314" s="366"/>
      <c r="C314" s="366"/>
      <c r="D314" s="218" t="s">
        <v>87</v>
      </c>
      <c r="E314" s="143"/>
      <c r="F314" s="156">
        <f t="shared" si="105"/>
        <v>0</v>
      </c>
      <c r="G314" s="203">
        <f t="shared" ref="G314:H314" si="112">G318</f>
        <v>0</v>
      </c>
      <c r="H314" s="143">
        <f t="shared" si="112"/>
        <v>0</v>
      </c>
      <c r="I314" s="350">
        <f>I318</f>
        <v>0</v>
      </c>
      <c r="J314" s="350"/>
      <c r="K314" s="350"/>
      <c r="L314" s="350"/>
      <c r="M314" s="350"/>
      <c r="N314" s="143">
        <f t="shared" si="109"/>
        <v>0</v>
      </c>
      <c r="O314" s="143">
        <f t="shared" si="109"/>
        <v>0</v>
      </c>
      <c r="P314" s="432"/>
      <c r="Q314" s="109"/>
      <c r="R314" s="109"/>
      <c r="S314" s="109"/>
      <c r="T314" s="45"/>
      <c r="U314" s="45"/>
    </row>
    <row r="315" spans="1:21" s="40" customFormat="1" ht="97.5" customHeight="1" x14ac:dyDescent="0.25">
      <c r="A315" s="392" t="s">
        <v>105</v>
      </c>
      <c r="B315" s="393" t="s">
        <v>148</v>
      </c>
      <c r="C315" s="399" t="s">
        <v>269</v>
      </c>
      <c r="D315" s="222" t="s">
        <v>40</v>
      </c>
      <c r="E315" s="118">
        <v>200475</v>
      </c>
      <c r="F315" s="156">
        <f t="shared" si="105"/>
        <v>15390.374980000001</v>
      </c>
      <c r="G315" s="202">
        <v>7328.47498</v>
      </c>
      <c r="H315" s="118">
        <v>8061.9</v>
      </c>
      <c r="I315" s="336">
        <v>0</v>
      </c>
      <c r="J315" s="336"/>
      <c r="K315" s="336"/>
      <c r="L315" s="336"/>
      <c r="M315" s="336"/>
      <c r="N315" s="288">
        <v>0</v>
      </c>
      <c r="O315" s="288">
        <v>0</v>
      </c>
      <c r="P315" s="485" t="s">
        <v>3</v>
      </c>
      <c r="Q315" s="108"/>
      <c r="R315" s="108"/>
      <c r="S315" s="108"/>
    </row>
    <row r="316" spans="1:21" s="40" customFormat="1" ht="93" customHeight="1" x14ac:dyDescent="0.25">
      <c r="A316" s="392"/>
      <c r="B316" s="393"/>
      <c r="C316" s="399"/>
      <c r="D316" s="222" t="s">
        <v>1</v>
      </c>
      <c r="E316" s="118">
        <v>93</v>
      </c>
      <c r="F316" s="156">
        <f t="shared" si="105"/>
        <v>5130.1250200000004</v>
      </c>
      <c r="G316" s="202">
        <v>2442.8250200000002</v>
      </c>
      <c r="H316" s="118">
        <v>2687.3</v>
      </c>
      <c r="I316" s="336">
        <v>0</v>
      </c>
      <c r="J316" s="336"/>
      <c r="K316" s="336"/>
      <c r="L316" s="336"/>
      <c r="M316" s="336"/>
      <c r="N316" s="288">
        <v>0</v>
      </c>
      <c r="O316" s="288">
        <v>0</v>
      </c>
      <c r="P316" s="485"/>
      <c r="Q316" s="108"/>
      <c r="R316" s="108"/>
      <c r="S316" s="108"/>
    </row>
    <row r="317" spans="1:21" s="40" customFormat="1" ht="91.5" customHeight="1" x14ac:dyDescent="0.25">
      <c r="A317" s="392"/>
      <c r="B317" s="393"/>
      <c r="C317" s="399"/>
      <c r="D317" s="222" t="s">
        <v>47</v>
      </c>
      <c r="E317" s="118"/>
      <c r="F317" s="156">
        <f t="shared" si="105"/>
        <v>0</v>
      </c>
      <c r="G317" s="202">
        <v>0</v>
      </c>
      <c r="H317" s="118">
        <v>0</v>
      </c>
      <c r="I317" s="336">
        <v>0</v>
      </c>
      <c r="J317" s="336"/>
      <c r="K317" s="336"/>
      <c r="L317" s="336"/>
      <c r="M317" s="336"/>
      <c r="N317" s="118">
        <v>0</v>
      </c>
      <c r="O317" s="118">
        <v>0</v>
      </c>
      <c r="P317" s="485"/>
      <c r="Q317" s="108"/>
      <c r="R317" s="108"/>
      <c r="S317" s="108"/>
    </row>
    <row r="318" spans="1:21" s="40" customFormat="1" ht="63.75" customHeight="1" x14ac:dyDescent="0.25">
      <c r="A318" s="392"/>
      <c r="B318" s="393"/>
      <c r="C318" s="399"/>
      <c r="D318" s="222" t="s">
        <v>87</v>
      </c>
      <c r="E318" s="118"/>
      <c r="F318" s="156">
        <f t="shared" si="105"/>
        <v>0</v>
      </c>
      <c r="G318" s="202">
        <v>0</v>
      </c>
      <c r="H318" s="118">
        <v>0</v>
      </c>
      <c r="I318" s="336">
        <v>0</v>
      </c>
      <c r="J318" s="336"/>
      <c r="K318" s="336"/>
      <c r="L318" s="336"/>
      <c r="M318" s="336"/>
      <c r="N318" s="118">
        <v>0</v>
      </c>
      <c r="O318" s="118">
        <v>0</v>
      </c>
      <c r="P318" s="485"/>
      <c r="Q318" s="108"/>
      <c r="R318" s="108"/>
      <c r="S318" s="108"/>
    </row>
    <row r="319" spans="1:21" s="40" customFormat="1" ht="27.75" customHeight="1" x14ac:dyDescent="0.25">
      <c r="A319" s="392"/>
      <c r="B319" s="398" t="s">
        <v>215</v>
      </c>
      <c r="C319" s="394" t="s">
        <v>116</v>
      </c>
      <c r="D319" s="379" t="s">
        <v>116</v>
      </c>
      <c r="E319" s="131"/>
      <c r="F319" s="355" t="s">
        <v>117</v>
      </c>
      <c r="G319" s="229" t="s">
        <v>247</v>
      </c>
      <c r="H319" s="229" t="s">
        <v>248</v>
      </c>
      <c r="I319" s="354" t="s">
        <v>123</v>
      </c>
      <c r="J319" s="339" t="s">
        <v>118</v>
      </c>
      <c r="K319" s="339"/>
      <c r="L319" s="339"/>
      <c r="M319" s="339"/>
      <c r="N319" s="132" t="s">
        <v>124</v>
      </c>
      <c r="O319" s="132" t="s">
        <v>125</v>
      </c>
      <c r="P319" s="457" t="s">
        <v>116</v>
      </c>
      <c r="Q319" s="41"/>
    </row>
    <row r="320" spans="1:21" s="40" customFormat="1" ht="24" customHeight="1" x14ac:dyDescent="0.25">
      <c r="A320" s="392"/>
      <c r="B320" s="398"/>
      <c r="C320" s="394"/>
      <c r="D320" s="379"/>
      <c r="E320" s="131"/>
      <c r="F320" s="355"/>
      <c r="G320" s="205"/>
      <c r="H320" s="131"/>
      <c r="I320" s="354"/>
      <c r="J320" s="194" t="s">
        <v>119</v>
      </c>
      <c r="K320" s="194" t="s">
        <v>120</v>
      </c>
      <c r="L320" s="194" t="s">
        <v>121</v>
      </c>
      <c r="M320" s="194" t="s">
        <v>122</v>
      </c>
      <c r="N320" s="131"/>
      <c r="O320" s="131"/>
      <c r="P320" s="457"/>
      <c r="Q320" s="41"/>
    </row>
    <row r="321" spans="1:21" s="40" customFormat="1" ht="28.5" customHeight="1" x14ac:dyDescent="0.25">
      <c r="A321" s="392"/>
      <c r="B321" s="398"/>
      <c r="C321" s="394"/>
      <c r="D321" s="379"/>
      <c r="E321" s="131"/>
      <c r="F321" s="157">
        <v>23</v>
      </c>
      <c r="G321" s="133">
        <v>23</v>
      </c>
      <c r="H321" s="133">
        <v>23</v>
      </c>
      <c r="I321" s="189">
        <v>0</v>
      </c>
      <c r="J321" s="189">
        <v>0</v>
      </c>
      <c r="K321" s="189">
        <v>0</v>
      </c>
      <c r="L321" s="189">
        <v>0</v>
      </c>
      <c r="M321" s="189">
        <v>0</v>
      </c>
      <c r="N321" s="189">
        <v>0</v>
      </c>
      <c r="O321" s="189">
        <v>0</v>
      </c>
      <c r="P321" s="457"/>
      <c r="Q321" s="41"/>
    </row>
    <row r="322" spans="1:21" s="9" customFormat="1" ht="18.75" customHeight="1" x14ac:dyDescent="0.25">
      <c r="A322" s="343" t="s">
        <v>12</v>
      </c>
      <c r="B322" s="366" t="s">
        <v>244</v>
      </c>
      <c r="C322" s="366" t="s">
        <v>269</v>
      </c>
      <c r="D322" s="218" t="s">
        <v>2</v>
      </c>
      <c r="E322" s="142" t="e">
        <f>E323+E324+E325</f>
        <v>#REF!</v>
      </c>
      <c r="F322" s="156">
        <f t="shared" ref="F322:F329" si="113">SUM(G322:O322)</f>
        <v>31080.206989999999</v>
      </c>
      <c r="G322" s="204">
        <f>G323+G324+G325+G326</f>
        <v>15328.57841</v>
      </c>
      <c r="H322" s="142">
        <f>H323+H324+H325+H326</f>
        <v>15751.628580000001</v>
      </c>
      <c r="I322" s="351">
        <f>I323+I324+I325+I326</f>
        <v>0</v>
      </c>
      <c r="J322" s="351"/>
      <c r="K322" s="351"/>
      <c r="L322" s="351"/>
      <c r="M322" s="351"/>
      <c r="N322" s="142">
        <f t="shared" ref="N322:O322" si="114">N323+N324+N325+N326</f>
        <v>0</v>
      </c>
      <c r="O322" s="142">
        <f t="shared" si="114"/>
        <v>0</v>
      </c>
      <c r="P322" s="432"/>
      <c r="T322" s="45"/>
      <c r="U322" s="45"/>
    </row>
    <row r="323" spans="1:21" s="9" customFormat="1" ht="37.5" customHeight="1" x14ac:dyDescent="0.25">
      <c r="A323" s="343"/>
      <c r="B323" s="366"/>
      <c r="C323" s="366"/>
      <c r="D323" s="218" t="s">
        <v>40</v>
      </c>
      <c r="E323" s="143" t="e">
        <f>#REF!+E341</f>
        <v>#REF!</v>
      </c>
      <c r="F323" s="156">
        <f t="shared" si="113"/>
        <v>18351.37095</v>
      </c>
      <c r="G323" s="203">
        <f>G327+G334+G341</f>
        <v>7557.4963900000002</v>
      </c>
      <c r="H323" s="251">
        <f>H327+H334+H341</f>
        <v>10793.87456</v>
      </c>
      <c r="I323" s="350">
        <f>I327+I334+I341</f>
        <v>0</v>
      </c>
      <c r="J323" s="350"/>
      <c r="K323" s="350"/>
      <c r="L323" s="350"/>
      <c r="M323" s="350"/>
      <c r="N323" s="143">
        <f>N327+N334+N341</f>
        <v>0</v>
      </c>
      <c r="O323" s="251">
        <f>O327+O334+O341</f>
        <v>0</v>
      </c>
      <c r="P323" s="432"/>
      <c r="T323" s="45"/>
      <c r="U323" s="45"/>
    </row>
    <row r="324" spans="1:21" s="9" customFormat="1" ht="39.75" customHeight="1" x14ac:dyDescent="0.25">
      <c r="A324" s="343"/>
      <c r="B324" s="366"/>
      <c r="C324" s="366"/>
      <c r="D324" s="218" t="s">
        <v>1</v>
      </c>
      <c r="E324" s="143" t="e">
        <f>#REF!+E342+E335+#REF!+#REF!</f>
        <v>#REF!</v>
      </c>
      <c r="F324" s="156">
        <f t="shared" si="113"/>
        <v>6117.1236699999999</v>
      </c>
      <c r="G324" s="203">
        <f>G328+G335+G342</f>
        <v>2519.1654699999999</v>
      </c>
      <c r="H324" s="251">
        <f>H328+H335+H342</f>
        <v>3597.9582</v>
      </c>
      <c r="I324" s="350">
        <f t="shared" ref="I324:I326" si="115">I328+I335+I342</f>
        <v>0</v>
      </c>
      <c r="J324" s="350"/>
      <c r="K324" s="350"/>
      <c r="L324" s="350"/>
      <c r="M324" s="350"/>
      <c r="N324" s="251">
        <f t="shared" ref="N324:O324" si="116">N328+N335+N342</f>
        <v>0</v>
      </c>
      <c r="O324" s="251">
        <f t="shared" si="116"/>
        <v>0</v>
      </c>
      <c r="P324" s="432"/>
      <c r="T324" s="45"/>
      <c r="U324" s="45"/>
    </row>
    <row r="325" spans="1:21" s="9" customFormat="1" ht="58.5" customHeight="1" x14ac:dyDescent="0.25">
      <c r="A325" s="343"/>
      <c r="B325" s="366"/>
      <c r="C325" s="366"/>
      <c r="D325" s="218" t="s">
        <v>48</v>
      </c>
      <c r="E325" s="143" t="e">
        <f>#REF!+E343+E336+#REF!+#REF!+#REF!</f>
        <v>#REF!</v>
      </c>
      <c r="F325" s="156">
        <f t="shared" si="113"/>
        <v>6611.7123699999993</v>
      </c>
      <c r="G325" s="251">
        <f t="shared" ref="G325:H325" si="117">G329+G336+G343</f>
        <v>5251.9165499999999</v>
      </c>
      <c r="H325" s="251">
        <f t="shared" si="117"/>
        <v>1359.7958199999998</v>
      </c>
      <c r="I325" s="350">
        <f t="shared" si="115"/>
        <v>0</v>
      </c>
      <c r="J325" s="350"/>
      <c r="K325" s="350"/>
      <c r="L325" s="350"/>
      <c r="M325" s="350"/>
      <c r="N325" s="251">
        <f t="shared" ref="N325:O325" si="118">N329+N336+N343</f>
        <v>0</v>
      </c>
      <c r="O325" s="251">
        <f t="shared" si="118"/>
        <v>0</v>
      </c>
      <c r="P325" s="432"/>
      <c r="T325" s="45"/>
      <c r="U325" s="45"/>
    </row>
    <row r="326" spans="1:21" s="9" customFormat="1" ht="34.5" x14ac:dyDescent="0.25">
      <c r="A326" s="343"/>
      <c r="B326" s="366"/>
      <c r="C326" s="366"/>
      <c r="D326" s="218" t="s">
        <v>87</v>
      </c>
      <c r="E326" s="143"/>
      <c r="F326" s="156">
        <f t="shared" si="113"/>
        <v>0</v>
      </c>
      <c r="G326" s="251">
        <f t="shared" ref="G326:H326" si="119">G330+G337+G344</f>
        <v>0</v>
      </c>
      <c r="H326" s="251">
        <f t="shared" si="119"/>
        <v>0</v>
      </c>
      <c r="I326" s="350">
        <f t="shared" si="115"/>
        <v>0</v>
      </c>
      <c r="J326" s="350"/>
      <c r="K326" s="350"/>
      <c r="L326" s="350"/>
      <c r="M326" s="350"/>
      <c r="N326" s="251">
        <f t="shared" ref="N326:O326" si="120">N330+N337+N344</f>
        <v>0</v>
      </c>
      <c r="O326" s="251">
        <f t="shared" si="120"/>
        <v>0</v>
      </c>
      <c r="P326" s="432"/>
      <c r="T326" s="45"/>
      <c r="U326" s="45"/>
    </row>
    <row r="327" spans="1:21" s="40" customFormat="1" ht="60.75" customHeight="1" x14ac:dyDescent="0.25">
      <c r="A327" s="402" t="s">
        <v>106</v>
      </c>
      <c r="B327" s="397" t="s">
        <v>142</v>
      </c>
      <c r="C327" s="399" t="s">
        <v>269</v>
      </c>
      <c r="D327" s="221" t="s">
        <v>40</v>
      </c>
      <c r="E327" s="118">
        <v>2407.6675399999999</v>
      </c>
      <c r="F327" s="156">
        <f t="shared" si="113"/>
        <v>8995.4685600000012</v>
      </c>
      <c r="G327" s="202">
        <v>7557.4963900000002</v>
      </c>
      <c r="H327" s="118">
        <v>1437.97217</v>
      </c>
      <c r="I327" s="336">
        <v>0</v>
      </c>
      <c r="J327" s="336"/>
      <c r="K327" s="336"/>
      <c r="L327" s="336"/>
      <c r="M327" s="336"/>
      <c r="N327" s="118">
        <v>0</v>
      </c>
      <c r="O327" s="118">
        <v>0</v>
      </c>
      <c r="P327" s="485" t="s">
        <v>3</v>
      </c>
    </row>
    <row r="328" spans="1:21" s="40" customFormat="1" ht="57" customHeight="1" x14ac:dyDescent="0.25">
      <c r="A328" s="403"/>
      <c r="B328" s="397"/>
      <c r="C328" s="399"/>
      <c r="D328" s="221" t="s">
        <v>1</v>
      </c>
      <c r="E328" s="118">
        <v>802.55584999999996</v>
      </c>
      <c r="F328" s="156">
        <f t="shared" si="113"/>
        <v>2998.4895299999998</v>
      </c>
      <c r="G328" s="202">
        <v>2519.1654699999999</v>
      </c>
      <c r="H328" s="118">
        <v>479.32405999999997</v>
      </c>
      <c r="I328" s="336">
        <v>0</v>
      </c>
      <c r="J328" s="336"/>
      <c r="K328" s="336"/>
      <c r="L328" s="336"/>
      <c r="M328" s="336"/>
      <c r="N328" s="118">
        <v>0</v>
      </c>
      <c r="O328" s="118">
        <v>0</v>
      </c>
      <c r="P328" s="485"/>
    </row>
    <row r="329" spans="1:21" s="40" customFormat="1" ht="81.75" customHeight="1" x14ac:dyDescent="0.25">
      <c r="A329" s="403"/>
      <c r="B329" s="397"/>
      <c r="C329" s="399"/>
      <c r="D329" s="221" t="s">
        <v>49</v>
      </c>
      <c r="E329" s="118">
        <v>80.255589999999998</v>
      </c>
      <c r="F329" s="156">
        <f t="shared" si="113"/>
        <v>299.84895</v>
      </c>
      <c r="G329" s="202">
        <v>251.91655</v>
      </c>
      <c r="H329" s="118">
        <v>47.932400000000001</v>
      </c>
      <c r="I329" s="336">
        <v>0</v>
      </c>
      <c r="J329" s="336"/>
      <c r="K329" s="336"/>
      <c r="L329" s="336"/>
      <c r="M329" s="336"/>
      <c r="N329" s="118">
        <v>0</v>
      </c>
      <c r="O329" s="118">
        <v>0</v>
      </c>
      <c r="P329" s="485"/>
    </row>
    <row r="330" spans="1:21" s="40" customFormat="1" ht="66.75" customHeight="1" x14ac:dyDescent="0.25">
      <c r="A330" s="403"/>
      <c r="B330" s="397"/>
      <c r="C330" s="399"/>
      <c r="D330" s="221" t="s">
        <v>87</v>
      </c>
      <c r="E330" s="118"/>
      <c r="F330" s="156">
        <f t="shared" ref="F330" si="121">SUM(H330:O330)</f>
        <v>0</v>
      </c>
      <c r="G330" s="202">
        <v>0</v>
      </c>
      <c r="H330" s="118">
        <v>0</v>
      </c>
      <c r="I330" s="336">
        <v>0</v>
      </c>
      <c r="J330" s="336"/>
      <c r="K330" s="336"/>
      <c r="L330" s="336"/>
      <c r="M330" s="336"/>
      <c r="N330" s="118">
        <v>0</v>
      </c>
      <c r="O330" s="118">
        <v>0</v>
      </c>
      <c r="P330" s="485"/>
    </row>
    <row r="331" spans="1:21" s="40" customFormat="1" ht="42" customHeight="1" x14ac:dyDescent="0.25">
      <c r="A331" s="403"/>
      <c r="B331" s="398" t="s">
        <v>169</v>
      </c>
      <c r="C331" s="394" t="s">
        <v>116</v>
      </c>
      <c r="D331" s="379" t="s">
        <v>116</v>
      </c>
      <c r="E331" s="131"/>
      <c r="F331" s="355" t="s">
        <v>117</v>
      </c>
      <c r="G331" s="229" t="s">
        <v>247</v>
      </c>
      <c r="H331" s="229" t="s">
        <v>248</v>
      </c>
      <c r="I331" s="354" t="s">
        <v>123</v>
      </c>
      <c r="J331" s="339" t="s">
        <v>118</v>
      </c>
      <c r="K331" s="339"/>
      <c r="L331" s="339"/>
      <c r="M331" s="339"/>
      <c r="N331" s="132" t="s">
        <v>124</v>
      </c>
      <c r="O331" s="132" t="s">
        <v>125</v>
      </c>
      <c r="P331" s="457" t="s">
        <v>116</v>
      </c>
      <c r="Q331" s="41"/>
    </row>
    <row r="332" spans="1:21" s="40" customFormat="1" ht="44.25" customHeight="1" x14ac:dyDescent="0.25">
      <c r="A332" s="403"/>
      <c r="B332" s="398"/>
      <c r="C332" s="394"/>
      <c r="D332" s="379"/>
      <c r="E332" s="131"/>
      <c r="F332" s="355"/>
      <c r="G332" s="205"/>
      <c r="H332" s="131"/>
      <c r="I332" s="354"/>
      <c r="J332" s="194" t="s">
        <v>119</v>
      </c>
      <c r="K332" s="194" t="s">
        <v>120</v>
      </c>
      <c r="L332" s="194" t="s">
        <v>121</v>
      </c>
      <c r="M332" s="194" t="s">
        <v>122</v>
      </c>
      <c r="N332" s="131"/>
      <c r="O332" s="131"/>
      <c r="P332" s="457"/>
      <c r="Q332" s="41"/>
    </row>
    <row r="333" spans="1:21" s="40" customFormat="1" ht="55.5" customHeight="1" x14ac:dyDescent="0.25">
      <c r="A333" s="404"/>
      <c r="B333" s="398"/>
      <c r="C333" s="394"/>
      <c r="D333" s="379"/>
      <c r="E333" s="131"/>
      <c r="F333" s="190">
        <f>I333+H333+G333+N333+O333</f>
        <v>8</v>
      </c>
      <c r="G333" s="189">
        <v>5</v>
      </c>
      <c r="H333" s="189">
        <v>3</v>
      </c>
      <c r="I333" s="189">
        <v>0</v>
      </c>
      <c r="J333" s="189">
        <v>0</v>
      </c>
      <c r="K333" s="189">
        <v>0</v>
      </c>
      <c r="L333" s="189">
        <v>0</v>
      </c>
      <c r="M333" s="189">
        <v>0</v>
      </c>
      <c r="N333" s="133">
        <v>0</v>
      </c>
      <c r="O333" s="133">
        <v>0</v>
      </c>
      <c r="P333" s="457"/>
      <c r="Q333" s="41"/>
    </row>
    <row r="334" spans="1:21" s="40" customFormat="1" ht="40.5" customHeight="1" x14ac:dyDescent="0.25">
      <c r="A334" s="392" t="s">
        <v>222</v>
      </c>
      <c r="B334" s="397" t="s">
        <v>104</v>
      </c>
      <c r="C334" s="399" t="s">
        <v>269</v>
      </c>
      <c r="D334" s="221" t="s">
        <v>40</v>
      </c>
      <c r="E334" s="118"/>
      <c r="F334" s="156">
        <f t="shared" ref="F334:F337" si="122">SUM(G334:O334)</f>
        <v>0</v>
      </c>
      <c r="G334" s="202">
        <v>0</v>
      </c>
      <c r="H334" s="118">
        <v>0</v>
      </c>
      <c r="I334" s="336">
        <v>0</v>
      </c>
      <c r="J334" s="336"/>
      <c r="K334" s="336"/>
      <c r="L334" s="336"/>
      <c r="M334" s="336"/>
      <c r="N334" s="118">
        <v>0</v>
      </c>
      <c r="O334" s="118">
        <v>0</v>
      </c>
      <c r="P334" s="458" t="s">
        <v>3</v>
      </c>
    </row>
    <row r="335" spans="1:21" s="40" customFormat="1" ht="48.75" customHeight="1" x14ac:dyDescent="0.25">
      <c r="A335" s="392"/>
      <c r="B335" s="397"/>
      <c r="C335" s="399"/>
      <c r="D335" s="221" t="s">
        <v>1</v>
      </c>
      <c r="E335" s="136">
        <v>497</v>
      </c>
      <c r="F335" s="156">
        <f t="shared" si="122"/>
        <v>0</v>
      </c>
      <c r="G335" s="209">
        <v>0</v>
      </c>
      <c r="H335" s="136">
        <v>0</v>
      </c>
      <c r="I335" s="459">
        <v>0</v>
      </c>
      <c r="J335" s="459"/>
      <c r="K335" s="459"/>
      <c r="L335" s="459"/>
      <c r="M335" s="459"/>
      <c r="N335" s="136">
        <v>0</v>
      </c>
      <c r="O335" s="136">
        <v>0</v>
      </c>
      <c r="P335" s="458"/>
    </row>
    <row r="336" spans="1:21" s="40" customFormat="1" ht="64.5" customHeight="1" x14ac:dyDescent="0.25">
      <c r="A336" s="392"/>
      <c r="B336" s="397"/>
      <c r="C336" s="399"/>
      <c r="D336" s="221" t="s">
        <v>49</v>
      </c>
      <c r="E336" s="136">
        <v>1488.3896299999999</v>
      </c>
      <c r="F336" s="156">
        <f t="shared" si="122"/>
        <v>6000</v>
      </c>
      <c r="G336" s="209">
        <v>5000</v>
      </c>
      <c r="H336" s="136">
        <v>1000</v>
      </c>
      <c r="I336" s="459">
        <v>0</v>
      </c>
      <c r="J336" s="459"/>
      <c r="K336" s="459"/>
      <c r="L336" s="459"/>
      <c r="M336" s="459"/>
      <c r="N336" s="136">
        <v>0</v>
      </c>
      <c r="O336" s="136">
        <v>0</v>
      </c>
      <c r="P336" s="458"/>
    </row>
    <row r="337" spans="1:20" s="40" customFormat="1" ht="55.5" customHeight="1" x14ac:dyDescent="0.25">
      <c r="A337" s="392"/>
      <c r="B337" s="397"/>
      <c r="C337" s="399"/>
      <c r="D337" s="221" t="s">
        <v>87</v>
      </c>
      <c r="E337" s="136"/>
      <c r="F337" s="156">
        <f t="shared" si="122"/>
        <v>0</v>
      </c>
      <c r="G337" s="209">
        <v>0</v>
      </c>
      <c r="H337" s="136">
        <v>0</v>
      </c>
      <c r="I337" s="459">
        <v>0</v>
      </c>
      <c r="J337" s="459"/>
      <c r="K337" s="459"/>
      <c r="L337" s="459"/>
      <c r="M337" s="459"/>
      <c r="N337" s="136">
        <v>0</v>
      </c>
      <c r="O337" s="136">
        <v>0</v>
      </c>
      <c r="P337" s="458"/>
    </row>
    <row r="338" spans="1:20" s="40" customFormat="1" ht="40.5" customHeight="1" x14ac:dyDescent="0.25">
      <c r="A338" s="392"/>
      <c r="B338" s="398" t="s">
        <v>170</v>
      </c>
      <c r="C338" s="394" t="s">
        <v>116</v>
      </c>
      <c r="D338" s="379" t="s">
        <v>116</v>
      </c>
      <c r="E338" s="131"/>
      <c r="F338" s="355" t="s">
        <v>117</v>
      </c>
      <c r="G338" s="229" t="s">
        <v>247</v>
      </c>
      <c r="H338" s="229" t="s">
        <v>248</v>
      </c>
      <c r="I338" s="354" t="s">
        <v>123</v>
      </c>
      <c r="J338" s="339" t="s">
        <v>118</v>
      </c>
      <c r="K338" s="339"/>
      <c r="L338" s="339"/>
      <c r="M338" s="339"/>
      <c r="N338" s="132" t="s">
        <v>124</v>
      </c>
      <c r="O338" s="132" t="s">
        <v>125</v>
      </c>
      <c r="P338" s="457" t="s">
        <v>116</v>
      </c>
      <c r="Q338" s="41"/>
    </row>
    <row r="339" spans="1:20" s="40" customFormat="1" ht="45.75" customHeight="1" x14ac:dyDescent="0.25">
      <c r="A339" s="392"/>
      <c r="B339" s="398"/>
      <c r="C339" s="394"/>
      <c r="D339" s="379"/>
      <c r="E339" s="131"/>
      <c r="F339" s="355"/>
      <c r="G339" s="205"/>
      <c r="H339" s="131"/>
      <c r="I339" s="354"/>
      <c r="J339" s="194" t="s">
        <v>119</v>
      </c>
      <c r="K339" s="194" t="s">
        <v>120</v>
      </c>
      <c r="L339" s="194" t="s">
        <v>121</v>
      </c>
      <c r="M339" s="194" t="s">
        <v>122</v>
      </c>
      <c r="N339" s="131"/>
      <c r="O339" s="131"/>
      <c r="P339" s="457"/>
      <c r="Q339" s="41"/>
    </row>
    <row r="340" spans="1:20" s="40" customFormat="1" ht="48.75" customHeight="1" x14ac:dyDescent="0.25">
      <c r="A340" s="392"/>
      <c r="B340" s="398"/>
      <c r="C340" s="394"/>
      <c r="D340" s="379"/>
      <c r="E340" s="131"/>
      <c r="F340" s="190">
        <f>I340+H340+G340+N340+O340</f>
        <v>8</v>
      </c>
      <c r="G340" s="189">
        <v>5</v>
      </c>
      <c r="H340" s="189">
        <v>3</v>
      </c>
      <c r="I340" s="189">
        <v>0</v>
      </c>
      <c r="J340" s="189">
        <v>0</v>
      </c>
      <c r="K340" s="189">
        <v>0</v>
      </c>
      <c r="L340" s="189">
        <v>0</v>
      </c>
      <c r="M340" s="189">
        <v>0</v>
      </c>
      <c r="N340" s="133">
        <v>0</v>
      </c>
      <c r="O340" s="133">
        <v>0</v>
      </c>
      <c r="P340" s="457"/>
      <c r="Q340" s="41"/>
    </row>
    <row r="341" spans="1:20" s="40" customFormat="1" ht="68.25" customHeight="1" x14ac:dyDescent="0.25">
      <c r="A341" s="392" t="s">
        <v>223</v>
      </c>
      <c r="B341" s="397" t="s">
        <v>137</v>
      </c>
      <c r="C341" s="399" t="s">
        <v>46</v>
      </c>
      <c r="D341" s="221" t="s">
        <v>40</v>
      </c>
      <c r="E341" s="118">
        <v>3107.4</v>
      </c>
      <c r="F341" s="156">
        <f t="shared" ref="F341:F344" si="123">SUM(G341:O341)</f>
        <v>9355.9023899999993</v>
      </c>
      <c r="G341" s="202">
        <v>0</v>
      </c>
      <c r="H341" s="118">
        <v>9355.9023899999993</v>
      </c>
      <c r="I341" s="336">
        <v>0</v>
      </c>
      <c r="J341" s="336"/>
      <c r="K341" s="336"/>
      <c r="L341" s="336"/>
      <c r="M341" s="336"/>
      <c r="N341" s="118">
        <v>0</v>
      </c>
      <c r="O341" s="118">
        <v>0</v>
      </c>
      <c r="P341" s="485" t="s">
        <v>3</v>
      </c>
    </row>
    <row r="342" spans="1:20" s="40" customFormat="1" ht="59.25" customHeight="1" x14ac:dyDescent="0.25">
      <c r="A342" s="392"/>
      <c r="B342" s="397"/>
      <c r="C342" s="399"/>
      <c r="D342" s="221" t="s">
        <v>1</v>
      </c>
      <c r="E342" s="118">
        <v>1035.8</v>
      </c>
      <c r="F342" s="156">
        <f t="shared" si="123"/>
        <v>3118.6341400000001</v>
      </c>
      <c r="G342" s="202">
        <v>0</v>
      </c>
      <c r="H342" s="118">
        <v>3118.6341400000001</v>
      </c>
      <c r="I342" s="336">
        <v>0</v>
      </c>
      <c r="J342" s="336"/>
      <c r="K342" s="336"/>
      <c r="L342" s="336"/>
      <c r="M342" s="336"/>
      <c r="N342" s="118">
        <v>0</v>
      </c>
      <c r="O342" s="118">
        <v>0</v>
      </c>
      <c r="P342" s="485"/>
    </row>
    <row r="343" spans="1:20" s="40" customFormat="1" ht="79.5" customHeight="1" x14ac:dyDescent="0.25">
      <c r="A343" s="392"/>
      <c r="B343" s="397"/>
      <c r="C343" s="399"/>
      <c r="D343" s="221" t="s">
        <v>49</v>
      </c>
      <c r="E343" s="118">
        <v>103.58</v>
      </c>
      <c r="F343" s="156">
        <f t="shared" si="123"/>
        <v>311.86342000000002</v>
      </c>
      <c r="G343" s="202">
        <v>0</v>
      </c>
      <c r="H343" s="118">
        <v>311.86342000000002</v>
      </c>
      <c r="I343" s="336">
        <v>0</v>
      </c>
      <c r="J343" s="336"/>
      <c r="K343" s="336"/>
      <c r="L343" s="336"/>
      <c r="M343" s="336"/>
      <c r="N343" s="118">
        <v>0</v>
      </c>
      <c r="O343" s="118">
        <v>0</v>
      </c>
      <c r="P343" s="485"/>
    </row>
    <row r="344" spans="1:20" s="40" customFormat="1" ht="52.5" customHeight="1" x14ac:dyDescent="0.25">
      <c r="A344" s="392"/>
      <c r="B344" s="397"/>
      <c r="C344" s="399"/>
      <c r="D344" s="221" t="s">
        <v>87</v>
      </c>
      <c r="E344" s="118"/>
      <c r="F344" s="156">
        <f t="shared" si="123"/>
        <v>0</v>
      </c>
      <c r="G344" s="202">
        <v>0</v>
      </c>
      <c r="H344" s="118">
        <v>0</v>
      </c>
      <c r="I344" s="336">
        <v>0</v>
      </c>
      <c r="J344" s="336"/>
      <c r="K344" s="336"/>
      <c r="L344" s="336"/>
      <c r="M344" s="336"/>
      <c r="N344" s="118">
        <v>0</v>
      </c>
      <c r="O344" s="118">
        <v>0</v>
      </c>
      <c r="P344" s="485"/>
    </row>
    <row r="345" spans="1:20" s="40" customFormat="1" ht="29.25" customHeight="1" x14ac:dyDescent="0.25">
      <c r="A345" s="392"/>
      <c r="B345" s="398" t="s">
        <v>171</v>
      </c>
      <c r="C345" s="394" t="s">
        <v>116</v>
      </c>
      <c r="D345" s="379" t="s">
        <v>116</v>
      </c>
      <c r="E345" s="131"/>
      <c r="F345" s="355" t="s">
        <v>117</v>
      </c>
      <c r="G345" s="229" t="s">
        <v>247</v>
      </c>
      <c r="H345" s="229" t="s">
        <v>248</v>
      </c>
      <c r="I345" s="354" t="s">
        <v>123</v>
      </c>
      <c r="J345" s="339" t="s">
        <v>118</v>
      </c>
      <c r="K345" s="339"/>
      <c r="L345" s="339"/>
      <c r="M345" s="339"/>
      <c r="N345" s="132" t="s">
        <v>124</v>
      </c>
      <c r="O345" s="132" t="s">
        <v>125</v>
      </c>
      <c r="P345" s="457" t="s">
        <v>116</v>
      </c>
      <c r="Q345" s="41"/>
    </row>
    <row r="346" spans="1:20" s="40" customFormat="1" ht="29.25" customHeight="1" x14ac:dyDescent="0.25">
      <c r="A346" s="392"/>
      <c r="B346" s="398"/>
      <c r="C346" s="394"/>
      <c r="D346" s="379"/>
      <c r="E346" s="131"/>
      <c r="F346" s="355"/>
      <c r="G346" s="205"/>
      <c r="H346" s="131"/>
      <c r="I346" s="354"/>
      <c r="J346" s="194" t="s">
        <v>119</v>
      </c>
      <c r="K346" s="194" t="s">
        <v>120</v>
      </c>
      <c r="L346" s="194" t="s">
        <v>121</v>
      </c>
      <c r="M346" s="194" t="s">
        <v>122</v>
      </c>
      <c r="N346" s="131"/>
      <c r="O346" s="131"/>
      <c r="P346" s="457"/>
      <c r="Q346" s="41"/>
    </row>
    <row r="347" spans="1:20" s="40" customFormat="1" ht="43.5" customHeight="1" x14ac:dyDescent="0.25">
      <c r="A347" s="392"/>
      <c r="B347" s="398"/>
      <c r="C347" s="394"/>
      <c r="D347" s="379"/>
      <c r="E347" s="131"/>
      <c r="F347" s="157">
        <f>I347+H347+G347+N347+O347</f>
        <v>3</v>
      </c>
      <c r="G347" s="133">
        <v>0</v>
      </c>
      <c r="H347" s="133">
        <v>3</v>
      </c>
      <c r="I347" s="189">
        <v>0</v>
      </c>
      <c r="J347" s="189">
        <v>0</v>
      </c>
      <c r="K347" s="189">
        <v>0</v>
      </c>
      <c r="L347" s="189">
        <v>0</v>
      </c>
      <c r="M347" s="189">
        <v>0</v>
      </c>
      <c r="N347" s="133">
        <v>0</v>
      </c>
      <c r="O347" s="133">
        <v>0</v>
      </c>
      <c r="P347" s="457"/>
      <c r="Q347" s="41"/>
    </row>
    <row r="348" spans="1:20" s="9" customFormat="1" ht="18.75" customHeight="1" x14ac:dyDescent="0.25">
      <c r="A348" s="400" t="s">
        <v>224</v>
      </c>
      <c r="B348" s="401" t="s">
        <v>245</v>
      </c>
      <c r="C348" s="467" t="s">
        <v>269</v>
      </c>
      <c r="D348" s="225" t="s">
        <v>2</v>
      </c>
      <c r="E348" s="150" t="e">
        <f>E350+E351+E349</f>
        <v>#REF!</v>
      </c>
      <c r="F348" s="156">
        <f t="shared" ref="F348:F356" si="124">SUM(G348:O348)</f>
        <v>132135</v>
      </c>
      <c r="G348" s="208">
        <f t="shared" ref="G348:H348" si="125">G349+G350+G351+G352</f>
        <v>69708</v>
      </c>
      <c r="H348" s="150">
        <f t="shared" si="125"/>
        <v>62427</v>
      </c>
      <c r="I348" s="473">
        <f>I349+I350+I351+I352</f>
        <v>0</v>
      </c>
      <c r="J348" s="473"/>
      <c r="K348" s="473"/>
      <c r="L348" s="473"/>
      <c r="M348" s="473"/>
      <c r="N348" s="150">
        <f t="shared" ref="N348:O348" si="126">N349+N350+N351+N352</f>
        <v>0</v>
      </c>
      <c r="O348" s="150">
        <f t="shared" si="126"/>
        <v>0</v>
      </c>
      <c r="P348" s="492"/>
      <c r="T348" s="45"/>
    </row>
    <row r="349" spans="1:20" s="9" customFormat="1" ht="39" customHeight="1" x14ac:dyDescent="0.25">
      <c r="A349" s="400"/>
      <c r="B349" s="401"/>
      <c r="C349" s="467"/>
      <c r="D349" s="226" t="s">
        <v>40</v>
      </c>
      <c r="E349" s="152" t="e">
        <f>E398</f>
        <v>#REF!</v>
      </c>
      <c r="F349" s="156">
        <f t="shared" si="124"/>
        <v>0</v>
      </c>
      <c r="G349" s="206">
        <f>G353</f>
        <v>0</v>
      </c>
      <c r="H349" s="252">
        <f>H353</f>
        <v>0</v>
      </c>
      <c r="I349" s="465">
        <f>I353</f>
        <v>0</v>
      </c>
      <c r="J349" s="465"/>
      <c r="K349" s="465"/>
      <c r="L349" s="465"/>
      <c r="M349" s="465"/>
      <c r="N349" s="152">
        <f>N353</f>
        <v>0</v>
      </c>
      <c r="O349" s="252">
        <f>O353</f>
        <v>0</v>
      </c>
      <c r="P349" s="492"/>
      <c r="T349" s="45"/>
    </row>
    <row r="350" spans="1:20" s="9" customFormat="1" ht="36.75" customHeight="1" x14ac:dyDescent="0.25">
      <c r="A350" s="400"/>
      <c r="B350" s="401"/>
      <c r="C350" s="467"/>
      <c r="D350" s="226" t="s">
        <v>1</v>
      </c>
      <c r="E350" s="152" t="e">
        <f>E354+E399</f>
        <v>#REF!</v>
      </c>
      <c r="F350" s="156">
        <f t="shared" si="124"/>
        <v>81615</v>
      </c>
      <c r="G350" s="252">
        <f t="shared" ref="G350:I350" si="127">G354</f>
        <v>42661</v>
      </c>
      <c r="H350" s="252">
        <f t="shared" si="127"/>
        <v>38954</v>
      </c>
      <c r="I350" s="465">
        <f t="shared" si="127"/>
        <v>0</v>
      </c>
      <c r="J350" s="465"/>
      <c r="K350" s="465"/>
      <c r="L350" s="465"/>
      <c r="M350" s="465"/>
      <c r="N350" s="252">
        <f t="shared" ref="N350:O350" si="128">N354</f>
        <v>0</v>
      </c>
      <c r="O350" s="252">
        <f t="shared" si="128"/>
        <v>0</v>
      </c>
      <c r="P350" s="492"/>
      <c r="T350" s="45"/>
    </row>
    <row r="351" spans="1:20" s="9" customFormat="1" ht="57" customHeight="1" x14ac:dyDescent="0.25">
      <c r="A351" s="400"/>
      <c r="B351" s="401"/>
      <c r="C351" s="467"/>
      <c r="D351" s="226" t="s">
        <v>47</v>
      </c>
      <c r="E351" s="145" t="e">
        <f>E355+E400</f>
        <v>#REF!</v>
      </c>
      <c r="F351" s="156">
        <f t="shared" si="124"/>
        <v>50520</v>
      </c>
      <c r="G351" s="252">
        <f t="shared" ref="G351:I351" si="129">G355</f>
        <v>27047</v>
      </c>
      <c r="H351" s="252">
        <f t="shared" si="129"/>
        <v>23473</v>
      </c>
      <c r="I351" s="465">
        <f t="shared" si="129"/>
        <v>0</v>
      </c>
      <c r="J351" s="465"/>
      <c r="K351" s="465"/>
      <c r="L351" s="465"/>
      <c r="M351" s="465"/>
      <c r="N351" s="252">
        <f t="shared" ref="N351:O351" si="130">N355</f>
        <v>0</v>
      </c>
      <c r="O351" s="252">
        <f t="shared" si="130"/>
        <v>0</v>
      </c>
      <c r="P351" s="492"/>
      <c r="T351" s="45"/>
    </row>
    <row r="352" spans="1:20" s="9" customFormat="1" ht="34.5" x14ac:dyDescent="0.25">
      <c r="A352" s="400"/>
      <c r="B352" s="401"/>
      <c r="C352" s="467"/>
      <c r="D352" s="226" t="s">
        <v>87</v>
      </c>
      <c r="E352" s="145"/>
      <c r="F352" s="156">
        <f t="shared" si="124"/>
        <v>0</v>
      </c>
      <c r="G352" s="252">
        <f t="shared" ref="G352:I352" si="131">G356</f>
        <v>0</v>
      </c>
      <c r="H352" s="252">
        <f t="shared" si="131"/>
        <v>0</v>
      </c>
      <c r="I352" s="465">
        <f t="shared" si="131"/>
        <v>0</v>
      </c>
      <c r="J352" s="465"/>
      <c r="K352" s="465"/>
      <c r="L352" s="465"/>
      <c r="M352" s="465"/>
      <c r="N352" s="252">
        <f t="shared" ref="N352:O352" si="132">N356</f>
        <v>0</v>
      </c>
      <c r="O352" s="252">
        <f t="shared" si="132"/>
        <v>0</v>
      </c>
      <c r="P352" s="492"/>
      <c r="T352" s="45"/>
    </row>
    <row r="353" spans="1:20" s="9" customFormat="1" ht="46.5" customHeight="1" x14ac:dyDescent="0.25">
      <c r="A353" s="391" t="s">
        <v>225</v>
      </c>
      <c r="B353" s="405" t="s">
        <v>107</v>
      </c>
      <c r="C353" s="396" t="s">
        <v>269</v>
      </c>
      <c r="D353" s="222" t="s">
        <v>40</v>
      </c>
      <c r="E353" s="122"/>
      <c r="F353" s="156">
        <f t="shared" si="124"/>
        <v>0</v>
      </c>
      <c r="G353" s="122">
        <v>0</v>
      </c>
      <c r="H353" s="122">
        <v>0</v>
      </c>
      <c r="I353" s="433">
        <v>0</v>
      </c>
      <c r="J353" s="433"/>
      <c r="K353" s="433"/>
      <c r="L353" s="433"/>
      <c r="M353" s="433"/>
      <c r="N353" s="122">
        <v>0</v>
      </c>
      <c r="O353" s="122">
        <v>0</v>
      </c>
      <c r="P353" s="493" t="s">
        <v>3</v>
      </c>
      <c r="T353" s="45"/>
    </row>
    <row r="354" spans="1:20" s="40" customFormat="1" ht="42" customHeight="1" x14ac:dyDescent="0.25">
      <c r="A354" s="391"/>
      <c r="B354" s="405"/>
      <c r="C354" s="396"/>
      <c r="D354" s="220" t="s">
        <v>1</v>
      </c>
      <c r="E354" s="130">
        <v>34122</v>
      </c>
      <c r="F354" s="156">
        <f t="shared" si="124"/>
        <v>81615</v>
      </c>
      <c r="G354" s="130">
        <v>42661</v>
      </c>
      <c r="H354" s="130">
        <v>38954</v>
      </c>
      <c r="I354" s="338">
        <v>0</v>
      </c>
      <c r="J354" s="338"/>
      <c r="K354" s="338"/>
      <c r="L354" s="338"/>
      <c r="M354" s="338"/>
      <c r="N354" s="290">
        <v>0</v>
      </c>
      <c r="O354" s="290">
        <v>0</v>
      </c>
      <c r="P354" s="493"/>
    </row>
    <row r="355" spans="1:20" s="40" customFormat="1" ht="51.75" x14ac:dyDescent="0.25">
      <c r="A355" s="391"/>
      <c r="B355" s="405"/>
      <c r="C355" s="396"/>
      <c r="D355" s="220" t="s">
        <v>47</v>
      </c>
      <c r="E355" s="130">
        <v>20473</v>
      </c>
      <c r="F355" s="156">
        <f t="shared" si="124"/>
        <v>50520</v>
      </c>
      <c r="G355" s="130">
        <v>27047</v>
      </c>
      <c r="H355" s="130">
        <v>23473</v>
      </c>
      <c r="I355" s="338">
        <v>0</v>
      </c>
      <c r="J355" s="338"/>
      <c r="K355" s="338"/>
      <c r="L355" s="338"/>
      <c r="M355" s="338"/>
      <c r="N355" s="290">
        <v>0</v>
      </c>
      <c r="O355" s="290">
        <v>0</v>
      </c>
      <c r="P355" s="493"/>
    </row>
    <row r="356" spans="1:20" s="40" customFormat="1" ht="55.5" customHeight="1" x14ac:dyDescent="0.25">
      <c r="A356" s="391"/>
      <c r="B356" s="405"/>
      <c r="C356" s="396"/>
      <c r="D356" s="220" t="s">
        <v>87</v>
      </c>
      <c r="E356" s="130"/>
      <c r="F356" s="156">
        <f t="shared" si="124"/>
        <v>0</v>
      </c>
      <c r="G356" s="130">
        <v>0</v>
      </c>
      <c r="H356" s="130">
        <v>0</v>
      </c>
      <c r="I356" s="338">
        <v>0</v>
      </c>
      <c r="J356" s="338"/>
      <c r="K356" s="338"/>
      <c r="L356" s="338"/>
      <c r="M356" s="338"/>
      <c r="N356" s="130">
        <v>0</v>
      </c>
      <c r="O356" s="130">
        <v>0</v>
      </c>
      <c r="P356" s="493"/>
    </row>
    <row r="357" spans="1:20" s="40" customFormat="1" ht="90.75" customHeight="1" x14ac:dyDescent="0.25">
      <c r="A357" s="391"/>
      <c r="B357" s="470" t="s">
        <v>172</v>
      </c>
      <c r="C357" s="394" t="s">
        <v>116</v>
      </c>
      <c r="D357" s="379" t="s">
        <v>116</v>
      </c>
      <c r="E357" s="131"/>
      <c r="F357" s="355" t="s">
        <v>117</v>
      </c>
      <c r="G357" s="229" t="s">
        <v>247</v>
      </c>
      <c r="H357" s="229" t="s">
        <v>248</v>
      </c>
      <c r="I357" s="354" t="s">
        <v>123</v>
      </c>
      <c r="J357" s="339" t="s">
        <v>118</v>
      </c>
      <c r="K357" s="339"/>
      <c r="L357" s="339"/>
      <c r="M357" s="339"/>
      <c r="N357" s="132" t="s">
        <v>124</v>
      </c>
      <c r="O357" s="132" t="s">
        <v>125</v>
      </c>
      <c r="P357" s="457" t="s">
        <v>116</v>
      </c>
      <c r="Q357" s="41"/>
    </row>
    <row r="358" spans="1:20" s="40" customFormat="1" ht="66" customHeight="1" x14ac:dyDescent="0.25">
      <c r="A358" s="391"/>
      <c r="B358" s="470"/>
      <c r="C358" s="394"/>
      <c r="D358" s="379"/>
      <c r="E358" s="131"/>
      <c r="F358" s="355"/>
      <c r="G358" s="205"/>
      <c r="H358" s="131"/>
      <c r="I358" s="354"/>
      <c r="J358" s="194" t="s">
        <v>119</v>
      </c>
      <c r="K358" s="194" t="s">
        <v>120</v>
      </c>
      <c r="L358" s="194" t="s">
        <v>121</v>
      </c>
      <c r="M358" s="194" t="s">
        <v>122</v>
      </c>
      <c r="N358" s="131"/>
      <c r="O358" s="131"/>
      <c r="P358" s="457"/>
      <c r="Q358" s="41"/>
    </row>
    <row r="359" spans="1:20" s="40" customFormat="1" ht="78.75" customHeight="1" x14ac:dyDescent="0.25">
      <c r="A359" s="391"/>
      <c r="B359" s="470"/>
      <c r="C359" s="394"/>
      <c r="D359" s="379"/>
      <c r="E359" s="131"/>
      <c r="F359" s="157">
        <v>77</v>
      </c>
      <c r="G359" s="133">
        <v>77</v>
      </c>
      <c r="H359" s="133">
        <v>77</v>
      </c>
      <c r="I359" s="189">
        <v>0</v>
      </c>
      <c r="J359" s="189">
        <v>0</v>
      </c>
      <c r="K359" s="189">
        <v>0</v>
      </c>
      <c r="L359" s="189">
        <v>0</v>
      </c>
      <c r="M359" s="189">
        <v>0</v>
      </c>
      <c r="N359" s="189">
        <v>0</v>
      </c>
      <c r="O359" s="189">
        <v>0</v>
      </c>
      <c r="P359" s="457"/>
      <c r="Q359" s="41"/>
    </row>
    <row r="360" spans="1:20" s="301" customFormat="1" ht="27.75" customHeight="1" x14ac:dyDescent="0.25">
      <c r="A360" s="466" t="s">
        <v>238</v>
      </c>
      <c r="B360" s="471" t="s">
        <v>251</v>
      </c>
      <c r="C360" s="472" t="s">
        <v>82</v>
      </c>
      <c r="D360" s="310" t="s">
        <v>2</v>
      </c>
      <c r="E360" s="294">
        <f>E362+E363+E361</f>
        <v>54595</v>
      </c>
      <c r="F360" s="309">
        <f t="shared" ref="F360:F370" si="133">SUM(G360:O360)</f>
        <v>9604.7956400000003</v>
      </c>
      <c r="G360" s="294">
        <f t="shared" ref="G360:H360" si="134">G361+G362+G363+G364</f>
        <v>0</v>
      </c>
      <c r="H360" s="294">
        <f t="shared" si="134"/>
        <v>0</v>
      </c>
      <c r="I360" s="473">
        <f>I361+I362+I363+I364</f>
        <v>9604.7956400000003</v>
      </c>
      <c r="J360" s="473"/>
      <c r="K360" s="473"/>
      <c r="L360" s="473"/>
      <c r="M360" s="473"/>
      <c r="N360" s="294">
        <f t="shared" ref="N360:O360" si="135">N361+N362+N363+N364</f>
        <v>0</v>
      </c>
      <c r="O360" s="294">
        <f t="shared" si="135"/>
        <v>0</v>
      </c>
      <c r="P360" s="494"/>
      <c r="T360" s="306"/>
    </row>
    <row r="361" spans="1:20" s="301" customFormat="1" ht="37.5" customHeight="1" x14ac:dyDescent="0.25">
      <c r="A361" s="466"/>
      <c r="B361" s="471"/>
      <c r="C361" s="472"/>
      <c r="D361" s="311" t="s">
        <v>40</v>
      </c>
      <c r="E361" s="293">
        <f>E410</f>
        <v>0</v>
      </c>
      <c r="F361" s="309">
        <f t="shared" si="133"/>
        <v>6927.4436099999994</v>
      </c>
      <c r="G361" s="293">
        <f>G365</f>
        <v>0</v>
      </c>
      <c r="H361" s="293">
        <f>H365</f>
        <v>0</v>
      </c>
      <c r="I361" s="465">
        <f>I365</f>
        <v>6927.4436099999994</v>
      </c>
      <c r="J361" s="465"/>
      <c r="K361" s="465"/>
      <c r="L361" s="465"/>
      <c r="M361" s="465"/>
      <c r="N361" s="293">
        <f>N365</f>
        <v>0</v>
      </c>
      <c r="O361" s="293">
        <f>O365</f>
        <v>0</v>
      </c>
      <c r="P361" s="494"/>
      <c r="T361" s="306"/>
    </row>
    <row r="362" spans="1:20" s="301" customFormat="1" ht="48" customHeight="1" x14ac:dyDescent="0.25">
      <c r="A362" s="466"/>
      <c r="B362" s="471"/>
      <c r="C362" s="472"/>
      <c r="D362" s="311" t="s">
        <v>1</v>
      </c>
      <c r="E362" s="293">
        <f>E366+E411</f>
        <v>34122</v>
      </c>
      <c r="F362" s="309">
        <f t="shared" si="133"/>
        <v>2433.9563899999998</v>
      </c>
      <c r="G362" s="293">
        <f t="shared" ref="G362:I362" si="136">G366</f>
        <v>0</v>
      </c>
      <c r="H362" s="293">
        <f t="shared" si="136"/>
        <v>0</v>
      </c>
      <c r="I362" s="465">
        <f t="shared" si="136"/>
        <v>2433.9563899999998</v>
      </c>
      <c r="J362" s="465"/>
      <c r="K362" s="465"/>
      <c r="L362" s="465"/>
      <c r="M362" s="465"/>
      <c r="N362" s="293">
        <f t="shared" ref="N362:O362" si="137">N366</f>
        <v>0</v>
      </c>
      <c r="O362" s="293">
        <f t="shared" si="137"/>
        <v>0</v>
      </c>
      <c r="P362" s="494"/>
      <c r="T362" s="306"/>
    </row>
    <row r="363" spans="1:20" s="301" customFormat="1" ht="57" customHeight="1" x14ac:dyDescent="0.25">
      <c r="A363" s="466"/>
      <c r="B363" s="471"/>
      <c r="C363" s="472"/>
      <c r="D363" s="311" t="s">
        <v>47</v>
      </c>
      <c r="E363" s="292">
        <f>E367+E412</f>
        <v>20473</v>
      </c>
      <c r="F363" s="309">
        <f t="shared" si="133"/>
        <v>243.39564000000018</v>
      </c>
      <c r="G363" s="293">
        <f t="shared" ref="G363:I363" si="138">G367</f>
        <v>0</v>
      </c>
      <c r="H363" s="293">
        <f t="shared" si="138"/>
        <v>0</v>
      </c>
      <c r="I363" s="465">
        <f t="shared" si="138"/>
        <v>243.39564000000018</v>
      </c>
      <c r="J363" s="465"/>
      <c r="K363" s="465"/>
      <c r="L363" s="465"/>
      <c r="M363" s="465"/>
      <c r="N363" s="292">
        <f t="shared" ref="N363:O363" si="139">N367</f>
        <v>0</v>
      </c>
      <c r="O363" s="292">
        <f t="shared" si="139"/>
        <v>0</v>
      </c>
      <c r="P363" s="494"/>
      <c r="T363" s="306"/>
    </row>
    <row r="364" spans="1:20" s="301" customFormat="1" ht="34.5" customHeight="1" x14ac:dyDescent="0.25">
      <c r="A364" s="466"/>
      <c r="B364" s="471"/>
      <c r="C364" s="472"/>
      <c r="D364" s="311" t="s">
        <v>87</v>
      </c>
      <c r="E364" s="292"/>
      <c r="F364" s="309">
        <f t="shared" si="133"/>
        <v>0</v>
      </c>
      <c r="G364" s="293">
        <f t="shared" ref="G364:I364" si="140">G368</f>
        <v>0</v>
      </c>
      <c r="H364" s="293">
        <f t="shared" si="140"/>
        <v>0</v>
      </c>
      <c r="I364" s="465">
        <f t="shared" si="140"/>
        <v>0</v>
      </c>
      <c r="J364" s="465"/>
      <c r="K364" s="465"/>
      <c r="L364" s="465"/>
      <c r="M364" s="465"/>
      <c r="N364" s="292">
        <f t="shared" ref="N364:O364" si="141">N368</f>
        <v>0</v>
      </c>
      <c r="O364" s="292">
        <f t="shared" si="141"/>
        <v>0</v>
      </c>
      <c r="P364" s="494"/>
      <c r="T364" s="306"/>
    </row>
    <row r="365" spans="1:20" s="301" customFormat="1" ht="45.75" customHeight="1" x14ac:dyDescent="0.25">
      <c r="A365" s="442" t="s">
        <v>239</v>
      </c>
      <c r="B365" s="444" t="s">
        <v>252</v>
      </c>
      <c r="C365" s="439" t="s">
        <v>82</v>
      </c>
      <c r="D365" s="304" t="s">
        <v>40</v>
      </c>
      <c r="E365" s="295"/>
      <c r="F365" s="309">
        <f t="shared" si="133"/>
        <v>6927.4436099999994</v>
      </c>
      <c r="G365" s="295">
        <v>0</v>
      </c>
      <c r="H365" s="295">
        <v>0</v>
      </c>
      <c r="I365" s="483">
        <f>6927.4+0.04361</f>
        <v>6927.4436099999994</v>
      </c>
      <c r="J365" s="483"/>
      <c r="K365" s="483"/>
      <c r="L365" s="483"/>
      <c r="M365" s="483"/>
      <c r="N365" s="312">
        <v>0</v>
      </c>
      <c r="O365" s="312">
        <v>0</v>
      </c>
      <c r="P365" s="434" t="s">
        <v>3</v>
      </c>
      <c r="T365" s="306"/>
    </row>
    <row r="366" spans="1:20" s="84" customFormat="1" ht="44.25" customHeight="1" x14ac:dyDescent="0.25">
      <c r="A366" s="442"/>
      <c r="B366" s="444"/>
      <c r="C366" s="439"/>
      <c r="D366" s="300" t="s">
        <v>1</v>
      </c>
      <c r="E366" s="290">
        <v>34122</v>
      </c>
      <c r="F366" s="309">
        <f t="shared" si="133"/>
        <v>2433.9563899999998</v>
      </c>
      <c r="G366" s="290">
        <v>0</v>
      </c>
      <c r="H366" s="290">
        <v>0</v>
      </c>
      <c r="I366" s="484">
        <f>2434-0.04361</f>
        <v>2433.9563899999998</v>
      </c>
      <c r="J366" s="484"/>
      <c r="K366" s="484"/>
      <c r="L366" s="484"/>
      <c r="M366" s="484"/>
      <c r="N366" s="290">
        <v>0</v>
      </c>
      <c r="O366" s="290">
        <v>0</v>
      </c>
      <c r="P366" s="434"/>
    </row>
    <row r="367" spans="1:20" s="84" customFormat="1" ht="61.5" customHeight="1" x14ac:dyDescent="0.25">
      <c r="A367" s="442"/>
      <c r="B367" s="444"/>
      <c r="C367" s="439"/>
      <c r="D367" s="300" t="s">
        <v>47</v>
      </c>
      <c r="E367" s="290">
        <v>20473</v>
      </c>
      <c r="F367" s="309">
        <f t="shared" si="133"/>
        <v>243.39564000000018</v>
      </c>
      <c r="G367" s="290">
        <v>0</v>
      </c>
      <c r="H367" s="290">
        <v>0</v>
      </c>
      <c r="I367" s="484">
        <f>2434-2190.60436</f>
        <v>243.39564000000018</v>
      </c>
      <c r="J367" s="484"/>
      <c r="K367" s="484"/>
      <c r="L367" s="484"/>
      <c r="M367" s="484"/>
      <c r="N367" s="313">
        <v>0</v>
      </c>
      <c r="O367" s="313">
        <v>0</v>
      </c>
      <c r="P367" s="434"/>
    </row>
    <row r="368" spans="1:20" s="84" customFormat="1" ht="39.75" customHeight="1" x14ac:dyDescent="0.25">
      <c r="A368" s="442"/>
      <c r="B368" s="444"/>
      <c r="C368" s="439"/>
      <c r="D368" s="300" t="s">
        <v>87</v>
      </c>
      <c r="E368" s="290"/>
      <c r="F368" s="309">
        <f t="shared" si="133"/>
        <v>0</v>
      </c>
      <c r="G368" s="290">
        <v>0</v>
      </c>
      <c r="H368" s="290">
        <v>0</v>
      </c>
      <c r="I368" s="338">
        <v>0</v>
      </c>
      <c r="J368" s="338"/>
      <c r="K368" s="338"/>
      <c r="L368" s="338"/>
      <c r="M368" s="338"/>
      <c r="N368" s="290">
        <v>0</v>
      </c>
      <c r="O368" s="290">
        <v>0</v>
      </c>
      <c r="P368" s="434"/>
    </row>
    <row r="369" spans="1:20" s="84" customFormat="1" ht="39" customHeight="1" x14ac:dyDescent="0.25">
      <c r="A369" s="442"/>
      <c r="B369" s="349" t="s">
        <v>253</v>
      </c>
      <c r="C369" s="344" t="s">
        <v>116</v>
      </c>
      <c r="D369" s="359" t="s">
        <v>116</v>
      </c>
      <c r="E369" s="287"/>
      <c r="F369" s="360">
        <f t="shared" si="133"/>
        <v>0</v>
      </c>
      <c r="G369" s="286" t="s">
        <v>220</v>
      </c>
      <c r="H369" s="286" t="s">
        <v>221</v>
      </c>
      <c r="I369" s="354" t="s">
        <v>123</v>
      </c>
      <c r="J369" s="339" t="s">
        <v>118</v>
      </c>
      <c r="K369" s="339"/>
      <c r="L369" s="339"/>
      <c r="M369" s="339"/>
      <c r="N369" s="286" t="s">
        <v>124</v>
      </c>
      <c r="O369" s="286" t="s">
        <v>125</v>
      </c>
      <c r="P369" s="340" t="s">
        <v>116</v>
      </c>
      <c r="Q369" s="88"/>
    </row>
    <row r="370" spans="1:20" s="84" customFormat="1" ht="33" customHeight="1" x14ac:dyDescent="0.25">
      <c r="A370" s="442"/>
      <c r="B370" s="349"/>
      <c r="C370" s="344"/>
      <c r="D370" s="359"/>
      <c r="E370" s="287"/>
      <c r="F370" s="360">
        <f t="shared" si="133"/>
        <v>0</v>
      </c>
      <c r="G370" s="287"/>
      <c r="H370" s="287"/>
      <c r="I370" s="354"/>
      <c r="J370" s="287" t="s">
        <v>119</v>
      </c>
      <c r="K370" s="287" t="s">
        <v>120</v>
      </c>
      <c r="L370" s="287" t="s">
        <v>121</v>
      </c>
      <c r="M370" s="287" t="s">
        <v>122</v>
      </c>
      <c r="N370" s="287"/>
      <c r="O370" s="287"/>
      <c r="P370" s="340"/>
      <c r="Q370" s="88"/>
    </row>
    <row r="371" spans="1:20" s="84" customFormat="1" ht="34.5" customHeight="1" x14ac:dyDescent="0.25">
      <c r="A371" s="442"/>
      <c r="B371" s="349"/>
      <c r="C371" s="344"/>
      <c r="D371" s="359"/>
      <c r="E371" s="287"/>
      <c r="F371" s="190">
        <f>I371</f>
        <v>19</v>
      </c>
      <c r="G371" s="189">
        <v>0</v>
      </c>
      <c r="H371" s="189">
        <v>0</v>
      </c>
      <c r="I371" s="189">
        <v>19</v>
      </c>
      <c r="J371" s="189">
        <v>0</v>
      </c>
      <c r="K371" s="189">
        <v>0</v>
      </c>
      <c r="L371" s="189">
        <v>0</v>
      </c>
      <c r="M371" s="189">
        <v>19</v>
      </c>
      <c r="N371" s="189">
        <v>0</v>
      </c>
      <c r="O371" s="189">
        <v>0</v>
      </c>
      <c r="P371" s="340"/>
      <c r="Q371" s="88"/>
    </row>
    <row r="372" spans="1:20" s="301" customFormat="1" ht="18.75" customHeight="1" x14ac:dyDescent="0.25">
      <c r="A372" s="466" t="s">
        <v>257</v>
      </c>
      <c r="B372" s="471" t="s">
        <v>243</v>
      </c>
      <c r="C372" s="472" t="s">
        <v>267</v>
      </c>
      <c r="D372" s="310" t="s">
        <v>2</v>
      </c>
      <c r="E372" s="294">
        <f>E374+E375+E373</f>
        <v>54595</v>
      </c>
      <c r="F372" s="309">
        <f t="shared" ref="F372:F405" si="142">SUM(G372:O372)</f>
        <v>841921.67999999993</v>
      </c>
      <c r="G372" s="294">
        <f t="shared" ref="G372:H372" si="143">G373+G374+G375+G376</f>
        <v>0</v>
      </c>
      <c r="H372" s="294">
        <f t="shared" si="143"/>
        <v>0</v>
      </c>
      <c r="I372" s="473">
        <f>I373+I374+I375+I376</f>
        <v>280429.56</v>
      </c>
      <c r="J372" s="473"/>
      <c r="K372" s="473"/>
      <c r="L372" s="473"/>
      <c r="M372" s="473"/>
      <c r="N372" s="294">
        <f t="shared" ref="N372:O372" si="144">N373+N374+N375+N376</f>
        <v>280626.56</v>
      </c>
      <c r="O372" s="294">
        <f t="shared" si="144"/>
        <v>280865.56</v>
      </c>
      <c r="P372" s="494"/>
      <c r="T372" s="306"/>
    </row>
    <row r="373" spans="1:20" s="301" customFormat="1" ht="39" customHeight="1" x14ac:dyDescent="0.25">
      <c r="A373" s="466"/>
      <c r="B373" s="471"/>
      <c r="C373" s="472"/>
      <c r="D373" s="311" t="s">
        <v>40</v>
      </c>
      <c r="E373" s="293">
        <f>E429</f>
        <v>0</v>
      </c>
      <c r="F373" s="309">
        <f t="shared" si="142"/>
        <v>829991.32706000004</v>
      </c>
      <c r="G373" s="293">
        <f t="shared" ref="G373:I376" si="145">G377+G391</f>
        <v>0</v>
      </c>
      <c r="H373" s="293">
        <f t="shared" si="145"/>
        <v>0</v>
      </c>
      <c r="I373" s="465">
        <f>I377+I391+I384</f>
        <v>277042.50371999998</v>
      </c>
      <c r="J373" s="465"/>
      <c r="K373" s="465"/>
      <c r="L373" s="465"/>
      <c r="M373" s="465"/>
      <c r="N373" s="293">
        <f>N377+N391+N384</f>
        <v>276660.00334</v>
      </c>
      <c r="O373" s="293">
        <f>O377+O391+O384</f>
        <v>276288.82</v>
      </c>
      <c r="P373" s="494"/>
      <c r="T373" s="306"/>
    </row>
    <row r="374" spans="1:20" s="301" customFormat="1" ht="36.75" customHeight="1" x14ac:dyDescent="0.25">
      <c r="A374" s="466"/>
      <c r="B374" s="471"/>
      <c r="C374" s="472"/>
      <c r="D374" s="311" t="s">
        <v>1</v>
      </c>
      <c r="E374" s="293">
        <f>E378+E430</f>
        <v>34122</v>
      </c>
      <c r="F374" s="309">
        <f t="shared" si="142"/>
        <v>11930.352940000001</v>
      </c>
      <c r="G374" s="293">
        <f t="shared" si="145"/>
        <v>0</v>
      </c>
      <c r="H374" s="293">
        <f t="shared" si="145"/>
        <v>0</v>
      </c>
      <c r="I374" s="465">
        <f t="shared" si="145"/>
        <v>3387.0562799999998</v>
      </c>
      <c r="J374" s="465"/>
      <c r="K374" s="465"/>
      <c r="L374" s="465"/>
      <c r="M374" s="465"/>
      <c r="N374" s="293">
        <f t="shared" ref="N374:O374" si="146">N378+N392+N385</f>
        <v>3966.5566600000002</v>
      </c>
      <c r="O374" s="293">
        <f t="shared" si="146"/>
        <v>4576.74</v>
      </c>
      <c r="P374" s="494"/>
      <c r="T374" s="306"/>
    </row>
    <row r="375" spans="1:20" s="301" customFormat="1" ht="57" customHeight="1" x14ac:dyDescent="0.25">
      <c r="A375" s="466"/>
      <c r="B375" s="471"/>
      <c r="C375" s="472"/>
      <c r="D375" s="311" t="s">
        <v>47</v>
      </c>
      <c r="E375" s="292">
        <f>E379+E431</f>
        <v>20473</v>
      </c>
      <c r="F375" s="309">
        <f t="shared" si="142"/>
        <v>0</v>
      </c>
      <c r="G375" s="292">
        <f t="shared" si="145"/>
        <v>0</v>
      </c>
      <c r="H375" s="292">
        <f t="shared" si="145"/>
        <v>0</v>
      </c>
      <c r="I375" s="452">
        <f t="shared" si="145"/>
        <v>0</v>
      </c>
      <c r="J375" s="452"/>
      <c r="K375" s="452"/>
      <c r="L375" s="452"/>
      <c r="M375" s="452"/>
      <c r="N375" s="293">
        <f t="shared" ref="N375:O375" si="147">N379+N393+N386</f>
        <v>0</v>
      </c>
      <c r="O375" s="293">
        <f t="shared" si="147"/>
        <v>0</v>
      </c>
      <c r="P375" s="494"/>
      <c r="T375" s="306"/>
    </row>
    <row r="376" spans="1:20" s="301" customFormat="1" ht="29.1" customHeight="1" x14ac:dyDescent="0.25">
      <c r="A376" s="466"/>
      <c r="B376" s="471"/>
      <c r="C376" s="472"/>
      <c r="D376" s="311" t="s">
        <v>87</v>
      </c>
      <c r="E376" s="292"/>
      <c r="F376" s="309">
        <f t="shared" si="142"/>
        <v>0</v>
      </c>
      <c r="G376" s="292">
        <f t="shared" si="145"/>
        <v>0</v>
      </c>
      <c r="H376" s="292">
        <f t="shared" si="145"/>
        <v>0</v>
      </c>
      <c r="I376" s="452">
        <f t="shared" si="145"/>
        <v>0</v>
      </c>
      <c r="J376" s="452"/>
      <c r="K376" s="452"/>
      <c r="L376" s="452"/>
      <c r="M376" s="452"/>
      <c r="N376" s="293">
        <f t="shared" ref="N376:O376" si="148">N380+N394+N387</f>
        <v>0</v>
      </c>
      <c r="O376" s="293">
        <f t="shared" si="148"/>
        <v>0</v>
      </c>
      <c r="P376" s="494"/>
      <c r="T376" s="306"/>
    </row>
    <row r="377" spans="1:20" s="301" customFormat="1" ht="36" customHeight="1" x14ac:dyDescent="0.25">
      <c r="A377" s="442" t="s">
        <v>258</v>
      </c>
      <c r="B377" s="444" t="s">
        <v>240</v>
      </c>
      <c r="C377" s="439" t="s">
        <v>267</v>
      </c>
      <c r="D377" s="304" t="s">
        <v>40</v>
      </c>
      <c r="E377" s="295"/>
      <c r="F377" s="309">
        <f t="shared" si="142"/>
        <v>27777.647060000003</v>
      </c>
      <c r="G377" s="295">
        <v>0</v>
      </c>
      <c r="H377" s="295">
        <v>0</v>
      </c>
      <c r="I377" s="474">
        <f>9637.94+0.00372</f>
        <v>9637.9437200000011</v>
      </c>
      <c r="J377" s="474"/>
      <c r="K377" s="474"/>
      <c r="L377" s="474"/>
      <c r="M377" s="474"/>
      <c r="N377" s="312">
        <f>9255.33+0.11334</f>
        <v>9255.4433399999998</v>
      </c>
      <c r="O377" s="312">
        <f>8884.27-0.01</f>
        <v>8884.26</v>
      </c>
      <c r="P377" s="434" t="s">
        <v>265</v>
      </c>
      <c r="T377" s="306"/>
    </row>
    <row r="378" spans="1:20" s="84" customFormat="1" ht="34.5" x14ac:dyDescent="0.25">
      <c r="A378" s="442"/>
      <c r="B378" s="444"/>
      <c r="C378" s="439"/>
      <c r="D378" s="300" t="s">
        <v>1</v>
      </c>
      <c r="E378" s="290">
        <v>34122</v>
      </c>
      <c r="F378" s="309">
        <f t="shared" si="142"/>
        <v>11930.352940000001</v>
      </c>
      <c r="G378" s="290">
        <v>0</v>
      </c>
      <c r="H378" s="290">
        <v>0</v>
      </c>
      <c r="I378" s="483">
        <f>3387.06-0.00372</f>
        <v>3387.0562799999998</v>
      </c>
      <c r="J378" s="483"/>
      <c r="K378" s="483"/>
      <c r="L378" s="483"/>
      <c r="M378" s="483"/>
      <c r="N378" s="328">
        <f>3966.67-0.11334</f>
        <v>3966.5566600000002</v>
      </c>
      <c r="O378" s="328">
        <f>4576.73+0.01</f>
        <v>4576.74</v>
      </c>
      <c r="P378" s="434"/>
    </row>
    <row r="379" spans="1:20" s="84" customFormat="1" ht="51.75" x14ac:dyDescent="0.25">
      <c r="A379" s="442"/>
      <c r="B379" s="444"/>
      <c r="C379" s="439"/>
      <c r="D379" s="300" t="s">
        <v>47</v>
      </c>
      <c r="E379" s="290">
        <v>20473</v>
      </c>
      <c r="F379" s="309">
        <f t="shared" si="142"/>
        <v>0</v>
      </c>
      <c r="G379" s="290">
        <v>0</v>
      </c>
      <c r="H379" s="290">
        <v>0</v>
      </c>
      <c r="I379" s="484">
        <v>0</v>
      </c>
      <c r="J379" s="484"/>
      <c r="K379" s="484"/>
      <c r="L379" s="484"/>
      <c r="M379" s="484"/>
      <c r="N379" s="313">
        <v>0</v>
      </c>
      <c r="O379" s="313">
        <v>0</v>
      </c>
      <c r="P379" s="434"/>
    </row>
    <row r="380" spans="1:20" s="84" customFormat="1" ht="29.1" customHeight="1" x14ac:dyDescent="0.25">
      <c r="A380" s="442"/>
      <c r="B380" s="444"/>
      <c r="C380" s="439"/>
      <c r="D380" s="300" t="s">
        <v>87</v>
      </c>
      <c r="E380" s="290"/>
      <c r="F380" s="309">
        <f t="shared" si="142"/>
        <v>0</v>
      </c>
      <c r="G380" s="290">
        <v>0</v>
      </c>
      <c r="H380" s="290">
        <v>0</v>
      </c>
      <c r="I380" s="338">
        <v>0</v>
      </c>
      <c r="J380" s="338"/>
      <c r="K380" s="338"/>
      <c r="L380" s="338"/>
      <c r="M380" s="338"/>
      <c r="N380" s="290">
        <v>0</v>
      </c>
      <c r="O380" s="290">
        <v>0</v>
      </c>
      <c r="P380" s="434"/>
    </row>
    <row r="381" spans="1:20" s="84" customFormat="1" ht="26.1" customHeight="1" x14ac:dyDescent="0.25">
      <c r="A381" s="442"/>
      <c r="B381" s="349" t="s">
        <v>254</v>
      </c>
      <c r="C381" s="344" t="s">
        <v>116</v>
      </c>
      <c r="D381" s="359" t="s">
        <v>116</v>
      </c>
      <c r="E381" s="287"/>
      <c r="F381" s="360">
        <f t="shared" si="142"/>
        <v>0</v>
      </c>
      <c r="G381" s="286" t="s">
        <v>220</v>
      </c>
      <c r="H381" s="286" t="s">
        <v>221</v>
      </c>
      <c r="I381" s="354" t="s">
        <v>123</v>
      </c>
      <c r="J381" s="339" t="s">
        <v>118</v>
      </c>
      <c r="K381" s="339"/>
      <c r="L381" s="339"/>
      <c r="M381" s="339"/>
      <c r="N381" s="286" t="s">
        <v>124</v>
      </c>
      <c r="O381" s="286" t="s">
        <v>125</v>
      </c>
      <c r="P381" s="340" t="s">
        <v>116</v>
      </c>
      <c r="Q381" s="88"/>
    </row>
    <row r="382" spans="1:20" s="84" customFormat="1" ht="33" customHeight="1" x14ac:dyDescent="0.25">
      <c r="A382" s="442"/>
      <c r="B382" s="349"/>
      <c r="C382" s="344"/>
      <c r="D382" s="359"/>
      <c r="E382" s="287"/>
      <c r="F382" s="360">
        <f t="shared" si="142"/>
        <v>0</v>
      </c>
      <c r="G382" s="287"/>
      <c r="H382" s="287"/>
      <c r="I382" s="354"/>
      <c r="J382" s="287" t="s">
        <v>119</v>
      </c>
      <c r="K382" s="287" t="s">
        <v>120</v>
      </c>
      <c r="L382" s="287" t="s">
        <v>121</v>
      </c>
      <c r="M382" s="287" t="s">
        <v>122</v>
      </c>
      <c r="N382" s="287"/>
      <c r="O382" s="287"/>
      <c r="P382" s="340"/>
      <c r="Q382" s="88"/>
    </row>
    <row r="383" spans="1:20" s="84" customFormat="1" ht="37.5" customHeight="1" x14ac:dyDescent="0.25">
      <c r="A383" s="442"/>
      <c r="B383" s="349"/>
      <c r="C383" s="344"/>
      <c r="D383" s="359"/>
      <c r="E383" s="287"/>
      <c r="F383" s="190">
        <f>I383</f>
        <v>31</v>
      </c>
      <c r="G383" s="189">
        <v>0</v>
      </c>
      <c r="H383" s="189">
        <v>0</v>
      </c>
      <c r="I383" s="189">
        <v>31</v>
      </c>
      <c r="J383" s="189">
        <v>31</v>
      </c>
      <c r="K383" s="189">
        <v>31</v>
      </c>
      <c r="L383" s="189">
        <v>31</v>
      </c>
      <c r="M383" s="189">
        <v>31</v>
      </c>
      <c r="N383" s="189">
        <v>31</v>
      </c>
      <c r="O383" s="189">
        <v>31</v>
      </c>
      <c r="P383" s="340"/>
      <c r="Q383" s="88"/>
    </row>
    <row r="384" spans="1:20" s="84" customFormat="1" ht="36.75" customHeight="1" x14ac:dyDescent="0.25">
      <c r="A384" s="442" t="s">
        <v>259</v>
      </c>
      <c r="B384" s="444" t="s">
        <v>241</v>
      </c>
      <c r="C384" s="439" t="s">
        <v>267</v>
      </c>
      <c r="D384" s="300" t="s">
        <v>40</v>
      </c>
      <c r="E384" s="290">
        <v>0</v>
      </c>
      <c r="F384" s="314">
        <f t="shared" ref="F384:F389" si="149">SUM(G384:O384)</f>
        <v>793308</v>
      </c>
      <c r="G384" s="290">
        <v>0</v>
      </c>
      <c r="H384" s="290">
        <v>0</v>
      </c>
      <c r="I384" s="338">
        <v>264436</v>
      </c>
      <c r="J384" s="338"/>
      <c r="K384" s="338"/>
      <c r="L384" s="338"/>
      <c r="M384" s="338"/>
      <c r="N384" s="290">
        <v>264436</v>
      </c>
      <c r="O384" s="290">
        <v>264436</v>
      </c>
      <c r="P384" s="434" t="s">
        <v>265</v>
      </c>
    </row>
    <row r="385" spans="1:21" s="84" customFormat="1" ht="34.5" x14ac:dyDescent="0.25">
      <c r="A385" s="442"/>
      <c r="B385" s="444"/>
      <c r="C385" s="439"/>
      <c r="D385" s="300" t="s">
        <v>1</v>
      </c>
      <c r="E385" s="290">
        <v>0</v>
      </c>
      <c r="F385" s="314">
        <f t="shared" si="149"/>
        <v>0</v>
      </c>
      <c r="G385" s="290">
        <v>0</v>
      </c>
      <c r="H385" s="290">
        <v>0</v>
      </c>
      <c r="I385" s="338">
        <v>0</v>
      </c>
      <c r="J385" s="338"/>
      <c r="K385" s="338"/>
      <c r="L385" s="338"/>
      <c r="M385" s="338"/>
      <c r="N385" s="290">
        <v>0</v>
      </c>
      <c r="O385" s="290">
        <v>0</v>
      </c>
      <c r="P385" s="434"/>
    </row>
    <row r="386" spans="1:21" s="84" customFormat="1" ht="51.75" x14ac:dyDescent="0.25">
      <c r="A386" s="442"/>
      <c r="B386" s="444"/>
      <c r="C386" s="439"/>
      <c r="D386" s="300" t="s">
        <v>47</v>
      </c>
      <c r="E386" s="290">
        <v>0</v>
      </c>
      <c r="F386" s="314">
        <f t="shared" si="149"/>
        <v>0</v>
      </c>
      <c r="G386" s="290">
        <v>0</v>
      </c>
      <c r="H386" s="290">
        <v>0</v>
      </c>
      <c r="I386" s="338">
        <v>0</v>
      </c>
      <c r="J386" s="338"/>
      <c r="K386" s="338"/>
      <c r="L386" s="338"/>
      <c r="M386" s="338"/>
      <c r="N386" s="290">
        <v>0</v>
      </c>
      <c r="O386" s="290">
        <v>0</v>
      </c>
      <c r="P386" s="434"/>
    </row>
    <row r="387" spans="1:21" s="84" customFormat="1" ht="34.5" x14ac:dyDescent="0.25">
      <c r="A387" s="442"/>
      <c r="B387" s="444"/>
      <c r="C387" s="439"/>
      <c r="D387" s="300" t="s">
        <v>87</v>
      </c>
      <c r="E387" s="290"/>
      <c r="F387" s="314">
        <f t="shared" si="149"/>
        <v>0</v>
      </c>
      <c r="G387" s="290">
        <v>0</v>
      </c>
      <c r="H387" s="290">
        <v>0</v>
      </c>
      <c r="I387" s="338">
        <v>0</v>
      </c>
      <c r="J387" s="338"/>
      <c r="K387" s="338"/>
      <c r="L387" s="338"/>
      <c r="M387" s="338"/>
      <c r="N387" s="290">
        <v>0</v>
      </c>
      <c r="O387" s="290">
        <v>0</v>
      </c>
      <c r="P387" s="434"/>
    </row>
    <row r="388" spans="1:21" s="84" customFormat="1" ht="39.75" customHeight="1" x14ac:dyDescent="0.25">
      <c r="A388" s="442"/>
      <c r="B388" s="486" t="s">
        <v>275</v>
      </c>
      <c r="C388" s="344" t="s">
        <v>116</v>
      </c>
      <c r="D388" s="359" t="s">
        <v>116</v>
      </c>
      <c r="E388" s="287"/>
      <c r="F388" s="360">
        <f t="shared" si="149"/>
        <v>0</v>
      </c>
      <c r="G388" s="286" t="s">
        <v>220</v>
      </c>
      <c r="H388" s="286" t="s">
        <v>221</v>
      </c>
      <c r="I388" s="354" t="s">
        <v>123</v>
      </c>
      <c r="J388" s="339" t="s">
        <v>118</v>
      </c>
      <c r="K388" s="339"/>
      <c r="L388" s="339"/>
      <c r="M388" s="339"/>
      <c r="N388" s="286" t="s">
        <v>124</v>
      </c>
      <c r="O388" s="286" t="s">
        <v>125</v>
      </c>
      <c r="P388" s="340" t="s">
        <v>116</v>
      </c>
      <c r="Q388" s="88"/>
    </row>
    <row r="389" spans="1:21" s="84" customFormat="1" ht="33.950000000000003" customHeight="1" x14ac:dyDescent="0.25">
      <c r="A389" s="442"/>
      <c r="B389" s="486"/>
      <c r="C389" s="344"/>
      <c r="D389" s="359"/>
      <c r="E389" s="287"/>
      <c r="F389" s="360">
        <f t="shared" si="149"/>
        <v>0</v>
      </c>
      <c r="G389" s="287"/>
      <c r="H389" s="287"/>
      <c r="I389" s="354"/>
      <c r="J389" s="287" t="s">
        <v>119</v>
      </c>
      <c r="K389" s="287" t="s">
        <v>120</v>
      </c>
      <c r="L389" s="287" t="s">
        <v>121</v>
      </c>
      <c r="M389" s="287" t="s">
        <v>122</v>
      </c>
      <c r="N389" s="287"/>
      <c r="O389" s="287"/>
      <c r="P389" s="340"/>
      <c r="Q389" s="88"/>
    </row>
    <row r="390" spans="1:21" s="84" customFormat="1" ht="41.1" customHeight="1" x14ac:dyDescent="0.25">
      <c r="A390" s="442"/>
      <c r="B390" s="486"/>
      <c r="C390" s="344"/>
      <c r="D390" s="359"/>
      <c r="E390" s="287"/>
      <c r="F390" s="566">
        <f>I390+N390+O390</f>
        <v>6654</v>
      </c>
      <c r="G390" s="189">
        <v>0</v>
      </c>
      <c r="H390" s="189">
        <v>0</v>
      </c>
      <c r="I390" s="564">
        <v>2218</v>
      </c>
      <c r="J390" s="564">
        <v>2218</v>
      </c>
      <c r="K390" s="564">
        <v>2218</v>
      </c>
      <c r="L390" s="564">
        <v>2218</v>
      </c>
      <c r="M390" s="564">
        <v>2218</v>
      </c>
      <c r="N390" s="564">
        <v>2218</v>
      </c>
      <c r="O390" s="564">
        <v>2218</v>
      </c>
      <c r="P390" s="340"/>
      <c r="Q390" s="88"/>
    </row>
    <row r="391" spans="1:21" s="84" customFormat="1" ht="36.75" customHeight="1" x14ac:dyDescent="0.25">
      <c r="A391" s="442" t="s">
        <v>260</v>
      </c>
      <c r="B391" s="444" t="s">
        <v>255</v>
      </c>
      <c r="C391" s="439" t="s">
        <v>267</v>
      </c>
      <c r="D391" s="300" t="s">
        <v>40</v>
      </c>
      <c r="E391" s="290">
        <v>0</v>
      </c>
      <c r="F391" s="314">
        <f t="shared" si="142"/>
        <v>8905.68</v>
      </c>
      <c r="G391" s="290">
        <v>0</v>
      </c>
      <c r="H391" s="290">
        <v>0</v>
      </c>
      <c r="I391" s="338">
        <v>2968.56</v>
      </c>
      <c r="J391" s="338"/>
      <c r="K391" s="338"/>
      <c r="L391" s="338"/>
      <c r="M391" s="338"/>
      <c r="N391" s="290">
        <v>2968.56</v>
      </c>
      <c r="O391" s="290">
        <v>2968.56</v>
      </c>
      <c r="P391" s="434" t="s">
        <v>265</v>
      </c>
    </row>
    <row r="392" spans="1:21" s="84" customFormat="1" ht="34.5" x14ac:dyDescent="0.25">
      <c r="A392" s="442"/>
      <c r="B392" s="444"/>
      <c r="C392" s="439"/>
      <c r="D392" s="300" t="s">
        <v>1</v>
      </c>
      <c r="E392" s="290">
        <v>0</v>
      </c>
      <c r="F392" s="314">
        <f t="shared" si="142"/>
        <v>0</v>
      </c>
      <c r="G392" s="290">
        <v>0</v>
      </c>
      <c r="H392" s="290">
        <v>0</v>
      </c>
      <c r="I392" s="338">
        <v>0</v>
      </c>
      <c r="J392" s="338"/>
      <c r="K392" s="338"/>
      <c r="L392" s="338"/>
      <c r="M392" s="338"/>
      <c r="N392" s="290">
        <v>0</v>
      </c>
      <c r="O392" s="290">
        <v>0</v>
      </c>
      <c r="P392" s="434"/>
    </row>
    <row r="393" spans="1:21" s="84" customFormat="1" ht="51.75" x14ac:dyDescent="0.25">
      <c r="A393" s="442"/>
      <c r="B393" s="444"/>
      <c r="C393" s="439"/>
      <c r="D393" s="300" t="s">
        <v>47</v>
      </c>
      <c r="E393" s="290">
        <v>0</v>
      </c>
      <c r="F393" s="314">
        <f t="shared" si="142"/>
        <v>0</v>
      </c>
      <c r="G393" s="290">
        <v>0</v>
      </c>
      <c r="H393" s="290">
        <v>0</v>
      </c>
      <c r="I393" s="338">
        <v>0</v>
      </c>
      <c r="J393" s="338"/>
      <c r="K393" s="338"/>
      <c r="L393" s="338"/>
      <c r="M393" s="338"/>
      <c r="N393" s="290">
        <v>0</v>
      </c>
      <c r="O393" s="290">
        <v>0</v>
      </c>
      <c r="P393" s="434"/>
    </row>
    <row r="394" spans="1:21" s="84" customFormat="1" ht="33.950000000000003" customHeight="1" x14ac:dyDescent="0.25">
      <c r="A394" s="442"/>
      <c r="B394" s="444"/>
      <c r="C394" s="439"/>
      <c r="D394" s="300" t="s">
        <v>87</v>
      </c>
      <c r="E394" s="290"/>
      <c r="F394" s="314">
        <f t="shared" si="142"/>
        <v>0</v>
      </c>
      <c r="G394" s="290">
        <v>0</v>
      </c>
      <c r="H394" s="290">
        <v>0</v>
      </c>
      <c r="I394" s="338">
        <v>0</v>
      </c>
      <c r="J394" s="338"/>
      <c r="K394" s="338"/>
      <c r="L394" s="338"/>
      <c r="M394" s="338"/>
      <c r="N394" s="290">
        <v>0</v>
      </c>
      <c r="O394" s="290">
        <v>0</v>
      </c>
      <c r="P394" s="434"/>
    </row>
    <row r="395" spans="1:21" s="84" customFormat="1" ht="36" customHeight="1" x14ac:dyDescent="0.25">
      <c r="A395" s="442"/>
      <c r="B395" s="486" t="s">
        <v>256</v>
      </c>
      <c r="C395" s="344" t="s">
        <v>116</v>
      </c>
      <c r="D395" s="359" t="s">
        <v>116</v>
      </c>
      <c r="E395" s="287"/>
      <c r="F395" s="360">
        <f t="shared" si="142"/>
        <v>0</v>
      </c>
      <c r="G395" s="286" t="s">
        <v>220</v>
      </c>
      <c r="H395" s="286" t="s">
        <v>221</v>
      </c>
      <c r="I395" s="354" t="s">
        <v>123</v>
      </c>
      <c r="J395" s="339" t="s">
        <v>118</v>
      </c>
      <c r="K395" s="339"/>
      <c r="L395" s="339"/>
      <c r="M395" s="339"/>
      <c r="N395" s="286" t="s">
        <v>124</v>
      </c>
      <c r="O395" s="286" t="s">
        <v>125</v>
      </c>
      <c r="P395" s="340" t="s">
        <v>116</v>
      </c>
      <c r="Q395" s="88"/>
    </row>
    <row r="396" spans="1:21" s="84" customFormat="1" ht="24" customHeight="1" x14ac:dyDescent="0.25">
      <c r="A396" s="442"/>
      <c r="B396" s="486"/>
      <c r="C396" s="344"/>
      <c r="D396" s="359"/>
      <c r="E396" s="287"/>
      <c r="F396" s="360">
        <f t="shared" si="142"/>
        <v>0</v>
      </c>
      <c r="G396" s="287"/>
      <c r="H396" s="287"/>
      <c r="I396" s="354"/>
      <c r="J396" s="287" t="s">
        <v>119</v>
      </c>
      <c r="K396" s="287" t="s">
        <v>120</v>
      </c>
      <c r="L396" s="287" t="s">
        <v>121</v>
      </c>
      <c r="M396" s="287" t="s">
        <v>122</v>
      </c>
      <c r="N396" s="287"/>
      <c r="O396" s="287"/>
      <c r="P396" s="340"/>
      <c r="Q396" s="88"/>
    </row>
    <row r="397" spans="1:21" s="84" customFormat="1" ht="22.5" customHeight="1" x14ac:dyDescent="0.25">
      <c r="A397" s="442"/>
      <c r="B397" s="486"/>
      <c r="C397" s="344"/>
      <c r="D397" s="359"/>
      <c r="E397" s="287"/>
      <c r="F397" s="190">
        <f>I397</f>
        <v>38</v>
      </c>
      <c r="G397" s="189">
        <v>0</v>
      </c>
      <c r="H397" s="189">
        <v>0</v>
      </c>
      <c r="I397" s="189">
        <v>38</v>
      </c>
      <c r="J397" s="189">
        <v>38</v>
      </c>
      <c r="K397" s="189">
        <v>38</v>
      </c>
      <c r="L397" s="189">
        <v>38</v>
      </c>
      <c r="M397" s="189">
        <v>38</v>
      </c>
      <c r="N397" s="189">
        <v>38</v>
      </c>
      <c r="O397" s="189">
        <v>38</v>
      </c>
      <c r="P397" s="340"/>
      <c r="Q397" s="88"/>
    </row>
    <row r="398" spans="1:21" s="9" customFormat="1" ht="39" customHeight="1" x14ac:dyDescent="0.25">
      <c r="A398" s="468" t="s">
        <v>182</v>
      </c>
      <c r="B398" s="469"/>
      <c r="C398" s="469"/>
      <c r="D398" s="469"/>
      <c r="E398" s="153" t="e">
        <f>E399+E400+E401+E404+E405</f>
        <v>#REF!</v>
      </c>
      <c r="F398" s="158">
        <f t="shared" si="142"/>
        <v>67376499.817680001</v>
      </c>
      <c r="G398" s="153">
        <f t="shared" ref="G398:H398" si="150">G399+G400+G401+G403</f>
        <v>12260123.436870003</v>
      </c>
      <c r="H398" s="153">
        <f t="shared" si="150"/>
        <v>12632199.85434</v>
      </c>
      <c r="I398" s="481">
        <f>I399+I400+I401+I403</f>
        <v>14476505.30511</v>
      </c>
      <c r="J398" s="481"/>
      <c r="K398" s="481"/>
      <c r="L398" s="481"/>
      <c r="M398" s="481"/>
      <c r="N398" s="153">
        <f t="shared" ref="N398:O398" si="151">N399+N400+N401+N403</f>
        <v>14007236.775680002</v>
      </c>
      <c r="O398" s="153">
        <f t="shared" si="151"/>
        <v>14000434.44568</v>
      </c>
      <c r="P398" s="154"/>
      <c r="T398" s="45"/>
      <c r="U398" s="45"/>
    </row>
    <row r="399" spans="1:21" ht="21" x14ac:dyDescent="0.35">
      <c r="A399" s="385" t="s">
        <v>40</v>
      </c>
      <c r="B399" s="385"/>
      <c r="C399" s="385"/>
      <c r="D399" s="385"/>
      <c r="E399" s="48" t="e">
        <f>E323</f>
        <v>#REF!</v>
      </c>
      <c r="F399" s="158">
        <f t="shared" si="142"/>
        <v>2250090.6283799997</v>
      </c>
      <c r="G399" s="48">
        <f>G17+G149+G206+G237+G249+G299+G323+G349+G225+G311+G361+G373</f>
        <v>397968.84916999994</v>
      </c>
      <c r="H399" s="48">
        <f>H17+H149+H206+H237+H249+H299+H323+H349+H225+H311+H361+H373</f>
        <v>452366.90026000002</v>
      </c>
      <c r="I399" s="336">
        <f>I17+I149+I206+I237+I249+I299+I323+I349+I311+I373+I361+I225</f>
        <v>483501.89039999997</v>
      </c>
      <c r="J399" s="336"/>
      <c r="K399" s="336"/>
      <c r="L399" s="336"/>
      <c r="M399" s="336"/>
      <c r="N399" s="48">
        <f>N17+N149+N206+N237+N249+N299+N323+N349+N315+N225+N311+N361+N373</f>
        <v>463826.77772000001</v>
      </c>
      <c r="O399" s="48">
        <f>O17+O149+O206+O237+O249+O299+O323+O349+O315+O225+O311+O361+O373</f>
        <v>452426.21083</v>
      </c>
      <c r="P399" s="12"/>
      <c r="Q399" s="269">
        <f>I19</f>
        <v>4826684.6065500006</v>
      </c>
      <c r="R399" s="269">
        <f>I151</f>
        <v>63229.54</v>
      </c>
      <c r="T399" s="46"/>
      <c r="U399" s="46"/>
    </row>
    <row r="400" spans="1:21" ht="21" x14ac:dyDescent="0.35">
      <c r="A400" s="385" t="s">
        <v>1</v>
      </c>
      <c r="B400" s="385"/>
      <c r="C400" s="385"/>
      <c r="D400" s="385"/>
      <c r="E400" s="48" t="e">
        <f>E18+#REF!+E150+E324+#REF!</f>
        <v>#REF!</v>
      </c>
      <c r="F400" s="158">
        <f t="shared" si="142"/>
        <v>40707659.500610009</v>
      </c>
      <c r="G400" s="48">
        <f t="shared" ref="G400:H400" si="152">G18+G150+G207+G238+G250+G300+G324+G350+G226+G312+G362+G374</f>
        <v>7623266.1103000017</v>
      </c>
      <c r="H400" s="48">
        <f t="shared" si="152"/>
        <v>7789874.7873100005</v>
      </c>
      <c r="I400" s="336">
        <f>I18+I150+I207+I238+I250+I300+I324+I350+I312+I374+I362+I226</f>
        <v>8467859.6715500019</v>
      </c>
      <c r="J400" s="336"/>
      <c r="K400" s="336"/>
      <c r="L400" s="336"/>
      <c r="M400" s="336"/>
      <c r="N400" s="48">
        <f>N18+N150+N207+N238+N250+N300+N324+N350+N316+N226+N312+N362+N374</f>
        <v>8410709.2822799999</v>
      </c>
      <c r="O400" s="48">
        <f>O18+O150+O207+O238+O250+O300+O324+O350+O316+O226+O312+O362+O374</f>
        <v>8415949.6491700001</v>
      </c>
      <c r="P400" s="12"/>
      <c r="Q400" s="269">
        <f>I208</f>
        <v>7897.2744899999998</v>
      </c>
      <c r="R400" s="269">
        <f>I363</f>
        <v>243.39564000000018</v>
      </c>
      <c r="T400" s="46"/>
      <c r="U400" s="46"/>
    </row>
    <row r="401" spans="1:21" ht="21" x14ac:dyDescent="0.35">
      <c r="A401" s="385" t="s">
        <v>48</v>
      </c>
      <c r="B401" s="385"/>
      <c r="C401" s="385"/>
      <c r="D401" s="385"/>
      <c r="E401" s="48" t="e">
        <f>E19+E151+E208+E325+#REF!</f>
        <v>#REF!</v>
      </c>
      <c r="F401" s="158">
        <f t="shared" si="142"/>
        <v>21394703.822070003</v>
      </c>
      <c r="G401" s="48">
        <f t="shared" ref="G401:H401" si="153">G19+G151+G208+G239+G251+G301+G325+G351+G227+G313+G363+G375</f>
        <v>3745756.7187200002</v>
      </c>
      <c r="H401" s="48">
        <f t="shared" si="153"/>
        <v>3740310.8382699997</v>
      </c>
      <c r="I401" s="336">
        <f>I19+I151+I208+I239+I251+I301+I325+I351+I313+I375+I363+I227</f>
        <v>4898054.8166800002</v>
      </c>
      <c r="J401" s="336"/>
      <c r="K401" s="336"/>
      <c r="L401" s="336"/>
      <c r="M401" s="336"/>
      <c r="N401" s="48">
        <f>N19+N151+N208+N239+N251+N301+N325+N351+N317+N227+N313+N363+N375</f>
        <v>4505611.7892000005</v>
      </c>
      <c r="O401" s="48">
        <f>O19+O151+O208+O239+O251+O301+O325+O351+O317+O227+O313+O363+O375</f>
        <v>4504969.6592000006</v>
      </c>
      <c r="P401" s="89"/>
      <c r="Q401" s="269">
        <f>I401</f>
        <v>4898054.8166800002</v>
      </c>
      <c r="T401" s="46"/>
      <c r="U401" s="46"/>
    </row>
    <row r="402" spans="1:21" ht="18.75" x14ac:dyDescent="0.3">
      <c r="A402" s="388" t="s">
        <v>59</v>
      </c>
      <c r="B402" s="388"/>
      <c r="C402" s="388"/>
      <c r="D402" s="388"/>
      <c r="E402" s="93">
        <f>E99</f>
        <v>0</v>
      </c>
      <c r="F402" s="158">
        <f t="shared" si="142"/>
        <v>2798298</v>
      </c>
      <c r="G402" s="93">
        <f>G20</f>
        <v>413035</v>
      </c>
      <c r="H402" s="93">
        <f>H20</f>
        <v>493052</v>
      </c>
      <c r="I402" s="337">
        <f>I20</f>
        <v>630737</v>
      </c>
      <c r="J402" s="337"/>
      <c r="K402" s="337"/>
      <c r="L402" s="337"/>
      <c r="M402" s="337"/>
      <c r="N402" s="93">
        <f>N20</f>
        <v>630737</v>
      </c>
      <c r="O402" s="93">
        <f>O20</f>
        <v>630737</v>
      </c>
      <c r="P402" s="6"/>
      <c r="T402" s="46"/>
      <c r="U402" s="46"/>
    </row>
    <row r="403" spans="1:21" ht="18.75" x14ac:dyDescent="0.3">
      <c r="A403" s="389" t="s">
        <v>87</v>
      </c>
      <c r="B403" s="389"/>
      <c r="C403" s="389"/>
      <c r="D403" s="389"/>
      <c r="E403" s="44"/>
      <c r="F403" s="158">
        <f t="shared" si="142"/>
        <v>3024045.8666199995</v>
      </c>
      <c r="G403" s="44">
        <f>G21+G152+G209+G240+G252+G302+G326+G352</f>
        <v>493131.75868000003</v>
      </c>
      <c r="H403" s="44">
        <f>H21+H152+H209+H240+H252+H302+H326+H352</f>
        <v>649647.32850000006</v>
      </c>
      <c r="I403" s="482">
        <f>I21+I152+I209+I240+I252+I302+I326+I352+I314</f>
        <v>627088.92647999991</v>
      </c>
      <c r="J403" s="482"/>
      <c r="K403" s="482"/>
      <c r="L403" s="482"/>
      <c r="M403" s="482"/>
      <c r="N403" s="44">
        <f>N21+N152+N209+N240+N252+N302+N326+N352</f>
        <v>627088.92647999991</v>
      </c>
      <c r="O403" s="44">
        <f>O21+O152+O209+O240+O252+O302+O326+O352</f>
        <v>627088.92647999991</v>
      </c>
      <c r="P403" s="6"/>
      <c r="T403" s="46"/>
      <c r="U403" s="46"/>
    </row>
    <row r="404" spans="1:21" ht="18.75" x14ac:dyDescent="0.3">
      <c r="A404" s="388" t="s">
        <v>88</v>
      </c>
      <c r="B404" s="388"/>
      <c r="C404" s="388"/>
      <c r="D404" s="388"/>
      <c r="E404" s="93">
        <f>E22</f>
        <v>262352.43170000002</v>
      </c>
      <c r="F404" s="158">
        <f t="shared" si="142"/>
        <v>2902166.7026199996</v>
      </c>
      <c r="G404" s="93">
        <f>G22</f>
        <v>469940.35668000003</v>
      </c>
      <c r="H404" s="93">
        <f>H22</f>
        <v>625121.01850000001</v>
      </c>
      <c r="I404" s="337">
        <f>I22</f>
        <v>602368.44247999997</v>
      </c>
      <c r="J404" s="337"/>
      <c r="K404" s="337"/>
      <c r="L404" s="337"/>
      <c r="M404" s="337"/>
      <c r="N404" s="93">
        <f>N22</f>
        <v>602368.44247999997</v>
      </c>
      <c r="O404" s="93">
        <f>O22</f>
        <v>602368.44247999997</v>
      </c>
      <c r="P404" s="6"/>
      <c r="T404" s="46"/>
      <c r="U404" s="46"/>
    </row>
    <row r="405" spans="1:21" ht="18.75" x14ac:dyDescent="0.3">
      <c r="A405" s="388" t="s">
        <v>89</v>
      </c>
      <c r="B405" s="388"/>
      <c r="C405" s="388"/>
      <c r="D405" s="388"/>
      <c r="E405" s="93">
        <f>E23</f>
        <v>8751.5480000000007</v>
      </c>
      <c r="F405" s="158">
        <f t="shared" si="142"/>
        <v>121879.16399999999</v>
      </c>
      <c r="G405" s="93">
        <f>G23</f>
        <v>23191.402000000002</v>
      </c>
      <c r="H405" s="93">
        <f>H23</f>
        <v>24526.31</v>
      </c>
      <c r="I405" s="337">
        <f>I23</f>
        <v>24720.484</v>
      </c>
      <c r="J405" s="337"/>
      <c r="K405" s="337"/>
      <c r="L405" s="337"/>
      <c r="M405" s="337"/>
      <c r="N405" s="93">
        <f>N23</f>
        <v>24720.484</v>
      </c>
      <c r="O405" s="93">
        <f>O23</f>
        <v>24720.484</v>
      </c>
      <c r="P405" s="6"/>
      <c r="T405" s="46"/>
      <c r="U405" s="46"/>
    </row>
    <row r="406" spans="1:21" ht="17.25" x14ac:dyDescent="0.25">
      <c r="A406" s="74"/>
      <c r="B406" s="74"/>
      <c r="C406" s="74"/>
      <c r="D406" s="227"/>
      <c r="E406" s="75"/>
      <c r="F406" s="159"/>
      <c r="G406" s="76"/>
      <c r="H406" s="76"/>
      <c r="I406" s="75"/>
      <c r="J406" s="75"/>
      <c r="K406" s="75"/>
      <c r="L406" s="75"/>
      <c r="M406" s="75"/>
      <c r="N406" s="77"/>
      <c r="O406" s="77"/>
      <c r="P406" s="78"/>
      <c r="T406" s="46"/>
      <c r="U406" s="46"/>
    </row>
    <row r="407" spans="1:21" ht="18.75" x14ac:dyDescent="0.3">
      <c r="B407" s="386" t="s">
        <v>19</v>
      </c>
      <c r="C407" s="387"/>
      <c r="D407" s="387"/>
      <c r="E407" s="80" t="e">
        <f>#REF!</f>
        <v>#REF!</v>
      </c>
      <c r="F407" s="160">
        <f>SUM(I407:O407)</f>
        <v>0</v>
      </c>
      <c r="G407" s="80">
        <v>0</v>
      </c>
      <c r="H407" s="80">
        <v>0</v>
      </c>
      <c r="I407" s="478">
        <v>0</v>
      </c>
      <c r="J407" s="479"/>
      <c r="K407" s="479"/>
      <c r="L407" s="479"/>
      <c r="M407" s="480"/>
      <c r="N407" s="80">
        <v>0</v>
      </c>
      <c r="O407" s="80">
        <v>0</v>
      </c>
      <c r="P407" s="81"/>
      <c r="T407" s="46"/>
      <c r="U407" s="46"/>
    </row>
    <row r="408" spans="1:21" ht="18.75" x14ac:dyDescent="0.3">
      <c r="B408" s="386" t="s">
        <v>21</v>
      </c>
      <c r="C408" s="387"/>
      <c r="D408" s="387"/>
      <c r="E408" s="80" t="e">
        <f>#REF!</f>
        <v>#REF!</v>
      </c>
      <c r="F408" s="160">
        <f>SUM(I408:O408)</f>
        <v>425618.27789999999</v>
      </c>
      <c r="G408" s="80">
        <f>150+19342+145735.24</f>
        <v>165227.24</v>
      </c>
      <c r="H408" s="80">
        <f>150+19342+145735.24</f>
        <v>165227.24</v>
      </c>
      <c r="I408" s="478">
        <v>95163.797900000005</v>
      </c>
      <c r="J408" s="479"/>
      <c r="K408" s="479"/>
      <c r="L408" s="479"/>
      <c r="M408" s="480"/>
      <c r="N408" s="80">
        <v>165227.24</v>
      </c>
      <c r="O408" s="80">
        <v>165227.24</v>
      </c>
      <c r="T408" s="46"/>
      <c r="U408" s="46"/>
    </row>
    <row r="409" spans="1:21" ht="18.75" x14ac:dyDescent="0.3">
      <c r="B409" s="383" t="s">
        <v>20</v>
      </c>
      <c r="C409" s="384"/>
      <c r="D409" s="384"/>
      <c r="E409" s="82" t="e">
        <f>SUM(E407:E408)</f>
        <v>#REF!</v>
      </c>
      <c r="F409" s="160">
        <f t="shared" ref="F409:O409" si="154">SUM(F407:F408)</f>
        <v>425618.27789999999</v>
      </c>
      <c r="G409" s="82">
        <f t="shared" ref="G409" si="155">SUM(G407:G408)</f>
        <v>165227.24</v>
      </c>
      <c r="H409" s="82">
        <f t="shared" si="154"/>
        <v>165227.24</v>
      </c>
      <c r="I409" s="475">
        <f t="shared" ref="I409" si="156">SUM(I407:I408)</f>
        <v>95163.797900000005</v>
      </c>
      <c r="J409" s="476"/>
      <c r="K409" s="476"/>
      <c r="L409" s="476"/>
      <c r="M409" s="477"/>
      <c r="N409" s="82">
        <f t="shared" si="154"/>
        <v>165227.24</v>
      </c>
      <c r="O409" s="82">
        <f t="shared" si="154"/>
        <v>165227.24</v>
      </c>
      <c r="T409" s="46"/>
      <c r="U409" s="46"/>
    </row>
    <row r="410" spans="1:21" ht="18.75" x14ac:dyDescent="0.3">
      <c r="B410" s="386" t="s">
        <v>61</v>
      </c>
      <c r="C410" s="387"/>
      <c r="D410" s="387"/>
      <c r="E410" s="80">
        <v>0</v>
      </c>
      <c r="F410" s="160">
        <f t="shared" ref="F410:F419" si="157">SUM(I410:O410)</f>
        <v>0</v>
      </c>
      <c r="G410" s="80">
        <v>0</v>
      </c>
      <c r="H410" s="80">
        <v>0</v>
      </c>
      <c r="I410" s="478">
        <v>0</v>
      </c>
      <c r="J410" s="479"/>
      <c r="K410" s="479"/>
      <c r="L410" s="479"/>
      <c r="M410" s="480"/>
      <c r="N410" s="80">
        <v>0</v>
      </c>
      <c r="O410" s="80">
        <v>0</v>
      </c>
      <c r="P410" s="83"/>
      <c r="T410" s="46"/>
      <c r="U410" s="46"/>
    </row>
    <row r="411" spans="1:21" ht="18.75" x14ac:dyDescent="0.3">
      <c r="B411" s="386" t="s">
        <v>62</v>
      </c>
      <c r="C411" s="387"/>
      <c r="D411" s="387"/>
      <c r="E411" s="80">
        <v>0</v>
      </c>
      <c r="F411" s="160">
        <f t="shared" si="157"/>
        <v>20700</v>
      </c>
      <c r="G411" s="80">
        <v>6900</v>
      </c>
      <c r="H411" s="80">
        <v>6900</v>
      </c>
      <c r="I411" s="478">
        <v>6900</v>
      </c>
      <c r="J411" s="479"/>
      <c r="K411" s="479"/>
      <c r="L411" s="479"/>
      <c r="M411" s="480"/>
      <c r="N411" s="80">
        <v>6900</v>
      </c>
      <c r="O411" s="80">
        <v>6900</v>
      </c>
      <c r="P411" s="83"/>
      <c r="T411" s="46"/>
      <c r="U411" s="46"/>
    </row>
    <row r="412" spans="1:21" ht="18.75" x14ac:dyDescent="0.3">
      <c r="B412" s="383" t="s">
        <v>63</v>
      </c>
      <c r="C412" s="384"/>
      <c r="D412" s="384"/>
      <c r="E412" s="82">
        <f>SUM(E410:E411)</f>
        <v>0</v>
      </c>
      <c r="F412" s="160">
        <f t="shared" si="157"/>
        <v>20700</v>
      </c>
      <c r="G412" s="82">
        <f>SUM(G410:G411)</f>
        <v>6900</v>
      </c>
      <c r="H412" s="82">
        <f>SUM(H410:H411)</f>
        <v>6900</v>
      </c>
      <c r="I412" s="475">
        <f>SUM(I410:I411)</f>
        <v>6900</v>
      </c>
      <c r="J412" s="476"/>
      <c r="K412" s="476"/>
      <c r="L412" s="476"/>
      <c r="M412" s="477"/>
      <c r="N412" s="82">
        <f>SUM(N410:N411)</f>
        <v>6900</v>
      </c>
      <c r="O412" s="82">
        <f>SUM(O410:O411)</f>
        <v>6900</v>
      </c>
      <c r="P412" s="83"/>
      <c r="T412" s="46"/>
      <c r="U412" s="46"/>
    </row>
    <row r="413" spans="1:21" ht="18.75" x14ac:dyDescent="0.3">
      <c r="B413" s="386" t="s">
        <v>43</v>
      </c>
      <c r="C413" s="387"/>
      <c r="D413" s="387"/>
      <c r="E413" s="80" t="e">
        <f>E399</f>
        <v>#REF!</v>
      </c>
      <c r="F413" s="160">
        <f t="shared" si="157"/>
        <v>1399754.87895</v>
      </c>
      <c r="G413" s="80">
        <f>G399</f>
        <v>397968.84916999994</v>
      </c>
      <c r="H413" s="80">
        <f>H399</f>
        <v>452366.90026000002</v>
      </c>
      <c r="I413" s="478">
        <f>I399</f>
        <v>483501.89039999997</v>
      </c>
      <c r="J413" s="479"/>
      <c r="K413" s="479"/>
      <c r="L413" s="479"/>
      <c r="M413" s="480"/>
      <c r="N413" s="80">
        <f>N399</f>
        <v>463826.77772000001</v>
      </c>
      <c r="O413" s="80">
        <f>O399</f>
        <v>452426.21083</v>
      </c>
      <c r="T413" s="46"/>
      <c r="U413" s="46"/>
    </row>
    <row r="414" spans="1:21" ht="18.75" x14ac:dyDescent="0.3">
      <c r="B414" s="386" t="s">
        <v>23</v>
      </c>
      <c r="C414" s="387"/>
      <c r="D414" s="387"/>
      <c r="E414" s="80" t="e">
        <f>E400-E407-E411</f>
        <v>#REF!</v>
      </c>
      <c r="F414" s="160">
        <f t="shared" si="157"/>
        <v>25273818.603000004</v>
      </c>
      <c r="G414" s="80">
        <f>G400-G407-G411</f>
        <v>7616366.1103000017</v>
      </c>
      <c r="H414" s="80">
        <f>H400-H407-H411</f>
        <v>7782974.7873100005</v>
      </c>
      <c r="I414" s="478">
        <f>I400-I407-I411</f>
        <v>8460959.6715500019</v>
      </c>
      <c r="J414" s="479"/>
      <c r="K414" s="479"/>
      <c r="L414" s="479"/>
      <c r="M414" s="480"/>
      <c r="N414" s="80">
        <f>N400-N407-N411</f>
        <v>8403809.2822799999</v>
      </c>
      <c r="O414" s="80">
        <f>O400-O407-O411</f>
        <v>8409049.6491700001</v>
      </c>
      <c r="T414" s="46"/>
      <c r="U414" s="46"/>
    </row>
    <row r="415" spans="1:21" ht="18.75" x14ac:dyDescent="0.3">
      <c r="B415" s="386" t="s">
        <v>22</v>
      </c>
      <c r="C415" s="387"/>
      <c r="D415" s="387"/>
      <c r="E415" s="80" t="e">
        <f>E401-E408-E410</f>
        <v>#REF!</v>
      </c>
      <c r="F415" s="160">
        <f t="shared" si="157"/>
        <v>13483017.987180002</v>
      </c>
      <c r="G415" s="80">
        <f>G401-G408-G410</f>
        <v>3580529.47872</v>
      </c>
      <c r="H415" s="80">
        <f>H401-H408-H410</f>
        <v>3575083.59827</v>
      </c>
      <c r="I415" s="478">
        <f>I401-I408-I410</f>
        <v>4802891.0187800005</v>
      </c>
      <c r="J415" s="479"/>
      <c r="K415" s="479"/>
      <c r="L415" s="479"/>
      <c r="M415" s="480"/>
      <c r="N415" s="80">
        <f>N401-N408-N410</f>
        <v>4340384.5492000002</v>
      </c>
      <c r="O415" s="80">
        <f>O401-O408-O410</f>
        <v>4339742.4192000004</v>
      </c>
      <c r="T415" s="46"/>
      <c r="U415" s="46"/>
    </row>
    <row r="416" spans="1:21" ht="18.75" x14ac:dyDescent="0.3">
      <c r="B416" s="386" t="s">
        <v>87</v>
      </c>
      <c r="C416" s="387"/>
      <c r="D416" s="390"/>
      <c r="E416" s="80"/>
      <c r="F416" s="160">
        <f t="shared" si="157"/>
        <v>1881266.7794400002</v>
      </c>
      <c r="G416" s="80">
        <f t="shared" ref="G416:H416" si="158">G417+G418</f>
        <v>493131.75868000003</v>
      </c>
      <c r="H416" s="80">
        <f t="shared" si="158"/>
        <v>649647.32850000006</v>
      </c>
      <c r="I416" s="478">
        <f>I417+I418</f>
        <v>627088.92648000002</v>
      </c>
      <c r="J416" s="479"/>
      <c r="K416" s="479"/>
      <c r="L416" s="479"/>
      <c r="M416" s="480"/>
      <c r="N416" s="80">
        <f t="shared" ref="N416:O416" si="159">N417+N418</f>
        <v>627088.92648000002</v>
      </c>
      <c r="O416" s="80">
        <f t="shared" si="159"/>
        <v>627088.92648000002</v>
      </c>
      <c r="T416" s="46"/>
      <c r="U416" s="46"/>
    </row>
    <row r="417" spans="2:21" ht="18.75" x14ac:dyDescent="0.3">
      <c r="B417" s="386" t="s">
        <v>88</v>
      </c>
      <c r="C417" s="387"/>
      <c r="D417" s="387"/>
      <c r="E417" s="80">
        <f>E404</f>
        <v>262352.43170000002</v>
      </c>
      <c r="F417" s="160">
        <f t="shared" si="157"/>
        <v>1807105.3274399999</v>
      </c>
      <c r="G417" s="80">
        <f t="shared" ref="G417:H418" si="160">G404</f>
        <v>469940.35668000003</v>
      </c>
      <c r="H417" s="80">
        <f t="shared" si="160"/>
        <v>625121.01850000001</v>
      </c>
      <c r="I417" s="478">
        <f>I404</f>
        <v>602368.44247999997</v>
      </c>
      <c r="J417" s="479"/>
      <c r="K417" s="479"/>
      <c r="L417" s="479"/>
      <c r="M417" s="480"/>
      <c r="N417" s="80">
        <f t="shared" ref="N417:O418" si="161">N404</f>
        <v>602368.44247999997</v>
      </c>
      <c r="O417" s="80">
        <f t="shared" si="161"/>
        <v>602368.44247999997</v>
      </c>
      <c r="T417" s="46"/>
      <c r="U417" s="46"/>
    </row>
    <row r="418" spans="2:21" ht="18.75" x14ac:dyDescent="0.3">
      <c r="B418" s="386" t="s">
        <v>89</v>
      </c>
      <c r="C418" s="387"/>
      <c r="D418" s="387"/>
      <c r="E418" s="80">
        <f>E405</f>
        <v>8751.5480000000007</v>
      </c>
      <c r="F418" s="160">
        <f t="shared" si="157"/>
        <v>74161.452000000005</v>
      </c>
      <c r="G418" s="80">
        <f t="shared" si="160"/>
        <v>23191.402000000002</v>
      </c>
      <c r="H418" s="80">
        <f t="shared" si="160"/>
        <v>24526.31</v>
      </c>
      <c r="I418" s="478">
        <f>I405</f>
        <v>24720.484</v>
      </c>
      <c r="J418" s="479"/>
      <c r="K418" s="479"/>
      <c r="L418" s="479"/>
      <c r="M418" s="480"/>
      <c r="N418" s="80">
        <f t="shared" si="161"/>
        <v>24720.484</v>
      </c>
      <c r="O418" s="80">
        <f t="shared" si="161"/>
        <v>24720.484</v>
      </c>
      <c r="T418" s="46"/>
      <c r="U418" s="46"/>
    </row>
    <row r="419" spans="2:21" ht="18.75" x14ac:dyDescent="0.3">
      <c r="B419" s="383" t="s">
        <v>24</v>
      </c>
      <c r="C419" s="384"/>
      <c r="D419" s="384"/>
      <c r="E419" s="82" t="e">
        <f t="shared" ref="E419" si="162">SUM(E413:E418)</f>
        <v>#REF!</v>
      </c>
      <c r="F419" s="160">
        <f t="shared" si="157"/>
        <v>42037858.248570003</v>
      </c>
      <c r="G419" s="82">
        <f t="shared" ref="G419:H419" si="163">G413+G414+G415+G416</f>
        <v>12087996.196870003</v>
      </c>
      <c r="H419" s="82">
        <f t="shared" si="163"/>
        <v>12460072.614340002</v>
      </c>
      <c r="I419" s="475">
        <f>I413+I414+I415+I416</f>
        <v>14374441.507210003</v>
      </c>
      <c r="J419" s="476"/>
      <c r="K419" s="476"/>
      <c r="L419" s="476"/>
      <c r="M419" s="477"/>
      <c r="N419" s="82">
        <f t="shared" ref="N419:O419" si="164">N413+N414+N415+N416</f>
        <v>13835109.535680002</v>
      </c>
      <c r="O419" s="82">
        <f t="shared" si="164"/>
        <v>13828307.20568</v>
      </c>
      <c r="T419" s="46"/>
      <c r="U419" s="46"/>
    </row>
    <row r="420" spans="2:21" x14ac:dyDescent="0.3">
      <c r="F420" s="161"/>
    </row>
    <row r="421" spans="2:21" x14ac:dyDescent="0.3">
      <c r="F421" s="162"/>
      <c r="G421" s="81"/>
      <c r="H421" s="81"/>
      <c r="I421" s="81"/>
      <c r="J421" s="81"/>
      <c r="K421" s="81"/>
      <c r="L421" s="81"/>
      <c r="M421" s="81"/>
      <c r="N421" s="81"/>
      <c r="O421" s="81"/>
    </row>
    <row r="422" spans="2:21" x14ac:dyDescent="0.3">
      <c r="G422" s="85"/>
      <c r="H422" s="85"/>
      <c r="N422" s="87"/>
      <c r="O422" s="87"/>
    </row>
    <row r="423" spans="2:21" x14ac:dyDescent="0.3">
      <c r="G423" s="85"/>
      <c r="H423" s="85"/>
      <c r="I423" s="81"/>
      <c r="J423" s="81"/>
      <c r="K423" s="81"/>
      <c r="L423" s="81"/>
      <c r="M423" s="81"/>
    </row>
    <row r="424" spans="2:21" x14ac:dyDescent="0.3">
      <c r="G424" s="85"/>
      <c r="H424" s="85"/>
    </row>
    <row r="425" spans="2:21" x14ac:dyDescent="0.3">
      <c r="G425" s="86"/>
      <c r="H425" s="86"/>
      <c r="N425" s="86"/>
    </row>
    <row r="426" spans="2:21" x14ac:dyDescent="0.3">
      <c r="G426" s="86"/>
      <c r="H426" s="86"/>
    </row>
    <row r="428" spans="2:21" x14ac:dyDescent="0.3">
      <c r="G428" s="88"/>
      <c r="H428" s="88"/>
    </row>
    <row r="429" spans="2:21" x14ac:dyDescent="0.3">
      <c r="G429" s="88"/>
      <c r="H429" s="88"/>
    </row>
    <row r="430" spans="2:21" x14ac:dyDescent="0.3">
      <c r="G430" s="88"/>
      <c r="H430" s="88"/>
    </row>
  </sheetData>
  <mergeCells count="849">
    <mergeCell ref="B171:B173"/>
    <mergeCell ref="C171:C173"/>
    <mergeCell ref="D171:D173"/>
    <mergeCell ref="F171:F172"/>
    <mergeCell ref="I171:I172"/>
    <mergeCell ref="J171:M171"/>
    <mergeCell ref="P171:P173"/>
    <mergeCell ref="J288:M288"/>
    <mergeCell ref="B388:B390"/>
    <mergeCell ref="C388:C390"/>
    <mergeCell ref="D388:D390"/>
    <mergeCell ref="F388:F389"/>
    <mergeCell ref="I388:I389"/>
    <mergeCell ref="J388:M388"/>
    <mergeCell ref="P388:P390"/>
    <mergeCell ref="B381:B383"/>
    <mergeCell ref="C381:C383"/>
    <mergeCell ref="D381:D383"/>
    <mergeCell ref="F381:F382"/>
    <mergeCell ref="P381:P383"/>
    <mergeCell ref="P384:P387"/>
    <mergeCell ref="I385:M385"/>
    <mergeCell ref="I386:M386"/>
    <mergeCell ref="I387:M387"/>
    <mergeCell ref="I291:M291"/>
    <mergeCell ref="P377:P380"/>
    <mergeCell ref="I378:M378"/>
    <mergeCell ref="I379:M379"/>
    <mergeCell ref="I380:M380"/>
    <mergeCell ref="P360:P364"/>
    <mergeCell ref="I311:M311"/>
    <mergeCell ref="P315:P318"/>
    <mergeCell ref="I315:M315"/>
    <mergeCell ref="I314:M314"/>
    <mergeCell ref="I313:M313"/>
    <mergeCell ref="I312:M312"/>
    <mergeCell ref="P372:P376"/>
    <mergeCell ref="I373:M373"/>
    <mergeCell ref="I376:M376"/>
    <mergeCell ref="P322:P326"/>
    <mergeCell ref="I316:M316"/>
    <mergeCell ref="I319:I320"/>
    <mergeCell ref="I322:M322"/>
    <mergeCell ref="I368:M368"/>
    <mergeCell ref="I352:M352"/>
    <mergeCell ref="I345:I346"/>
    <mergeCell ref="J338:M338"/>
    <mergeCell ref="I344:M344"/>
    <mergeCell ref="J331:M331"/>
    <mergeCell ref="P338:P340"/>
    <mergeCell ref="P331:P333"/>
    <mergeCell ref="I330:M330"/>
    <mergeCell ref="P345:P347"/>
    <mergeCell ref="I334:M334"/>
    <mergeCell ref="P334:P337"/>
    <mergeCell ref="B369:B371"/>
    <mergeCell ref="C369:C371"/>
    <mergeCell ref="D369:D371"/>
    <mergeCell ref="F369:F370"/>
    <mergeCell ref="I369:I370"/>
    <mergeCell ref="J369:M369"/>
    <mergeCell ref="P369:P371"/>
    <mergeCell ref="P295:P297"/>
    <mergeCell ref="I318:M318"/>
    <mergeCell ref="P341:P344"/>
    <mergeCell ref="I327:M327"/>
    <mergeCell ref="P357:P359"/>
    <mergeCell ref="P348:P352"/>
    <mergeCell ref="I351:M351"/>
    <mergeCell ref="F357:F358"/>
    <mergeCell ref="I348:M348"/>
    <mergeCell ref="I349:M349"/>
    <mergeCell ref="I350:M350"/>
    <mergeCell ref="D357:D359"/>
    <mergeCell ref="P353:P356"/>
    <mergeCell ref="I357:I358"/>
    <mergeCell ref="J357:M357"/>
    <mergeCell ref="I356:M356"/>
    <mergeCell ref="I355:M355"/>
    <mergeCell ref="P284:P287"/>
    <mergeCell ref="P253:P256"/>
    <mergeCell ref="P307:P309"/>
    <mergeCell ref="P303:P306"/>
    <mergeCell ref="P274:P276"/>
    <mergeCell ref="P263:P266"/>
    <mergeCell ref="I293:M293"/>
    <mergeCell ref="I294:M294"/>
    <mergeCell ref="P288:P290"/>
    <mergeCell ref="P291:P294"/>
    <mergeCell ref="I295:I296"/>
    <mergeCell ref="I292:M292"/>
    <mergeCell ref="I284:M284"/>
    <mergeCell ref="I307:I308"/>
    <mergeCell ref="I305:M305"/>
    <mergeCell ref="I300:M300"/>
    <mergeCell ref="J295:M295"/>
    <mergeCell ref="I273:M273"/>
    <mergeCell ref="I280:M280"/>
    <mergeCell ref="I288:I289"/>
    <mergeCell ref="I287:M287"/>
    <mergeCell ref="I286:M286"/>
    <mergeCell ref="I277:M277"/>
    <mergeCell ref="I285:M285"/>
    <mergeCell ref="P229:P232"/>
    <mergeCell ref="I228:M228"/>
    <mergeCell ref="P221:P223"/>
    <mergeCell ref="P214:P216"/>
    <mergeCell ref="P236:P240"/>
    <mergeCell ref="J245:M245"/>
    <mergeCell ref="I207:M207"/>
    <mergeCell ref="P210:P213"/>
    <mergeCell ref="I213:M213"/>
    <mergeCell ref="I224:M224"/>
    <mergeCell ref="I217:M217"/>
    <mergeCell ref="P217:P220"/>
    <mergeCell ref="I208:M208"/>
    <mergeCell ref="P205:P209"/>
    <mergeCell ref="P245:P247"/>
    <mergeCell ref="P241:P244"/>
    <mergeCell ref="J214:M214"/>
    <mergeCell ref="I212:M212"/>
    <mergeCell ref="I211:M211"/>
    <mergeCell ref="I210:M210"/>
    <mergeCell ref="I206:M206"/>
    <mergeCell ref="P224:P228"/>
    <mergeCell ref="P233:P235"/>
    <mergeCell ref="I225:M225"/>
    <mergeCell ref="A391:A397"/>
    <mergeCell ref="B391:B394"/>
    <mergeCell ref="C391:C394"/>
    <mergeCell ref="I391:M391"/>
    <mergeCell ref="P391:P394"/>
    <mergeCell ref="I392:M392"/>
    <mergeCell ref="I393:M393"/>
    <mergeCell ref="I394:M394"/>
    <mergeCell ref="B395:B397"/>
    <mergeCell ref="C395:C397"/>
    <mergeCell ref="D395:D397"/>
    <mergeCell ref="F395:F396"/>
    <mergeCell ref="I395:I396"/>
    <mergeCell ref="J395:M395"/>
    <mergeCell ref="P395:P397"/>
    <mergeCell ref="A365:A371"/>
    <mergeCell ref="B365:B368"/>
    <mergeCell ref="C365:C368"/>
    <mergeCell ref="I365:M365"/>
    <mergeCell ref="P365:P368"/>
    <mergeCell ref="I366:M366"/>
    <mergeCell ref="I367:M367"/>
    <mergeCell ref="J307:M307"/>
    <mergeCell ref="I299:M299"/>
    <mergeCell ref="I317:M317"/>
    <mergeCell ref="I306:M306"/>
    <mergeCell ref="I304:M304"/>
    <mergeCell ref="J345:M345"/>
    <mergeCell ref="I335:M335"/>
    <mergeCell ref="I336:M336"/>
    <mergeCell ref="I337:M337"/>
    <mergeCell ref="I363:M363"/>
    <mergeCell ref="I364:M364"/>
    <mergeCell ref="P327:P330"/>
    <mergeCell ref="P319:P321"/>
    <mergeCell ref="I324:M324"/>
    <mergeCell ref="I323:M323"/>
    <mergeCell ref="D331:D333"/>
    <mergeCell ref="C322:C326"/>
    <mergeCell ref="I264:M264"/>
    <mergeCell ref="I270:M270"/>
    <mergeCell ref="I253:M253"/>
    <mergeCell ref="I272:M272"/>
    <mergeCell ref="P248:P252"/>
    <mergeCell ref="I266:M266"/>
    <mergeCell ref="I256:M256"/>
    <mergeCell ref="I255:M255"/>
    <mergeCell ref="I252:M252"/>
    <mergeCell ref="I248:M248"/>
    <mergeCell ref="I249:M249"/>
    <mergeCell ref="I254:M254"/>
    <mergeCell ref="I257:I258"/>
    <mergeCell ref="J257:M257"/>
    <mergeCell ref="I265:M265"/>
    <mergeCell ref="P257:P259"/>
    <mergeCell ref="J274:M274"/>
    <mergeCell ref="P127:P130"/>
    <mergeCell ref="I128:M128"/>
    <mergeCell ref="I129:M129"/>
    <mergeCell ref="I130:M130"/>
    <mergeCell ref="B131:B133"/>
    <mergeCell ref="C131:C133"/>
    <mergeCell ref="D131:D133"/>
    <mergeCell ref="F131:F132"/>
    <mergeCell ref="I131:I132"/>
    <mergeCell ref="J131:M131"/>
    <mergeCell ref="P131:P133"/>
    <mergeCell ref="F138:F139"/>
    <mergeCell ref="I138:I139"/>
    <mergeCell ref="J138:M138"/>
    <mergeCell ref="I168:M168"/>
    <mergeCell ref="I150:M150"/>
    <mergeCell ref="I155:M155"/>
    <mergeCell ref="P181:P183"/>
    <mergeCell ref="F181:F182"/>
    <mergeCell ref="F174:F175"/>
    <mergeCell ref="I180:M180"/>
    <mergeCell ref="C202:C204"/>
    <mergeCell ref="C210:C213"/>
    <mergeCell ref="P120:P123"/>
    <mergeCell ref="I145:I146"/>
    <mergeCell ref="P134:P137"/>
    <mergeCell ref="P138:P140"/>
    <mergeCell ref="I178:M178"/>
    <mergeCell ref="I179:M179"/>
    <mergeCell ref="I156:M156"/>
    <mergeCell ref="I152:M152"/>
    <mergeCell ref="I149:M149"/>
    <mergeCell ref="P153:P156"/>
    <mergeCell ref="P157:P159"/>
    <mergeCell ref="P174:P176"/>
    <mergeCell ref="I170:M170"/>
    <mergeCell ref="I157:I158"/>
    <mergeCell ref="I154:M154"/>
    <mergeCell ref="I144:M144"/>
    <mergeCell ref="I134:M134"/>
    <mergeCell ref="J145:M145"/>
    <mergeCell ref="I121:M121"/>
    <mergeCell ref="I122:M122"/>
    <mergeCell ref="I123:M123"/>
    <mergeCell ref="I124:I125"/>
    <mergeCell ref="J124:M124"/>
    <mergeCell ref="I137:M137"/>
    <mergeCell ref="B188:B190"/>
    <mergeCell ref="B181:B183"/>
    <mergeCell ref="B198:B201"/>
    <mergeCell ref="B202:B204"/>
    <mergeCell ref="B184:B187"/>
    <mergeCell ref="B191:B194"/>
    <mergeCell ref="C195:C197"/>
    <mergeCell ref="C205:C209"/>
    <mergeCell ref="B205:B209"/>
    <mergeCell ref="C191:C194"/>
    <mergeCell ref="C184:C187"/>
    <mergeCell ref="P188:P190"/>
    <mergeCell ref="I202:I203"/>
    <mergeCell ref="P160:P163"/>
    <mergeCell ref="I167:M167"/>
    <mergeCell ref="I177:M177"/>
    <mergeCell ref="I174:I175"/>
    <mergeCell ref="J174:M174"/>
    <mergeCell ref="P164:P166"/>
    <mergeCell ref="P195:P197"/>
    <mergeCell ref="P184:P187"/>
    <mergeCell ref="P177:P180"/>
    <mergeCell ref="P198:P201"/>
    <mergeCell ref="P191:P194"/>
    <mergeCell ref="P202:P204"/>
    <mergeCell ref="I194:M194"/>
    <mergeCell ref="J202:M202"/>
    <mergeCell ref="I186:M186"/>
    <mergeCell ref="I185:M185"/>
    <mergeCell ref="I184:M184"/>
    <mergeCell ref="I162:M162"/>
    <mergeCell ref="P167:P170"/>
    <mergeCell ref="J181:M181"/>
    <mergeCell ref="I187:M187"/>
    <mergeCell ref="I169:M169"/>
    <mergeCell ref="P110:P112"/>
    <mergeCell ref="P106:P109"/>
    <mergeCell ref="I113:M113"/>
    <mergeCell ref="I115:M115"/>
    <mergeCell ref="I114:M114"/>
    <mergeCell ref="P117:P119"/>
    <mergeCell ref="P103:P105"/>
    <mergeCell ref="I109:M109"/>
    <mergeCell ref="I108:M108"/>
    <mergeCell ref="I110:I111"/>
    <mergeCell ref="P113:P116"/>
    <mergeCell ref="I117:I118"/>
    <mergeCell ref="J117:M117"/>
    <mergeCell ref="J110:M110"/>
    <mergeCell ref="I107:M107"/>
    <mergeCell ref="I106:M106"/>
    <mergeCell ref="I419:M419"/>
    <mergeCell ref="I418:M418"/>
    <mergeCell ref="I417:M417"/>
    <mergeCell ref="I416:M416"/>
    <mergeCell ref="I415:M415"/>
    <mergeCell ref="I414:M414"/>
    <mergeCell ref="I413:M413"/>
    <mergeCell ref="I412:M412"/>
    <mergeCell ref="I398:M398"/>
    <mergeCell ref="I399:M399"/>
    <mergeCell ref="I400:M400"/>
    <mergeCell ref="I401:M401"/>
    <mergeCell ref="I402:M402"/>
    <mergeCell ref="I403:M403"/>
    <mergeCell ref="I404:M404"/>
    <mergeCell ref="I405:M405"/>
    <mergeCell ref="I411:M411"/>
    <mergeCell ref="I408:M408"/>
    <mergeCell ref="I407:M407"/>
    <mergeCell ref="I410:M410"/>
    <mergeCell ref="I409:M409"/>
    <mergeCell ref="A398:D398"/>
    <mergeCell ref="A399:D399"/>
    <mergeCell ref="A353:A359"/>
    <mergeCell ref="B357:B359"/>
    <mergeCell ref="I353:M353"/>
    <mergeCell ref="I354:M354"/>
    <mergeCell ref="C353:C356"/>
    <mergeCell ref="C357:C359"/>
    <mergeCell ref="A372:A376"/>
    <mergeCell ref="B372:B376"/>
    <mergeCell ref="C372:C376"/>
    <mergeCell ref="I372:M372"/>
    <mergeCell ref="I377:M377"/>
    <mergeCell ref="B353:B356"/>
    <mergeCell ref="I381:I382"/>
    <mergeCell ref="J381:M381"/>
    <mergeCell ref="B377:B380"/>
    <mergeCell ref="C377:C380"/>
    <mergeCell ref="A377:A383"/>
    <mergeCell ref="B360:B364"/>
    <mergeCell ref="C360:C364"/>
    <mergeCell ref="I360:M360"/>
    <mergeCell ref="I374:M374"/>
    <mergeCell ref="I375:M375"/>
    <mergeCell ref="A384:A390"/>
    <mergeCell ref="B384:B387"/>
    <mergeCell ref="C384:C387"/>
    <mergeCell ref="I384:M384"/>
    <mergeCell ref="D345:D347"/>
    <mergeCell ref="F345:F346"/>
    <mergeCell ref="D257:D259"/>
    <mergeCell ref="D267:D269"/>
    <mergeCell ref="C295:C297"/>
    <mergeCell ref="D295:D297"/>
    <mergeCell ref="C319:C321"/>
    <mergeCell ref="D319:D321"/>
    <mergeCell ref="F338:F339"/>
    <mergeCell ref="D338:D340"/>
    <mergeCell ref="F331:F332"/>
    <mergeCell ref="C291:C294"/>
    <mergeCell ref="F257:F258"/>
    <mergeCell ref="F295:F296"/>
    <mergeCell ref="F319:F320"/>
    <mergeCell ref="I281:I282"/>
    <mergeCell ref="I361:M361"/>
    <mergeCell ref="I362:M362"/>
    <mergeCell ref="A360:A364"/>
    <mergeCell ref="C348:C352"/>
    <mergeCell ref="D260:D262"/>
    <mergeCell ref="D274:D276"/>
    <mergeCell ref="D281:D283"/>
    <mergeCell ref="C310:C314"/>
    <mergeCell ref="C284:C287"/>
    <mergeCell ref="C303:C306"/>
    <mergeCell ref="D307:D309"/>
    <mergeCell ref="F267:F268"/>
    <mergeCell ref="C307:C309"/>
    <mergeCell ref="F288:F289"/>
    <mergeCell ref="F260:F261"/>
    <mergeCell ref="F281:F282"/>
    <mergeCell ref="I338:I339"/>
    <mergeCell ref="I343:M343"/>
    <mergeCell ref="I342:M342"/>
    <mergeCell ref="I329:M329"/>
    <mergeCell ref="I331:I332"/>
    <mergeCell ref="I341:M341"/>
    <mergeCell ref="P260:P262"/>
    <mergeCell ref="P281:P283"/>
    <mergeCell ref="P277:P280"/>
    <mergeCell ref="P267:P269"/>
    <mergeCell ref="P270:P273"/>
    <mergeCell ref="I263:M263"/>
    <mergeCell ref="I260:I261"/>
    <mergeCell ref="J260:M260"/>
    <mergeCell ref="I278:M278"/>
    <mergeCell ref="I274:I275"/>
    <mergeCell ref="I267:I268"/>
    <mergeCell ref="J267:M267"/>
    <mergeCell ref="I279:M279"/>
    <mergeCell ref="I271:M271"/>
    <mergeCell ref="J281:M281"/>
    <mergeCell ref="I298:M298"/>
    <mergeCell ref="P298:P302"/>
    <mergeCell ref="I303:M303"/>
    <mergeCell ref="P310:P314"/>
    <mergeCell ref="J319:M319"/>
    <mergeCell ref="I310:M310"/>
    <mergeCell ref="P28:P30"/>
    <mergeCell ref="I45:M45"/>
    <mergeCell ref="I41:M41"/>
    <mergeCell ref="C86:C88"/>
    <mergeCell ref="D56:D58"/>
    <mergeCell ref="I328:M328"/>
    <mergeCell ref="I325:M325"/>
    <mergeCell ref="I326:M326"/>
    <mergeCell ref="I301:M301"/>
    <mergeCell ref="I302:M302"/>
    <mergeCell ref="C260:C262"/>
    <mergeCell ref="F274:F275"/>
    <mergeCell ref="C263:C266"/>
    <mergeCell ref="D288:D290"/>
    <mergeCell ref="C274:C276"/>
    <mergeCell ref="C277:C280"/>
    <mergeCell ref="C315:C318"/>
    <mergeCell ref="C270:C273"/>
    <mergeCell ref="F307:F308"/>
    <mergeCell ref="C267:C269"/>
    <mergeCell ref="C298:C302"/>
    <mergeCell ref="P49:P51"/>
    <mergeCell ref="I100:M100"/>
    <mergeCell ref="I101:M101"/>
    <mergeCell ref="I102:M102"/>
    <mergeCell ref="P56:P58"/>
    <mergeCell ref="I59:M59"/>
    <mergeCell ref="I52:M52"/>
    <mergeCell ref="P93:P95"/>
    <mergeCell ref="P63:P65"/>
    <mergeCell ref="I53:M53"/>
    <mergeCell ref="J56:M56"/>
    <mergeCell ref="I80:M80"/>
    <mergeCell ref="P96:P102"/>
    <mergeCell ref="I90:M90"/>
    <mergeCell ref="I84:M84"/>
    <mergeCell ref="C42:C44"/>
    <mergeCell ref="D42:D44"/>
    <mergeCell ref="F42:F43"/>
    <mergeCell ref="I42:I43"/>
    <mergeCell ref="J42:M42"/>
    <mergeCell ref="P42:P44"/>
    <mergeCell ref="I48:M48"/>
    <mergeCell ref="I47:M47"/>
    <mergeCell ref="P45:P48"/>
    <mergeCell ref="E6:M6"/>
    <mergeCell ref="C24:C27"/>
    <mergeCell ref="B24:B27"/>
    <mergeCell ref="P24:P27"/>
    <mergeCell ref="P11:P13"/>
    <mergeCell ref="B11:B13"/>
    <mergeCell ref="N6:P6"/>
    <mergeCell ref="B9:O9"/>
    <mergeCell ref="I18:M18"/>
    <mergeCell ref="E11:E13"/>
    <mergeCell ref="P16:P23"/>
    <mergeCell ref="I13:M13"/>
    <mergeCell ref="I21:M21"/>
    <mergeCell ref="I17:M17"/>
    <mergeCell ref="I16:M16"/>
    <mergeCell ref="I14:M14"/>
    <mergeCell ref="I23:M23"/>
    <mergeCell ref="I22:M22"/>
    <mergeCell ref="A15:P15"/>
    <mergeCell ref="C11:C13"/>
    <mergeCell ref="I20:M20"/>
    <mergeCell ref="I19:M19"/>
    <mergeCell ref="A11:A13"/>
    <mergeCell ref="F11:F13"/>
    <mergeCell ref="A16:A23"/>
    <mergeCell ref="B16:B23"/>
    <mergeCell ref="C16:C23"/>
    <mergeCell ref="A24:A30"/>
    <mergeCell ref="F28:F29"/>
    <mergeCell ref="I28:I29"/>
    <mergeCell ref="I25:M25"/>
    <mergeCell ref="I24:M24"/>
    <mergeCell ref="I27:M27"/>
    <mergeCell ref="C28:C30"/>
    <mergeCell ref="D28:D30"/>
    <mergeCell ref="B28:B30"/>
    <mergeCell ref="D11:D13"/>
    <mergeCell ref="B35:B37"/>
    <mergeCell ref="C35:C37"/>
    <mergeCell ref="F35:F36"/>
    <mergeCell ref="C174:C176"/>
    <mergeCell ref="D174:D176"/>
    <mergeCell ref="D164:D166"/>
    <mergeCell ref="B134:B137"/>
    <mergeCell ref="C134:C137"/>
    <mergeCell ref="F157:F158"/>
    <mergeCell ref="F164:F165"/>
    <mergeCell ref="C141:C144"/>
    <mergeCell ref="B145:B147"/>
    <mergeCell ref="C145:C147"/>
    <mergeCell ref="B77:B79"/>
    <mergeCell ref="C77:C79"/>
    <mergeCell ref="F110:F111"/>
    <mergeCell ref="C153:C156"/>
    <mergeCell ref="C124:C126"/>
    <mergeCell ref="D124:D126"/>
    <mergeCell ref="B141:B144"/>
    <mergeCell ref="B86:B88"/>
    <mergeCell ref="D86:D88"/>
    <mergeCell ref="C56:C58"/>
    <mergeCell ref="P35:P37"/>
    <mergeCell ref="P86:P88"/>
    <mergeCell ref="P80:P85"/>
    <mergeCell ref="I55:M55"/>
    <mergeCell ref="I54:M54"/>
    <mergeCell ref="P73:P76"/>
    <mergeCell ref="I74:M74"/>
    <mergeCell ref="I75:M75"/>
    <mergeCell ref="I76:M76"/>
    <mergeCell ref="I40:M40"/>
    <mergeCell ref="I38:M38"/>
    <mergeCell ref="I49:I50"/>
    <mergeCell ref="J49:M49"/>
    <mergeCell ref="I61:M61"/>
    <mergeCell ref="I77:I78"/>
    <mergeCell ref="J77:M77"/>
    <mergeCell ref="P38:P41"/>
    <mergeCell ref="I39:M39"/>
    <mergeCell ref="P70:P72"/>
    <mergeCell ref="I70:I71"/>
    <mergeCell ref="J70:M70"/>
    <mergeCell ref="I56:I57"/>
    <mergeCell ref="P66:P69"/>
    <mergeCell ref="I85:M85"/>
    <mergeCell ref="P31:P34"/>
    <mergeCell ref="D35:D37"/>
    <mergeCell ref="I35:I36"/>
    <mergeCell ref="J35:M35"/>
    <mergeCell ref="I33:M33"/>
    <mergeCell ref="I34:M34"/>
    <mergeCell ref="P145:P147"/>
    <mergeCell ref="P148:P152"/>
    <mergeCell ref="P124:P126"/>
    <mergeCell ref="I141:M141"/>
    <mergeCell ref="P141:P144"/>
    <mergeCell ref="I142:M142"/>
    <mergeCell ref="I143:M143"/>
    <mergeCell ref="P52:P55"/>
    <mergeCell ref="I67:M67"/>
    <mergeCell ref="I68:M68"/>
    <mergeCell ref="I69:M69"/>
    <mergeCell ref="I63:I64"/>
    <mergeCell ref="J63:M63"/>
    <mergeCell ref="I66:M66"/>
    <mergeCell ref="P59:P62"/>
    <mergeCell ref="I86:I87"/>
    <mergeCell ref="J86:M86"/>
    <mergeCell ref="P89:P92"/>
    <mergeCell ref="A31:A34"/>
    <mergeCell ref="B66:B69"/>
    <mergeCell ref="B31:B34"/>
    <mergeCell ref="C38:C41"/>
    <mergeCell ref="B42:B44"/>
    <mergeCell ref="D49:D51"/>
    <mergeCell ref="C63:C65"/>
    <mergeCell ref="B174:B176"/>
    <mergeCell ref="B177:B180"/>
    <mergeCell ref="A35:A37"/>
    <mergeCell ref="A45:A51"/>
    <mergeCell ref="B38:B41"/>
    <mergeCell ref="C52:C55"/>
    <mergeCell ref="A38:A44"/>
    <mergeCell ref="C45:C48"/>
    <mergeCell ref="C49:C51"/>
    <mergeCell ref="A59:A65"/>
    <mergeCell ref="A89:A95"/>
    <mergeCell ref="B52:B55"/>
    <mergeCell ref="A177:A183"/>
    <mergeCell ref="A96:A105"/>
    <mergeCell ref="C31:C34"/>
    <mergeCell ref="D157:D159"/>
    <mergeCell ref="C148:C152"/>
    <mergeCell ref="B164:B166"/>
    <mergeCell ref="B167:B170"/>
    <mergeCell ref="D181:D183"/>
    <mergeCell ref="C160:C163"/>
    <mergeCell ref="B56:B58"/>
    <mergeCell ref="C66:C69"/>
    <mergeCell ref="B93:B95"/>
    <mergeCell ref="C93:C95"/>
    <mergeCell ref="D103:D105"/>
    <mergeCell ref="D77:D79"/>
    <mergeCell ref="C157:C159"/>
    <mergeCell ref="B63:B65"/>
    <mergeCell ref="B120:B123"/>
    <mergeCell ref="C120:C123"/>
    <mergeCell ref="B138:B140"/>
    <mergeCell ref="C138:C140"/>
    <mergeCell ref="D138:D140"/>
    <mergeCell ref="B124:B126"/>
    <mergeCell ref="C80:C85"/>
    <mergeCell ref="C110:C112"/>
    <mergeCell ref="C181:C183"/>
    <mergeCell ref="B127:B130"/>
    <mergeCell ref="C127:C130"/>
    <mergeCell ref="D63:D65"/>
    <mergeCell ref="C224:C228"/>
    <mergeCell ref="C257:C259"/>
    <mergeCell ref="A210:A216"/>
    <mergeCell ref="A263:A269"/>
    <mergeCell ref="B241:B244"/>
    <mergeCell ref="B245:B247"/>
    <mergeCell ref="B236:B240"/>
    <mergeCell ref="B248:B252"/>
    <mergeCell ref="A241:A247"/>
    <mergeCell ref="B224:B228"/>
    <mergeCell ref="A224:A228"/>
    <mergeCell ref="A236:A240"/>
    <mergeCell ref="B217:B220"/>
    <mergeCell ref="C214:C216"/>
    <mergeCell ref="C217:C220"/>
    <mergeCell ref="B210:B213"/>
    <mergeCell ref="B214:B216"/>
    <mergeCell ref="C229:C232"/>
    <mergeCell ref="C253:C256"/>
    <mergeCell ref="C221:C223"/>
    <mergeCell ref="B291:B294"/>
    <mergeCell ref="B288:B290"/>
    <mergeCell ref="B303:B306"/>
    <mergeCell ref="B307:B309"/>
    <mergeCell ref="D195:D197"/>
    <mergeCell ref="C281:C283"/>
    <mergeCell ref="C288:C290"/>
    <mergeCell ref="C233:C235"/>
    <mergeCell ref="A198:A204"/>
    <mergeCell ref="A217:A220"/>
    <mergeCell ref="A221:A223"/>
    <mergeCell ref="B257:B259"/>
    <mergeCell ref="B253:B256"/>
    <mergeCell ref="A248:A252"/>
    <mergeCell ref="B221:B223"/>
    <mergeCell ref="B267:B269"/>
    <mergeCell ref="B229:B232"/>
    <mergeCell ref="B233:B235"/>
    <mergeCell ref="B263:B266"/>
    <mergeCell ref="A229:A235"/>
    <mergeCell ref="A270:A276"/>
    <mergeCell ref="A277:A283"/>
    <mergeCell ref="A253:A262"/>
    <mergeCell ref="B260:B262"/>
    <mergeCell ref="C327:C330"/>
    <mergeCell ref="A348:A352"/>
    <mergeCell ref="B334:B337"/>
    <mergeCell ref="B331:B333"/>
    <mergeCell ref="B338:B340"/>
    <mergeCell ref="A334:A340"/>
    <mergeCell ref="B348:B352"/>
    <mergeCell ref="A327:A333"/>
    <mergeCell ref="C338:C340"/>
    <mergeCell ref="C341:C344"/>
    <mergeCell ref="C334:C337"/>
    <mergeCell ref="B345:B347"/>
    <mergeCell ref="B327:B330"/>
    <mergeCell ref="B341:B344"/>
    <mergeCell ref="A341:A347"/>
    <mergeCell ref="C345:C347"/>
    <mergeCell ref="C331:C333"/>
    <mergeCell ref="B322:B326"/>
    <mergeCell ref="A307:A309"/>
    <mergeCell ref="A284:A290"/>
    <mergeCell ref="A310:A314"/>
    <mergeCell ref="A315:A321"/>
    <mergeCell ref="A303:A306"/>
    <mergeCell ref="B315:B318"/>
    <mergeCell ref="B310:B314"/>
    <mergeCell ref="D214:D216"/>
    <mergeCell ref="D221:D223"/>
    <mergeCell ref="A322:A326"/>
    <mergeCell ref="C245:C247"/>
    <mergeCell ref="C236:C240"/>
    <mergeCell ref="C241:C244"/>
    <mergeCell ref="B270:B273"/>
    <mergeCell ref="B277:B280"/>
    <mergeCell ref="B274:B276"/>
    <mergeCell ref="B281:B283"/>
    <mergeCell ref="B284:B287"/>
    <mergeCell ref="B298:B302"/>
    <mergeCell ref="A291:A297"/>
    <mergeCell ref="B295:B297"/>
    <mergeCell ref="B319:B321"/>
    <mergeCell ref="A298:A302"/>
    <mergeCell ref="B419:D419"/>
    <mergeCell ref="A401:D401"/>
    <mergeCell ref="A400:D400"/>
    <mergeCell ref="B417:D417"/>
    <mergeCell ref="B418:D418"/>
    <mergeCell ref="B408:D408"/>
    <mergeCell ref="B407:D407"/>
    <mergeCell ref="B409:D409"/>
    <mergeCell ref="A405:D405"/>
    <mergeCell ref="A404:D404"/>
    <mergeCell ref="B415:D415"/>
    <mergeCell ref="B414:D414"/>
    <mergeCell ref="B410:D410"/>
    <mergeCell ref="B411:D411"/>
    <mergeCell ref="B412:D412"/>
    <mergeCell ref="A402:D402"/>
    <mergeCell ref="A403:D403"/>
    <mergeCell ref="B416:D416"/>
    <mergeCell ref="B413:D413"/>
    <mergeCell ref="F245:F246"/>
    <mergeCell ref="D233:D235"/>
    <mergeCell ref="I239:M239"/>
    <mergeCell ref="C248:C252"/>
    <mergeCell ref="I250:M250"/>
    <mergeCell ref="I251:M251"/>
    <mergeCell ref="I243:M243"/>
    <mergeCell ref="I242:M242"/>
    <mergeCell ref="D245:D247"/>
    <mergeCell ref="I238:M238"/>
    <mergeCell ref="I237:M237"/>
    <mergeCell ref="I240:M240"/>
    <mergeCell ref="I245:I246"/>
    <mergeCell ref="I244:M244"/>
    <mergeCell ref="F233:F234"/>
    <mergeCell ref="I233:I234"/>
    <mergeCell ref="J233:M233"/>
    <mergeCell ref="I241:M241"/>
    <mergeCell ref="B106:B109"/>
    <mergeCell ref="C106:C109"/>
    <mergeCell ref="I103:I104"/>
    <mergeCell ref="I99:M99"/>
    <mergeCell ref="I181:I182"/>
    <mergeCell ref="I195:I196"/>
    <mergeCell ref="J195:M195"/>
    <mergeCell ref="I188:I189"/>
    <mergeCell ref="I220:M220"/>
    <mergeCell ref="I200:M200"/>
    <mergeCell ref="I201:M201"/>
    <mergeCell ref="I191:M191"/>
    <mergeCell ref="I198:M198"/>
    <mergeCell ref="I199:M199"/>
    <mergeCell ref="I214:I215"/>
    <mergeCell ref="F195:F196"/>
    <mergeCell ref="I192:M192"/>
    <mergeCell ref="I193:M193"/>
    <mergeCell ref="J188:M188"/>
    <mergeCell ref="F202:F203"/>
    <mergeCell ref="I205:M205"/>
    <mergeCell ref="I209:M209"/>
    <mergeCell ref="F214:F215"/>
    <mergeCell ref="B160:B163"/>
    <mergeCell ref="C96:C102"/>
    <mergeCell ref="A80:A88"/>
    <mergeCell ref="A66:A72"/>
    <mergeCell ref="F63:F64"/>
    <mergeCell ref="F124:F125"/>
    <mergeCell ref="C89:C92"/>
    <mergeCell ref="B70:B72"/>
    <mergeCell ref="I135:M135"/>
    <mergeCell ref="I136:M136"/>
    <mergeCell ref="C70:C72"/>
    <mergeCell ref="D70:D72"/>
    <mergeCell ref="F117:F118"/>
    <mergeCell ref="F103:F104"/>
    <mergeCell ref="I98:M98"/>
    <mergeCell ref="F77:F78"/>
    <mergeCell ref="I93:I94"/>
    <mergeCell ref="I92:M92"/>
    <mergeCell ref="I91:M91"/>
    <mergeCell ref="I96:M96"/>
    <mergeCell ref="I120:M120"/>
    <mergeCell ref="I116:M116"/>
    <mergeCell ref="J103:M103"/>
    <mergeCell ref="F86:F87"/>
    <mergeCell ref="I127:M127"/>
    <mergeCell ref="C164:C166"/>
    <mergeCell ref="B195:B197"/>
    <mergeCell ref="D145:D147"/>
    <mergeCell ref="A52:A58"/>
    <mergeCell ref="B96:B102"/>
    <mergeCell ref="I46:M46"/>
    <mergeCell ref="B49:B51"/>
    <mergeCell ref="B45:B48"/>
    <mergeCell ref="B89:B92"/>
    <mergeCell ref="B59:B62"/>
    <mergeCell ref="I62:M62"/>
    <mergeCell ref="F56:F57"/>
    <mergeCell ref="F49:F50"/>
    <mergeCell ref="C59:C62"/>
    <mergeCell ref="I97:M97"/>
    <mergeCell ref="I89:M89"/>
    <mergeCell ref="J93:M93"/>
    <mergeCell ref="I81:M81"/>
    <mergeCell ref="I60:M60"/>
    <mergeCell ref="I83:M83"/>
    <mergeCell ref="I82:M82"/>
    <mergeCell ref="D93:D95"/>
    <mergeCell ref="J157:M157"/>
    <mergeCell ref="F145:F146"/>
    <mergeCell ref="D202:D204"/>
    <mergeCell ref="F188:F189"/>
    <mergeCell ref="J221:M221"/>
    <mergeCell ref="I218:M218"/>
    <mergeCell ref="I163:M163"/>
    <mergeCell ref="A184:A190"/>
    <mergeCell ref="A141:A147"/>
    <mergeCell ref="C198:C201"/>
    <mergeCell ref="D110:D112"/>
    <mergeCell ref="A106:A112"/>
    <mergeCell ref="A167:A176"/>
    <mergeCell ref="D117:D119"/>
    <mergeCell ref="B117:B119"/>
    <mergeCell ref="C113:C116"/>
    <mergeCell ref="B157:B159"/>
    <mergeCell ref="B113:B116"/>
    <mergeCell ref="A153:A159"/>
    <mergeCell ref="A160:A166"/>
    <mergeCell ref="C167:C170"/>
    <mergeCell ref="C177:C180"/>
    <mergeCell ref="C188:C190"/>
    <mergeCell ref="D188:D190"/>
    <mergeCell ref="B148:B152"/>
    <mergeCell ref="B153:B156"/>
    <mergeCell ref="I151:M151"/>
    <mergeCell ref="J164:M164"/>
    <mergeCell ref="I148:M148"/>
    <mergeCell ref="I32:M32"/>
    <mergeCell ref="I236:M236"/>
    <mergeCell ref="I229:M229"/>
    <mergeCell ref="I161:M161"/>
    <mergeCell ref="I164:I165"/>
    <mergeCell ref="F93:F94"/>
    <mergeCell ref="F221:F222"/>
    <mergeCell ref="I221:I222"/>
    <mergeCell ref="I226:M226"/>
    <mergeCell ref="I227:M227"/>
    <mergeCell ref="I219:M219"/>
    <mergeCell ref="I231:M231"/>
    <mergeCell ref="I232:M232"/>
    <mergeCell ref="I230:M230"/>
    <mergeCell ref="G11:O12"/>
    <mergeCell ref="I31:M31"/>
    <mergeCell ref="F70:F71"/>
    <mergeCell ref="I26:M26"/>
    <mergeCell ref="J28:M28"/>
    <mergeCell ref="P77:P79"/>
    <mergeCell ref="A205:A209"/>
    <mergeCell ref="A191:A197"/>
    <mergeCell ref="A148:A152"/>
    <mergeCell ref="C103:C105"/>
    <mergeCell ref="A120:A126"/>
    <mergeCell ref="A127:A133"/>
    <mergeCell ref="A134:A140"/>
    <mergeCell ref="A113:A119"/>
    <mergeCell ref="A73:A79"/>
    <mergeCell ref="B73:B76"/>
    <mergeCell ref="C73:C76"/>
    <mergeCell ref="I73:M73"/>
    <mergeCell ref="B80:B85"/>
    <mergeCell ref="B103:B105"/>
    <mergeCell ref="C117:C119"/>
    <mergeCell ref="B110:B112"/>
    <mergeCell ref="I153:M153"/>
    <mergeCell ref="I160:M160"/>
  </mergeCells>
  <phoneticPr fontId="34" type="noConversion"/>
  <pageMargins left="0.59055118110236227" right="0.19685039370078741" top="0.51181102362204722" bottom="0.39370078740157483" header="0.39370078740157483" footer="0"/>
  <pageSetup paperSize="9" scale="45" fitToHeight="0" orientation="landscape" useFirstPageNumber="1" r:id="rId1"/>
  <headerFooter differentFirst="1" alignWithMargins="0">
    <oddHeader>&amp;C&amp;P</oddHeader>
  </headerFooter>
  <rowBreaks count="1" manualBreakCount="1">
    <brk id="39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FF00"/>
    <pageSetUpPr fitToPage="1"/>
  </sheetPr>
  <dimension ref="A1:AE119"/>
  <sheetViews>
    <sheetView tabSelected="1" view="pageBreakPreview" zoomScale="50" zoomScaleNormal="80" zoomScaleSheetLayoutView="50" workbookViewId="0">
      <pane ySplit="4" topLeftCell="A5" activePane="bottomLeft" state="frozen"/>
      <selection pane="bottomLeft" activeCell="F51" sqref="F51"/>
    </sheetView>
  </sheetViews>
  <sheetFormatPr defaultColWidth="9.140625" defaultRowHeight="15" x14ac:dyDescent="0.25"/>
  <cols>
    <col min="1" max="1" width="8.28515625" style="1" customWidth="1"/>
    <col min="2" max="2" width="86.42578125" style="1" customWidth="1"/>
    <col min="3" max="3" width="18.42578125" style="14" customWidth="1"/>
    <col min="4" max="4" width="31.140625" style="1" customWidth="1"/>
    <col min="5" max="5" width="20.7109375" style="1" hidden="1" customWidth="1"/>
    <col min="6" max="6" width="21.7109375" style="172" customWidth="1"/>
    <col min="7" max="7" width="19.140625" style="40" customWidth="1"/>
    <col min="8" max="8" width="18.7109375" style="40" customWidth="1"/>
    <col min="9" max="13" width="8.42578125" style="1" customWidth="1"/>
    <col min="14" max="15" width="19.140625" style="1" customWidth="1"/>
    <col min="16" max="16" width="25.85546875" style="1" customWidth="1"/>
    <col min="17" max="17" width="25.42578125" style="110" customWidth="1"/>
    <col min="18" max="19" width="23.140625" style="110" customWidth="1"/>
    <col min="20" max="20" width="20" style="1" customWidth="1"/>
    <col min="21" max="21" width="23.42578125" style="9" customWidth="1"/>
    <col min="22" max="22" width="9.140625" style="9" customWidth="1"/>
    <col min="23" max="23" width="12.42578125" style="9" customWidth="1"/>
    <col min="24" max="31" width="9.140625" style="9"/>
    <col min="32" max="16384" width="9.140625" style="1"/>
  </cols>
  <sheetData>
    <row r="1" spans="1:19" ht="15.75" customHeight="1" x14ac:dyDescent="0.25">
      <c r="A1" s="515" t="s">
        <v>0</v>
      </c>
      <c r="B1" s="517" t="s">
        <v>138</v>
      </c>
      <c r="C1" s="517" t="s">
        <v>53</v>
      </c>
      <c r="D1" s="517" t="s">
        <v>6</v>
      </c>
      <c r="E1" s="517" t="s">
        <v>44</v>
      </c>
      <c r="F1" s="519" t="s">
        <v>7</v>
      </c>
      <c r="G1" s="517" t="s">
        <v>15</v>
      </c>
      <c r="H1" s="517"/>
      <c r="I1" s="517"/>
      <c r="J1" s="517"/>
      <c r="K1" s="517"/>
      <c r="L1" s="517"/>
      <c r="M1" s="517"/>
      <c r="N1" s="517"/>
      <c r="O1" s="517"/>
      <c r="P1" s="445" t="s">
        <v>249</v>
      </c>
      <c r="Q1" s="30"/>
      <c r="R1" s="30"/>
      <c r="S1" s="30"/>
    </row>
    <row r="2" spans="1:19" ht="20.100000000000001" customHeight="1" x14ac:dyDescent="0.25">
      <c r="A2" s="516"/>
      <c r="B2" s="517"/>
      <c r="C2" s="517"/>
      <c r="D2" s="518"/>
      <c r="E2" s="517"/>
      <c r="F2" s="519"/>
      <c r="G2" s="517"/>
      <c r="H2" s="517"/>
      <c r="I2" s="517"/>
      <c r="J2" s="517"/>
      <c r="K2" s="517"/>
      <c r="L2" s="517"/>
      <c r="M2" s="517"/>
      <c r="N2" s="517"/>
      <c r="O2" s="517"/>
      <c r="P2" s="445"/>
      <c r="Q2" s="30"/>
      <c r="R2" s="30"/>
      <c r="S2" s="30"/>
    </row>
    <row r="3" spans="1:19" ht="39" customHeight="1" x14ac:dyDescent="0.25">
      <c r="A3" s="516"/>
      <c r="B3" s="517"/>
      <c r="C3" s="518"/>
      <c r="D3" s="518"/>
      <c r="E3" s="517"/>
      <c r="F3" s="519"/>
      <c r="G3" s="126" t="s">
        <v>45</v>
      </c>
      <c r="H3" s="244" t="s">
        <v>46</v>
      </c>
      <c r="I3" s="514" t="s">
        <v>82</v>
      </c>
      <c r="J3" s="514"/>
      <c r="K3" s="514"/>
      <c r="L3" s="514"/>
      <c r="M3" s="514"/>
      <c r="N3" s="126" t="s">
        <v>83</v>
      </c>
      <c r="O3" s="126" t="s">
        <v>84</v>
      </c>
      <c r="P3" s="445"/>
      <c r="Q3" s="30"/>
      <c r="R3" s="30"/>
      <c r="S3" s="30"/>
    </row>
    <row r="4" spans="1:19" ht="21" customHeight="1" x14ac:dyDescent="0.25">
      <c r="A4" s="123">
        <v>1</v>
      </c>
      <c r="B4" s="123">
        <v>2</v>
      </c>
      <c r="C4" s="123" t="s">
        <v>8</v>
      </c>
      <c r="D4" s="123" t="s">
        <v>37</v>
      </c>
      <c r="E4" s="123" t="s">
        <v>9</v>
      </c>
      <c r="F4" s="155" t="s">
        <v>9</v>
      </c>
      <c r="G4" s="123" t="s">
        <v>35</v>
      </c>
      <c r="H4" s="232" t="s">
        <v>10</v>
      </c>
      <c r="I4" s="392" t="s">
        <v>36</v>
      </c>
      <c r="J4" s="392"/>
      <c r="K4" s="392"/>
      <c r="L4" s="392"/>
      <c r="M4" s="392"/>
      <c r="N4" s="123" t="s">
        <v>11</v>
      </c>
      <c r="O4" s="123" t="s">
        <v>12</v>
      </c>
      <c r="P4" s="123" t="s">
        <v>14</v>
      </c>
      <c r="Q4" s="29"/>
      <c r="R4" s="29"/>
      <c r="S4" s="29"/>
    </row>
    <row r="5" spans="1:19" ht="33" customHeight="1" x14ac:dyDescent="0.25">
      <c r="A5" s="520" t="s">
        <v>143</v>
      </c>
      <c r="B5" s="520"/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30"/>
      <c r="R5" s="30"/>
      <c r="S5" s="30"/>
    </row>
    <row r="6" spans="1:19" s="9" customFormat="1" ht="18.75" customHeight="1" x14ac:dyDescent="0.25">
      <c r="A6" s="343" t="s">
        <v>13</v>
      </c>
      <c r="B6" s="366" t="s">
        <v>108</v>
      </c>
      <c r="C6" s="366" t="s">
        <v>86</v>
      </c>
      <c r="D6" s="141" t="s">
        <v>2</v>
      </c>
      <c r="E6" s="142">
        <f>E9</f>
        <v>1000</v>
      </c>
      <c r="F6" s="156">
        <f t="shared" ref="F6:F14" si="0">SUM(G6:O6)</f>
        <v>5180</v>
      </c>
      <c r="G6" s="142">
        <f>G9</f>
        <v>1180</v>
      </c>
      <c r="H6" s="236">
        <f>H9</f>
        <v>1000</v>
      </c>
      <c r="I6" s="505">
        <f>I9</f>
        <v>1000</v>
      </c>
      <c r="J6" s="505"/>
      <c r="K6" s="505"/>
      <c r="L6" s="505"/>
      <c r="M6" s="505"/>
      <c r="N6" s="142">
        <f>N9</f>
        <v>1000</v>
      </c>
      <c r="O6" s="142">
        <f>O9</f>
        <v>1000</v>
      </c>
      <c r="P6" s="432"/>
      <c r="Q6" s="94"/>
      <c r="R6" s="94"/>
      <c r="S6" s="94"/>
    </row>
    <row r="7" spans="1:19" s="9" customFormat="1" ht="38.25" customHeight="1" x14ac:dyDescent="0.25">
      <c r="A7" s="343"/>
      <c r="B7" s="366"/>
      <c r="C7" s="366"/>
      <c r="D7" s="141" t="s">
        <v>40</v>
      </c>
      <c r="E7" s="142"/>
      <c r="F7" s="156">
        <f t="shared" si="0"/>
        <v>0</v>
      </c>
      <c r="G7" s="143">
        <f t="shared" ref="G7:H7" si="1">G11</f>
        <v>0</v>
      </c>
      <c r="H7" s="235">
        <f t="shared" si="1"/>
        <v>0</v>
      </c>
      <c r="I7" s="495">
        <f>I11</f>
        <v>0</v>
      </c>
      <c r="J7" s="495"/>
      <c r="K7" s="495"/>
      <c r="L7" s="495"/>
      <c r="M7" s="495"/>
      <c r="N7" s="143">
        <f t="shared" ref="N7:O7" si="2">N11</f>
        <v>0</v>
      </c>
      <c r="O7" s="143">
        <f t="shared" si="2"/>
        <v>0</v>
      </c>
      <c r="P7" s="432"/>
      <c r="Q7" s="94"/>
      <c r="R7" s="94"/>
      <c r="S7" s="94"/>
    </row>
    <row r="8" spans="1:19" s="9" customFormat="1" ht="37.5" x14ac:dyDescent="0.25">
      <c r="A8" s="343"/>
      <c r="B8" s="366"/>
      <c r="C8" s="366"/>
      <c r="D8" s="141" t="s">
        <v>1</v>
      </c>
      <c r="E8" s="142"/>
      <c r="F8" s="156">
        <f t="shared" si="0"/>
        <v>0</v>
      </c>
      <c r="G8" s="143">
        <f t="shared" ref="G8:H8" si="3">G12</f>
        <v>0</v>
      </c>
      <c r="H8" s="235">
        <f t="shared" si="3"/>
        <v>0</v>
      </c>
      <c r="I8" s="495">
        <f>I12</f>
        <v>0</v>
      </c>
      <c r="J8" s="495"/>
      <c r="K8" s="495"/>
      <c r="L8" s="495"/>
      <c r="M8" s="495"/>
      <c r="N8" s="143">
        <f t="shared" ref="N8:O8" si="4">N12</f>
        <v>0</v>
      </c>
      <c r="O8" s="143">
        <f t="shared" si="4"/>
        <v>0</v>
      </c>
      <c r="P8" s="432"/>
      <c r="Q8" s="94"/>
      <c r="R8" s="94"/>
      <c r="S8" s="94"/>
    </row>
    <row r="9" spans="1:19" s="9" customFormat="1" ht="58.5" customHeight="1" x14ac:dyDescent="0.25">
      <c r="A9" s="343"/>
      <c r="B9" s="366"/>
      <c r="C9" s="366"/>
      <c r="D9" s="141" t="s">
        <v>48</v>
      </c>
      <c r="E9" s="143">
        <f>E13</f>
        <v>1000</v>
      </c>
      <c r="F9" s="156">
        <f t="shared" si="0"/>
        <v>5180</v>
      </c>
      <c r="G9" s="143">
        <f t="shared" ref="G9:H9" si="5">G13</f>
        <v>1180</v>
      </c>
      <c r="H9" s="235">
        <f t="shared" si="5"/>
        <v>1000</v>
      </c>
      <c r="I9" s="495">
        <f>I13</f>
        <v>1000</v>
      </c>
      <c r="J9" s="495"/>
      <c r="K9" s="495"/>
      <c r="L9" s="495"/>
      <c r="M9" s="495"/>
      <c r="N9" s="143">
        <f t="shared" ref="N9:O9" si="6">N13</f>
        <v>1000</v>
      </c>
      <c r="O9" s="143">
        <f t="shared" si="6"/>
        <v>1000</v>
      </c>
      <c r="P9" s="432"/>
      <c r="Q9" s="94"/>
      <c r="R9" s="94"/>
      <c r="S9" s="94"/>
    </row>
    <row r="10" spans="1:19" s="9" customFormat="1" ht="37.5" x14ac:dyDescent="0.25">
      <c r="A10" s="343"/>
      <c r="B10" s="366"/>
      <c r="C10" s="366"/>
      <c r="D10" s="141" t="s">
        <v>87</v>
      </c>
      <c r="E10" s="143"/>
      <c r="F10" s="156">
        <f t="shared" si="0"/>
        <v>0</v>
      </c>
      <c r="G10" s="143">
        <f t="shared" ref="G10:H10" si="7">G14</f>
        <v>0</v>
      </c>
      <c r="H10" s="235">
        <f t="shared" si="7"/>
        <v>0</v>
      </c>
      <c r="I10" s="495">
        <f>I14</f>
        <v>0</v>
      </c>
      <c r="J10" s="495"/>
      <c r="K10" s="495"/>
      <c r="L10" s="495"/>
      <c r="M10" s="495"/>
      <c r="N10" s="143">
        <f t="shared" ref="N10:O10" si="8">N14</f>
        <v>0</v>
      </c>
      <c r="O10" s="143">
        <f t="shared" si="8"/>
        <v>0</v>
      </c>
      <c r="P10" s="432"/>
      <c r="Q10" s="94"/>
      <c r="R10" s="94"/>
      <c r="S10" s="94"/>
    </row>
    <row r="11" spans="1:19" s="9" customFormat="1" ht="37.5" customHeight="1" x14ac:dyDescent="0.25">
      <c r="A11" s="392" t="s">
        <v>26</v>
      </c>
      <c r="B11" s="397" t="s">
        <v>139</v>
      </c>
      <c r="C11" s="399" t="s">
        <v>86</v>
      </c>
      <c r="D11" s="91" t="s">
        <v>40</v>
      </c>
      <c r="E11" s="121"/>
      <c r="F11" s="156">
        <f t="shared" si="0"/>
        <v>0</v>
      </c>
      <c r="G11" s="118">
        <v>0</v>
      </c>
      <c r="H11" s="233">
        <v>0</v>
      </c>
      <c r="I11" s="506">
        <v>0</v>
      </c>
      <c r="J11" s="506"/>
      <c r="K11" s="506"/>
      <c r="L11" s="506"/>
      <c r="M11" s="506"/>
      <c r="N11" s="118">
        <v>0</v>
      </c>
      <c r="O11" s="118">
        <v>0</v>
      </c>
      <c r="P11" s="458" t="s">
        <v>3</v>
      </c>
      <c r="Q11" s="94"/>
      <c r="R11" s="94"/>
      <c r="S11" s="94"/>
    </row>
    <row r="12" spans="1:19" s="9" customFormat="1" ht="37.5" x14ac:dyDescent="0.25">
      <c r="A12" s="392"/>
      <c r="B12" s="397"/>
      <c r="C12" s="399"/>
      <c r="D12" s="91" t="s">
        <v>1</v>
      </c>
      <c r="E12" s="121"/>
      <c r="F12" s="156">
        <f t="shared" si="0"/>
        <v>0</v>
      </c>
      <c r="G12" s="118">
        <v>0</v>
      </c>
      <c r="H12" s="233">
        <v>0</v>
      </c>
      <c r="I12" s="506">
        <v>0</v>
      </c>
      <c r="J12" s="506"/>
      <c r="K12" s="506"/>
      <c r="L12" s="506"/>
      <c r="M12" s="506"/>
      <c r="N12" s="118">
        <v>0</v>
      </c>
      <c r="O12" s="118">
        <v>0</v>
      </c>
      <c r="P12" s="458"/>
      <c r="Q12" s="94"/>
      <c r="R12" s="94"/>
      <c r="S12" s="94"/>
    </row>
    <row r="13" spans="1:19" s="40" customFormat="1" ht="56.25" x14ac:dyDescent="0.25">
      <c r="A13" s="392"/>
      <c r="B13" s="397"/>
      <c r="C13" s="399"/>
      <c r="D13" s="91" t="s">
        <v>48</v>
      </c>
      <c r="E13" s="136">
        <v>1000</v>
      </c>
      <c r="F13" s="156">
        <f t="shared" si="0"/>
        <v>5180</v>
      </c>
      <c r="G13" s="136">
        <v>1180</v>
      </c>
      <c r="H13" s="242">
        <v>1000</v>
      </c>
      <c r="I13" s="512">
        <v>1000</v>
      </c>
      <c r="J13" s="512"/>
      <c r="K13" s="512"/>
      <c r="L13" s="512"/>
      <c r="M13" s="512"/>
      <c r="N13" s="136">
        <v>1000</v>
      </c>
      <c r="O13" s="136">
        <v>1000</v>
      </c>
      <c r="P13" s="458"/>
      <c r="Q13" s="55"/>
      <c r="R13" s="95"/>
      <c r="S13" s="54"/>
    </row>
    <row r="14" spans="1:19" s="40" customFormat="1" ht="37.5" x14ac:dyDescent="0.25">
      <c r="A14" s="392"/>
      <c r="B14" s="397"/>
      <c r="C14" s="399"/>
      <c r="D14" s="91" t="s">
        <v>87</v>
      </c>
      <c r="E14" s="136"/>
      <c r="F14" s="156">
        <f t="shared" si="0"/>
        <v>0</v>
      </c>
      <c r="G14" s="136">
        <v>0</v>
      </c>
      <c r="H14" s="242">
        <v>0</v>
      </c>
      <c r="I14" s="512">
        <v>0</v>
      </c>
      <c r="J14" s="512"/>
      <c r="K14" s="512"/>
      <c r="L14" s="512"/>
      <c r="M14" s="512"/>
      <c r="N14" s="136">
        <v>0</v>
      </c>
      <c r="O14" s="136">
        <v>0</v>
      </c>
      <c r="P14" s="458"/>
      <c r="Q14" s="55"/>
      <c r="R14" s="95"/>
      <c r="S14" s="54"/>
    </row>
    <row r="15" spans="1:19" s="40" customFormat="1" ht="21" customHeight="1" x14ac:dyDescent="0.25">
      <c r="A15" s="392"/>
      <c r="B15" s="398" t="s">
        <v>173</v>
      </c>
      <c r="C15" s="394" t="s">
        <v>116</v>
      </c>
      <c r="D15" s="394" t="s">
        <v>116</v>
      </c>
      <c r="E15" s="131"/>
      <c r="F15" s="355" t="s">
        <v>117</v>
      </c>
      <c r="G15" s="132" t="s">
        <v>220</v>
      </c>
      <c r="H15" s="234" t="s">
        <v>221</v>
      </c>
      <c r="I15" s="499" t="s">
        <v>123</v>
      </c>
      <c r="J15" s="500" t="s">
        <v>118</v>
      </c>
      <c r="K15" s="500"/>
      <c r="L15" s="500"/>
      <c r="M15" s="500"/>
      <c r="N15" s="132" t="s">
        <v>124</v>
      </c>
      <c r="O15" s="132" t="s">
        <v>125</v>
      </c>
      <c r="P15" s="457" t="s">
        <v>116</v>
      </c>
      <c r="Q15" s="41"/>
    </row>
    <row r="16" spans="1:19" s="40" customFormat="1" ht="19.5" customHeight="1" x14ac:dyDescent="0.25">
      <c r="A16" s="392"/>
      <c r="B16" s="398"/>
      <c r="C16" s="394"/>
      <c r="D16" s="394"/>
      <c r="E16" s="131"/>
      <c r="F16" s="355"/>
      <c r="G16" s="131"/>
      <c r="H16" s="237"/>
      <c r="I16" s="499"/>
      <c r="J16" s="131" t="s">
        <v>119</v>
      </c>
      <c r="K16" s="131" t="s">
        <v>120</v>
      </c>
      <c r="L16" s="131" t="s">
        <v>121</v>
      </c>
      <c r="M16" s="131" t="s">
        <v>122</v>
      </c>
      <c r="N16" s="131"/>
      <c r="O16" s="131"/>
      <c r="P16" s="457"/>
      <c r="Q16" s="41"/>
    </row>
    <row r="17" spans="1:23" s="40" customFormat="1" ht="22.5" customHeight="1" x14ac:dyDescent="0.25">
      <c r="A17" s="392"/>
      <c r="B17" s="398"/>
      <c r="C17" s="394"/>
      <c r="D17" s="394"/>
      <c r="E17" s="131"/>
      <c r="F17" s="157">
        <f>G17+H17+I17+N17+O17</f>
        <v>511</v>
      </c>
      <c r="G17" s="133">
        <v>111</v>
      </c>
      <c r="H17" s="133">
        <v>100</v>
      </c>
      <c r="I17" s="133">
        <v>100</v>
      </c>
      <c r="J17" s="133">
        <v>0</v>
      </c>
      <c r="K17" s="133">
        <v>0</v>
      </c>
      <c r="L17" s="133">
        <v>0</v>
      </c>
      <c r="M17" s="133">
        <v>100</v>
      </c>
      <c r="N17" s="133">
        <v>100</v>
      </c>
      <c r="O17" s="133">
        <v>100</v>
      </c>
      <c r="P17" s="457"/>
      <c r="Q17" s="41"/>
    </row>
    <row r="18" spans="1:23" s="9" customFormat="1" ht="18.75" x14ac:dyDescent="0.3">
      <c r="A18" s="400" t="s">
        <v>74</v>
      </c>
      <c r="B18" s="401" t="s">
        <v>113</v>
      </c>
      <c r="C18" s="467" t="s">
        <v>86</v>
      </c>
      <c r="D18" s="149" t="s">
        <v>2</v>
      </c>
      <c r="E18" s="150" t="e">
        <f>E21+E23</f>
        <v>#REF!</v>
      </c>
      <c r="F18" s="156">
        <f t="shared" ref="F18:F28" si="9">SUM(G18:O18)</f>
        <v>650260.65731000004</v>
      </c>
      <c r="G18" s="150">
        <f>G19+G20+G21+G22</f>
        <v>120523.37026</v>
      </c>
      <c r="H18" s="241">
        <f t="shared" ref="H18" si="10">H19+H20+H21+H22</f>
        <v>129138.62835</v>
      </c>
      <c r="I18" s="507">
        <f>I19+I20+I21+I22</f>
        <v>133482.9307</v>
      </c>
      <c r="J18" s="507"/>
      <c r="K18" s="507"/>
      <c r="L18" s="507"/>
      <c r="M18" s="507"/>
      <c r="N18" s="150">
        <f t="shared" ref="N18:O18" si="11">N19+N20+N21+N22</f>
        <v>133557.864</v>
      </c>
      <c r="O18" s="150">
        <f t="shared" si="11"/>
        <v>133557.864</v>
      </c>
      <c r="P18" s="509"/>
      <c r="Q18" s="96"/>
      <c r="R18" s="96"/>
      <c r="S18" s="96"/>
    </row>
    <row r="19" spans="1:23" s="9" customFormat="1" ht="37.5" x14ac:dyDescent="0.3">
      <c r="A19" s="400"/>
      <c r="B19" s="401"/>
      <c r="C19" s="467"/>
      <c r="D19" s="141" t="s">
        <v>40</v>
      </c>
      <c r="E19" s="150"/>
      <c r="F19" s="156">
        <f t="shared" si="9"/>
        <v>0</v>
      </c>
      <c r="G19" s="152">
        <f>G24+G32+G39</f>
        <v>0</v>
      </c>
      <c r="H19" s="296">
        <f>H24+H32+H39</f>
        <v>0</v>
      </c>
      <c r="I19" s="508">
        <f>I24+I32+I39</f>
        <v>0</v>
      </c>
      <c r="J19" s="508"/>
      <c r="K19" s="508"/>
      <c r="L19" s="508"/>
      <c r="M19" s="508"/>
      <c r="N19" s="253">
        <f>N24+N32+N39</f>
        <v>0</v>
      </c>
      <c r="O19" s="296">
        <f>O24+O32+O39</f>
        <v>0</v>
      </c>
      <c r="P19" s="509"/>
      <c r="Q19" s="96"/>
      <c r="R19" s="96"/>
      <c r="S19" s="96"/>
    </row>
    <row r="20" spans="1:23" s="9" customFormat="1" ht="37.5" x14ac:dyDescent="0.3">
      <c r="A20" s="400"/>
      <c r="B20" s="401"/>
      <c r="C20" s="467"/>
      <c r="D20" s="141" t="s">
        <v>1</v>
      </c>
      <c r="E20" s="150"/>
      <c r="F20" s="156">
        <f t="shared" si="9"/>
        <v>3752</v>
      </c>
      <c r="G20" s="296">
        <f t="shared" ref="G20:I20" si="12">G25+G33+G40</f>
        <v>0</v>
      </c>
      <c r="H20" s="296">
        <f t="shared" si="12"/>
        <v>3752</v>
      </c>
      <c r="I20" s="508">
        <f t="shared" si="12"/>
        <v>0</v>
      </c>
      <c r="J20" s="508"/>
      <c r="K20" s="508"/>
      <c r="L20" s="508"/>
      <c r="M20" s="508"/>
      <c r="N20" s="296">
        <f t="shared" ref="N20:O20" si="13">N25+N33+N40</f>
        <v>0</v>
      </c>
      <c r="O20" s="296">
        <f t="shared" si="13"/>
        <v>0</v>
      </c>
      <c r="P20" s="509"/>
      <c r="Q20" s="96"/>
      <c r="R20" s="96"/>
      <c r="S20" s="96"/>
    </row>
    <row r="21" spans="1:23" s="9" customFormat="1" ht="56.25" x14ac:dyDescent="0.3">
      <c r="A21" s="400"/>
      <c r="B21" s="401"/>
      <c r="C21" s="467"/>
      <c r="D21" s="141" t="s">
        <v>48</v>
      </c>
      <c r="E21" s="152" t="e">
        <f>E26+#REF!+E34+#REF!+#REF!</f>
        <v>#REF!</v>
      </c>
      <c r="F21" s="156">
        <f t="shared" si="9"/>
        <v>530278.26530999993</v>
      </c>
      <c r="G21" s="296">
        <f t="shared" ref="G21:I21" si="14">G26+G34+G41</f>
        <v>99268.178260000001</v>
      </c>
      <c r="H21" s="296">
        <f t="shared" si="14"/>
        <v>101807.82835</v>
      </c>
      <c r="I21" s="508">
        <f t="shared" si="14"/>
        <v>109684.13069999999</v>
      </c>
      <c r="J21" s="508"/>
      <c r="K21" s="508"/>
      <c r="L21" s="508"/>
      <c r="M21" s="508"/>
      <c r="N21" s="296">
        <f t="shared" ref="N21:O21" si="15">N26+N34+N41</f>
        <v>109759.064</v>
      </c>
      <c r="O21" s="296">
        <f t="shared" si="15"/>
        <v>109759.064</v>
      </c>
      <c r="P21" s="509"/>
      <c r="Q21" s="96"/>
      <c r="R21" s="96"/>
      <c r="S21" s="96"/>
      <c r="T21" s="8"/>
    </row>
    <row r="22" spans="1:23" s="9" customFormat="1" ht="37.5" x14ac:dyDescent="0.3">
      <c r="A22" s="400"/>
      <c r="B22" s="401"/>
      <c r="C22" s="467"/>
      <c r="D22" s="141" t="s">
        <v>87</v>
      </c>
      <c r="E22" s="152"/>
      <c r="F22" s="156">
        <f t="shared" si="9"/>
        <v>116230.39200000001</v>
      </c>
      <c r="G22" s="296">
        <f t="shared" ref="G22:I22" si="16">G27+G35+G42</f>
        <v>21255.191999999999</v>
      </c>
      <c r="H22" s="296">
        <f t="shared" si="16"/>
        <v>23578.799999999999</v>
      </c>
      <c r="I22" s="508">
        <f t="shared" si="16"/>
        <v>23798.799999999999</v>
      </c>
      <c r="J22" s="508"/>
      <c r="K22" s="508"/>
      <c r="L22" s="508"/>
      <c r="M22" s="508"/>
      <c r="N22" s="296">
        <f t="shared" ref="N22:O22" si="17">N27+N35+N42</f>
        <v>23798.799999999999</v>
      </c>
      <c r="O22" s="296">
        <f t="shared" si="17"/>
        <v>23798.799999999999</v>
      </c>
      <c r="P22" s="509"/>
      <c r="Q22" s="96"/>
      <c r="R22" s="96"/>
      <c r="S22" s="96"/>
      <c r="T22" s="8"/>
    </row>
    <row r="23" spans="1:23" s="9" customFormat="1" ht="93.75" x14ac:dyDescent="0.3">
      <c r="A23" s="400"/>
      <c r="B23" s="401"/>
      <c r="C23" s="467"/>
      <c r="D23" s="144" t="s">
        <v>88</v>
      </c>
      <c r="E23" s="145">
        <f>E28</f>
        <v>13879.4</v>
      </c>
      <c r="F23" s="156">
        <f t="shared" si="9"/>
        <v>116230.39200000001</v>
      </c>
      <c r="G23" s="145">
        <f t="shared" ref="G23:H23" si="18">G28</f>
        <v>21255.191999999999</v>
      </c>
      <c r="H23" s="240">
        <f t="shared" si="18"/>
        <v>23578.799999999999</v>
      </c>
      <c r="I23" s="504">
        <f>I28</f>
        <v>23798.799999999999</v>
      </c>
      <c r="J23" s="504"/>
      <c r="K23" s="504"/>
      <c r="L23" s="504"/>
      <c r="M23" s="504"/>
      <c r="N23" s="145">
        <f t="shared" ref="N23:O23" si="19">N28</f>
        <v>23798.799999999999</v>
      </c>
      <c r="O23" s="145">
        <f t="shared" si="19"/>
        <v>23798.799999999999</v>
      </c>
      <c r="P23" s="509"/>
      <c r="Q23" s="96"/>
      <c r="R23" s="96"/>
      <c r="S23" s="96"/>
      <c r="U23" s="8"/>
      <c r="V23" s="97"/>
      <c r="W23" s="97"/>
    </row>
    <row r="24" spans="1:23" s="9" customFormat="1" ht="37.5" customHeight="1" x14ac:dyDescent="0.3">
      <c r="A24" s="521" t="s">
        <v>30</v>
      </c>
      <c r="B24" s="510" t="s">
        <v>140</v>
      </c>
      <c r="C24" s="511" t="s">
        <v>86</v>
      </c>
      <c r="D24" s="126" t="s">
        <v>40</v>
      </c>
      <c r="E24" s="122"/>
      <c r="F24" s="156">
        <f t="shared" si="9"/>
        <v>0</v>
      </c>
      <c r="G24" s="124">
        <v>0</v>
      </c>
      <c r="H24" s="243">
        <v>0</v>
      </c>
      <c r="I24" s="513">
        <v>0</v>
      </c>
      <c r="J24" s="513"/>
      <c r="K24" s="513"/>
      <c r="L24" s="513"/>
      <c r="M24" s="513"/>
      <c r="N24" s="124">
        <v>0</v>
      </c>
      <c r="O24" s="124">
        <v>0</v>
      </c>
      <c r="P24" s="496" t="s">
        <v>60</v>
      </c>
      <c r="Q24" s="96"/>
      <c r="R24" s="96"/>
      <c r="S24" s="96"/>
      <c r="U24" s="8"/>
      <c r="V24" s="97"/>
      <c r="W24" s="97"/>
    </row>
    <row r="25" spans="1:23" s="9" customFormat="1" ht="37.5" x14ac:dyDescent="0.3">
      <c r="A25" s="521"/>
      <c r="B25" s="510"/>
      <c r="C25" s="511"/>
      <c r="D25" s="126" t="s">
        <v>1</v>
      </c>
      <c r="E25" s="122"/>
      <c r="F25" s="156">
        <f t="shared" si="9"/>
        <v>0</v>
      </c>
      <c r="G25" s="124">
        <v>0</v>
      </c>
      <c r="H25" s="243">
        <v>0</v>
      </c>
      <c r="I25" s="513">
        <v>0</v>
      </c>
      <c r="J25" s="513"/>
      <c r="K25" s="513"/>
      <c r="L25" s="513"/>
      <c r="M25" s="513"/>
      <c r="N25" s="124">
        <v>0</v>
      </c>
      <c r="O25" s="124">
        <v>0</v>
      </c>
      <c r="P25" s="496"/>
      <c r="Q25" s="96"/>
      <c r="R25" s="96"/>
      <c r="S25" s="96"/>
      <c r="U25" s="8"/>
      <c r="V25" s="97"/>
      <c r="W25" s="97"/>
    </row>
    <row r="26" spans="1:23" s="40" customFormat="1" ht="56.25" customHeight="1" x14ac:dyDescent="0.25">
      <c r="A26" s="521"/>
      <c r="B26" s="510"/>
      <c r="C26" s="511"/>
      <c r="D26" s="126" t="s">
        <v>48</v>
      </c>
      <c r="E26" s="124">
        <v>74745.548039999994</v>
      </c>
      <c r="F26" s="156">
        <f t="shared" si="9"/>
        <v>488683.29411000002</v>
      </c>
      <c r="G26" s="134">
        <v>93662.546260000003</v>
      </c>
      <c r="H26" s="230">
        <v>93568.322310000003</v>
      </c>
      <c r="I26" s="372">
        <f>100505-62.57446</f>
        <v>100442.42554</v>
      </c>
      <c r="J26" s="372"/>
      <c r="K26" s="372"/>
      <c r="L26" s="372"/>
      <c r="M26" s="372"/>
      <c r="N26" s="289">
        <v>100505</v>
      </c>
      <c r="O26" s="289">
        <v>100505</v>
      </c>
      <c r="P26" s="496"/>
      <c r="Q26" s="55"/>
      <c r="R26" s="55"/>
      <c r="S26" s="55"/>
    </row>
    <row r="27" spans="1:23" s="40" customFormat="1" ht="37.5" x14ac:dyDescent="0.25">
      <c r="A27" s="521"/>
      <c r="B27" s="510"/>
      <c r="C27" s="511"/>
      <c r="D27" s="126" t="s">
        <v>87</v>
      </c>
      <c r="E27" s="124"/>
      <c r="F27" s="156">
        <f t="shared" si="9"/>
        <v>116230.39200000001</v>
      </c>
      <c r="G27" s="134">
        <f t="shared" ref="G27:H27" si="20">G28</f>
        <v>21255.191999999999</v>
      </c>
      <c r="H27" s="238">
        <f t="shared" si="20"/>
        <v>23578.799999999999</v>
      </c>
      <c r="I27" s="370">
        <f>I28</f>
        <v>23798.799999999999</v>
      </c>
      <c r="J27" s="370"/>
      <c r="K27" s="370"/>
      <c r="L27" s="370"/>
      <c r="M27" s="370"/>
      <c r="N27" s="188">
        <f t="shared" ref="N27:O27" si="21">N28</f>
        <v>23798.799999999999</v>
      </c>
      <c r="O27" s="188">
        <f t="shared" si="21"/>
        <v>23798.799999999999</v>
      </c>
      <c r="P27" s="496"/>
      <c r="Q27" s="55"/>
      <c r="R27" s="55"/>
      <c r="S27" s="55"/>
    </row>
    <row r="28" spans="1:23" s="40" customFormat="1" ht="93.75" x14ac:dyDescent="0.25">
      <c r="A28" s="521"/>
      <c r="B28" s="510"/>
      <c r="C28" s="511"/>
      <c r="D28" s="126" t="s">
        <v>88</v>
      </c>
      <c r="E28" s="124">
        <v>13879.4</v>
      </c>
      <c r="F28" s="156">
        <f t="shared" si="9"/>
        <v>116230.39200000001</v>
      </c>
      <c r="G28" s="135">
        <v>21255.191999999999</v>
      </c>
      <c r="H28" s="231">
        <v>23578.799999999999</v>
      </c>
      <c r="I28" s="371">
        <v>23798.799999999999</v>
      </c>
      <c r="J28" s="371"/>
      <c r="K28" s="371"/>
      <c r="L28" s="371"/>
      <c r="M28" s="371"/>
      <c r="N28" s="192">
        <v>23798.799999999999</v>
      </c>
      <c r="O28" s="192">
        <v>23798.799999999999</v>
      </c>
      <c r="P28" s="496"/>
      <c r="Q28" s="55"/>
      <c r="R28" s="55"/>
      <c r="S28" s="55"/>
    </row>
    <row r="29" spans="1:23" s="40" customFormat="1" ht="23.25" customHeight="1" x14ac:dyDescent="0.25">
      <c r="A29" s="521"/>
      <c r="B29" s="398" t="s">
        <v>174</v>
      </c>
      <c r="C29" s="394" t="s">
        <v>116</v>
      </c>
      <c r="D29" s="394" t="s">
        <v>116</v>
      </c>
      <c r="E29" s="131"/>
      <c r="F29" s="355" t="s">
        <v>117</v>
      </c>
      <c r="G29" s="132" t="s">
        <v>220</v>
      </c>
      <c r="H29" s="234" t="s">
        <v>221</v>
      </c>
      <c r="I29" s="499" t="s">
        <v>123</v>
      </c>
      <c r="J29" s="500" t="s">
        <v>118</v>
      </c>
      <c r="K29" s="500"/>
      <c r="L29" s="500"/>
      <c r="M29" s="500"/>
      <c r="N29" s="132" t="s">
        <v>124</v>
      </c>
      <c r="O29" s="132" t="s">
        <v>125</v>
      </c>
      <c r="P29" s="457" t="s">
        <v>116</v>
      </c>
      <c r="Q29" s="41"/>
    </row>
    <row r="30" spans="1:23" s="40" customFormat="1" ht="20.25" customHeight="1" x14ac:dyDescent="0.25">
      <c r="A30" s="521"/>
      <c r="B30" s="398"/>
      <c r="C30" s="394"/>
      <c r="D30" s="394"/>
      <c r="E30" s="131"/>
      <c r="F30" s="355"/>
      <c r="G30" s="131"/>
      <c r="H30" s="237"/>
      <c r="I30" s="499"/>
      <c r="J30" s="131" t="s">
        <v>119</v>
      </c>
      <c r="K30" s="131" t="s">
        <v>120</v>
      </c>
      <c r="L30" s="131" t="s">
        <v>121</v>
      </c>
      <c r="M30" s="131" t="s">
        <v>122</v>
      </c>
      <c r="N30" s="131"/>
      <c r="O30" s="131"/>
      <c r="P30" s="457"/>
      <c r="Q30" s="41"/>
    </row>
    <row r="31" spans="1:23" s="40" customFormat="1" ht="18.75" customHeight="1" x14ac:dyDescent="0.25">
      <c r="A31" s="521"/>
      <c r="B31" s="398"/>
      <c r="C31" s="394"/>
      <c r="D31" s="394"/>
      <c r="E31" s="131"/>
      <c r="F31" s="157">
        <v>4</v>
      </c>
      <c r="G31" s="133">
        <v>4</v>
      </c>
      <c r="H31" s="133">
        <v>4</v>
      </c>
      <c r="I31" s="133">
        <v>4</v>
      </c>
      <c r="J31" s="133">
        <v>4</v>
      </c>
      <c r="K31" s="133">
        <v>4</v>
      </c>
      <c r="L31" s="133">
        <v>4</v>
      </c>
      <c r="M31" s="133">
        <v>4</v>
      </c>
      <c r="N31" s="133">
        <v>4</v>
      </c>
      <c r="O31" s="133">
        <v>4</v>
      </c>
      <c r="P31" s="457"/>
      <c r="Q31" s="41"/>
    </row>
    <row r="32" spans="1:23" s="40" customFormat="1" ht="37.5" customHeight="1" x14ac:dyDescent="0.25">
      <c r="A32" s="501" t="s">
        <v>31</v>
      </c>
      <c r="B32" s="502" t="s">
        <v>141</v>
      </c>
      <c r="C32" s="503" t="s">
        <v>86</v>
      </c>
      <c r="D32" s="92" t="s">
        <v>40</v>
      </c>
      <c r="E32" s="134"/>
      <c r="F32" s="156">
        <f>SUM(G32:O32)</f>
        <v>0</v>
      </c>
      <c r="G32" s="134">
        <v>0</v>
      </c>
      <c r="H32" s="238">
        <v>0</v>
      </c>
      <c r="I32" s="498">
        <v>0</v>
      </c>
      <c r="J32" s="498"/>
      <c r="K32" s="498"/>
      <c r="L32" s="498"/>
      <c r="M32" s="498"/>
      <c r="N32" s="134">
        <v>0</v>
      </c>
      <c r="O32" s="134">
        <v>0</v>
      </c>
      <c r="P32" s="497" t="s">
        <v>3</v>
      </c>
      <c r="Q32" s="108"/>
      <c r="R32" s="108"/>
      <c r="S32" s="108"/>
    </row>
    <row r="33" spans="1:19" s="40" customFormat="1" ht="37.5" x14ac:dyDescent="0.25">
      <c r="A33" s="501"/>
      <c r="B33" s="502"/>
      <c r="C33" s="503"/>
      <c r="D33" s="92" t="s">
        <v>1</v>
      </c>
      <c r="E33" s="134"/>
      <c r="F33" s="156">
        <f>SUM(G33:O33)</f>
        <v>0</v>
      </c>
      <c r="G33" s="134">
        <v>0</v>
      </c>
      <c r="H33" s="238">
        <v>0</v>
      </c>
      <c r="I33" s="498">
        <v>0</v>
      </c>
      <c r="J33" s="498"/>
      <c r="K33" s="498"/>
      <c r="L33" s="498"/>
      <c r="M33" s="498"/>
      <c r="N33" s="134">
        <v>0</v>
      </c>
      <c r="O33" s="134">
        <v>0</v>
      </c>
      <c r="P33" s="497"/>
      <c r="Q33" s="108"/>
      <c r="R33" s="108"/>
      <c r="S33" s="108"/>
    </row>
    <row r="34" spans="1:19" s="40" customFormat="1" ht="56.25" x14ac:dyDescent="0.25">
      <c r="A34" s="501"/>
      <c r="B34" s="502"/>
      <c r="C34" s="503"/>
      <c r="D34" s="92" t="s">
        <v>48</v>
      </c>
      <c r="E34" s="134">
        <v>0</v>
      </c>
      <c r="F34" s="156">
        <f>SUM(G34:O34)</f>
        <v>41594.9712</v>
      </c>
      <c r="G34" s="134">
        <v>5605.6319999999996</v>
      </c>
      <c r="H34" s="230">
        <v>8239.5060400000002</v>
      </c>
      <c r="I34" s="372">
        <f>9254.064-12.35884</f>
        <v>9241.7051599999995</v>
      </c>
      <c r="J34" s="372"/>
      <c r="K34" s="372"/>
      <c r="L34" s="372"/>
      <c r="M34" s="372"/>
      <c r="N34" s="289">
        <f t="shared" ref="N34:O34" si="22">8314+940.064</f>
        <v>9254.0640000000003</v>
      </c>
      <c r="O34" s="289">
        <f t="shared" si="22"/>
        <v>9254.0640000000003</v>
      </c>
      <c r="P34" s="497"/>
      <c r="Q34" s="108"/>
      <c r="R34" s="108"/>
      <c r="S34" s="108"/>
    </row>
    <row r="35" spans="1:19" s="40" customFormat="1" ht="37.5" x14ac:dyDescent="0.25">
      <c r="A35" s="501"/>
      <c r="B35" s="502"/>
      <c r="C35" s="503"/>
      <c r="D35" s="92" t="s">
        <v>87</v>
      </c>
      <c r="E35" s="134"/>
      <c r="F35" s="156">
        <f>SUM(G35:O35)</f>
        <v>0</v>
      </c>
      <c r="G35" s="134">
        <v>0</v>
      </c>
      <c r="H35" s="238">
        <v>0</v>
      </c>
      <c r="I35" s="498">
        <v>0</v>
      </c>
      <c r="J35" s="498"/>
      <c r="K35" s="498"/>
      <c r="L35" s="498"/>
      <c r="M35" s="498"/>
      <c r="N35" s="134">
        <v>0</v>
      </c>
      <c r="O35" s="134">
        <v>0</v>
      </c>
      <c r="P35" s="497"/>
      <c r="Q35" s="108"/>
      <c r="R35" s="108"/>
      <c r="S35" s="108"/>
    </row>
    <row r="36" spans="1:19" s="40" customFormat="1" ht="22.5" customHeight="1" x14ac:dyDescent="0.25">
      <c r="A36" s="501"/>
      <c r="B36" s="398" t="s">
        <v>175</v>
      </c>
      <c r="C36" s="394" t="s">
        <v>116</v>
      </c>
      <c r="D36" s="394" t="s">
        <v>116</v>
      </c>
      <c r="E36" s="131"/>
      <c r="F36" s="355" t="s">
        <v>117</v>
      </c>
      <c r="G36" s="132" t="s">
        <v>220</v>
      </c>
      <c r="H36" s="234" t="s">
        <v>221</v>
      </c>
      <c r="I36" s="499" t="s">
        <v>123</v>
      </c>
      <c r="J36" s="500" t="s">
        <v>118</v>
      </c>
      <c r="K36" s="500"/>
      <c r="L36" s="500"/>
      <c r="M36" s="500"/>
      <c r="N36" s="132" t="s">
        <v>124</v>
      </c>
      <c r="O36" s="132" t="s">
        <v>125</v>
      </c>
      <c r="P36" s="457" t="s">
        <v>116</v>
      </c>
      <c r="Q36" s="41"/>
    </row>
    <row r="37" spans="1:19" s="40" customFormat="1" ht="31.5" customHeight="1" x14ac:dyDescent="0.25">
      <c r="A37" s="501"/>
      <c r="B37" s="398"/>
      <c r="C37" s="394"/>
      <c r="D37" s="394"/>
      <c r="E37" s="131"/>
      <c r="F37" s="355"/>
      <c r="G37" s="131"/>
      <c r="H37" s="237"/>
      <c r="I37" s="499"/>
      <c r="J37" s="131" t="s">
        <v>119</v>
      </c>
      <c r="K37" s="131" t="s">
        <v>120</v>
      </c>
      <c r="L37" s="131" t="s">
        <v>121</v>
      </c>
      <c r="M37" s="131" t="s">
        <v>122</v>
      </c>
      <c r="N37" s="131"/>
      <c r="O37" s="131"/>
      <c r="P37" s="457"/>
      <c r="Q37" s="41"/>
    </row>
    <row r="38" spans="1:19" s="40" customFormat="1" ht="27" customHeight="1" x14ac:dyDescent="0.25">
      <c r="A38" s="501"/>
      <c r="B38" s="398"/>
      <c r="C38" s="394"/>
      <c r="D38" s="394"/>
      <c r="E38" s="131"/>
      <c r="F38" s="157">
        <v>100</v>
      </c>
      <c r="G38" s="133">
        <v>100</v>
      </c>
      <c r="H38" s="133">
        <v>100</v>
      </c>
      <c r="I38" s="133">
        <v>100</v>
      </c>
      <c r="J38" s="133">
        <v>100</v>
      </c>
      <c r="K38" s="133">
        <v>100</v>
      </c>
      <c r="L38" s="133">
        <v>100</v>
      </c>
      <c r="M38" s="133">
        <v>100</v>
      </c>
      <c r="N38" s="133">
        <v>100</v>
      </c>
      <c r="O38" s="133">
        <v>100</v>
      </c>
      <c r="P38" s="457"/>
      <c r="Q38" s="41"/>
    </row>
    <row r="39" spans="1:19" s="40" customFormat="1" ht="43.5" customHeight="1" x14ac:dyDescent="0.25">
      <c r="A39" s="501" t="s">
        <v>32</v>
      </c>
      <c r="B39" s="365" t="s">
        <v>263</v>
      </c>
      <c r="C39" s="503" t="s">
        <v>46</v>
      </c>
      <c r="D39" s="92" t="s">
        <v>40</v>
      </c>
      <c r="E39" s="134"/>
      <c r="F39" s="156">
        <f>SUM(G39:O39)</f>
        <v>0</v>
      </c>
      <c r="G39" s="134">
        <v>0</v>
      </c>
      <c r="H39" s="238">
        <v>0</v>
      </c>
      <c r="I39" s="498">
        <v>0</v>
      </c>
      <c r="J39" s="498"/>
      <c r="K39" s="498"/>
      <c r="L39" s="498"/>
      <c r="M39" s="498"/>
      <c r="N39" s="134">
        <v>0</v>
      </c>
      <c r="O39" s="134">
        <v>0</v>
      </c>
      <c r="P39" s="497" t="s">
        <v>265</v>
      </c>
      <c r="Q39" s="108"/>
      <c r="R39" s="108"/>
      <c r="S39" s="108"/>
    </row>
    <row r="40" spans="1:19" s="40" customFormat="1" ht="51" customHeight="1" x14ac:dyDescent="0.25">
      <c r="A40" s="501"/>
      <c r="B40" s="365"/>
      <c r="C40" s="503"/>
      <c r="D40" s="92" t="s">
        <v>1</v>
      </c>
      <c r="E40" s="134"/>
      <c r="F40" s="156">
        <f>SUM(G40:O40)</f>
        <v>3752</v>
      </c>
      <c r="G40" s="134">
        <v>0</v>
      </c>
      <c r="H40" s="238">
        <v>3752</v>
      </c>
      <c r="I40" s="498">
        <v>0</v>
      </c>
      <c r="J40" s="498"/>
      <c r="K40" s="498"/>
      <c r="L40" s="498"/>
      <c r="M40" s="498"/>
      <c r="N40" s="134">
        <v>0</v>
      </c>
      <c r="O40" s="134">
        <v>0</v>
      </c>
      <c r="P40" s="497"/>
      <c r="Q40" s="108"/>
      <c r="R40" s="108"/>
      <c r="S40" s="108"/>
    </row>
    <row r="41" spans="1:19" s="40" customFormat="1" ht="65.25" customHeight="1" x14ac:dyDescent="0.25">
      <c r="A41" s="501"/>
      <c r="B41" s="365"/>
      <c r="C41" s="503"/>
      <c r="D41" s="92" t="s">
        <v>48</v>
      </c>
      <c r="E41" s="134">
        <v>0</v>
      </c>
      <c r="F41" s="156">
        <f>SUM(G41:O41)</f>
        <v>0</v>
      </c>
      <c r="G41" s="134">
        <v>0</v>
      </c>
      <c r="H41" s="238">
        <v>0</v>
      </c>
      <c r="I41" s="498">
        <v>0</v>
      </c>
      <c r="J41" s="498"/>
      <c r="K41" s="498"/>
      <c r="L41" s="498"/>
      <c r="M41" s="498"/>
      <c r="N41" s="134">
        <v>0</v>
      </c>
      <c r="O41" s="134">
        <v>0</v>
      </c>
      <c r="P41" s="497"/>
      <c r="Q41" s="108"/>
      <c r="R41" s="108"/>
      <c r="S41" s="108"/>
    </row>
    <row r="42" spans="1:19" s="40" customFormat="1" ht="48" customHeight="1" x14ac:dyDescent="0.25">
      <c r="A42" s="501"/>
      <c r="B42" s="365"/>
      <c r="C42" s="503"/>
      <c r="D42" s="92" t="s">
        <v>87</v>
      </c>
      <c r="E42" s="134"/>
      <c r="F42" s="156">
        <f>SUM(G42:O42)</f>
        <v>0</v>
      </c>
      <c r="G42" s="134">
        <v>0</v>
      </c>
      <c r="H42" s="238">
        <v>0</v>
      </c>
      <c r="I42" s="498">
        <v>0</v>
      </c>
      <c r="J42" s="498"/>
      <c r="K42" s="498"/>
      <c r="L42" s="498"/>
      <c r="M42" s="498"/>
      <c r="N42" s="134">
        <v>0</v>
      </c>
      <c r="O42" s="134">
        <v>0</v>
      </c>
      <c r="P42" s="497"/>
      <c r="Q42" s="108"/>
      <c r="R42" s="108"/>
      <c r="S42" s="108"/>
    </row>
    <row r="43" spans="1:19" s="40" customFormat="1" ht="23.25" customHeight="1" x14ac:dyDescent="0.25">
      <c r="A43" s="501"/>
      <c r="B43" s="522" t="s">
        <v>264</v>
      </c>
      <c r="C43" s="394" t="s">
        <v>116</v>
      </c>
      <c r="D43" s="394" t="s">
        <v>116</v>
      </c>
      <c r="E43" s="131"/>
      <c r="F43" s="355" t="s">
        <v>117</v>
      </c>
      <c r="G43" s="132" t="s">
        <v>220</v>
      </c>
      <c r="H43" s="234" t="s">
        <v>221</v>
      </c>
      <c r="I43" s="499" t="s">
        <v>123</v>
      </c>
      <c r="J43" s="500" t="s">
        <v>118</v>
      </c>
      <c r="K43" s="500"/>
      <c r="L43" s="500"/>
      <c r="M43" s="500"/>
      <c r="N43" s="132" t="s">
        <v>124</v>
      </c>
      <c r="O43" s="132" t="s">
        <v>125</v>
      </c>
      <c r="P43" s="457" t="s">
        <v>116</v>
      </c>
      <c r="Q43" s="41"/>
    </row>
    <row r="44" spans="1:19" s="40" customFormat="1" ht="21" customHeight="1" x14ac:dyDescent="0.25">
      <c r="A44" s="501"/>
      <c r="B44" s="522"/>
      <c r="C44" s="394"/>
      <c r="D44" s="394"/>
      <c r="E44" s="131"/>
      <c r="F44" s="355"/>
      <c r="G44" s="131"/>
      <c r="H44" s="237"/>
      <c r="I44" s="499"/>
      <c r="J44" s="131" t="s">
        <v>119</v>
      </c>
      <c r="K44" s="131" t="s">
        <v>120</v>
      </c>
      <c r="L44" s="131" t="s">
        <v>121</v>
      </c>
      <c r="M44" s="131" t="s">
        <v>122</v>
      </c>
      <c r="N44" s="131"/>
      <c r="O44" s="131"/>
      <c r="P44" s="457"/>
      <c r="Q44" s="41"/>
    </row>
    <row r="45" spans="1:19" s="40" customFormat="1" ht="37.5" customHeight="1" x14ac:dyDescent="0.25">
      <c r="A45" s="501"/>
      <c r="B45" s="522"/>
      <c r="C45" s="394"/>
      <c r="D45" s="394"/>
      <c r="E45" s="131"/>
      <c r="F45" s="259">
        <f>H45</f>
        <v>106.86</v>
      </c>
      <c r="G45" s="133">
        <v>0</v>
      </c>
      <c r="H45" s="258">
        <v>106.86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457"/>
      <c r="Q45" s="41"/>
    </row>
    <row r="46" spans="1:19" s="9" customFormat="1" ht="27.75" customHeight="1" x14ac:dyDescent="0.25">
      <c r="A46" s="400" t="s">
        <v>8</v>
      </c>
      <c r="B46" s="471" t="s">
        <v>228</v>
      </c>
      <c r="C46" s="467" t="s">
        <v>269</v>
      </c>
      <c r="D46" s="149" t="s">
        <v>2</v>
      </c>
      <c r="E46" s="150" t="e">
        <f>E48+E49</f>
        <v>#REF!</v>
      </c>
      <c r="F46" s="156">
        <f>SUM(G46:O46)</f>
        <v>7019</v>
      </c>
      <c r="G46" s="150">
        <f t="shared" ref="G46:H46" si="23">G47+G48+G49+G50</f>
        <v>333</v>
      </c>
      <c r="H46" s="241">
        <f t="shared" si="23"/>
        <v>2178</v>
      </c>
      <c r="I46" s="507">
        <f>I47+I48+I49+I50</f>
        <v>4508</v>
      </c>
      <c r="J46" s="507"/>
      <c r="K46" s="507"/>
      <c r="L46" s="507"/>
      <c r="M46" s="507"/>
      <c r="N46" s="150">
        <f t="shared" ref="N46:O46" si="24">N47+N48+N49+N50</f>
        <v>0</v>
      </c>
      <c r="O46" s="150">
        <f t="shared" si="24"/>
        <v>0</v>
      </c>
      <c r="P46" s="492"/>
      <c r="Q46" s="98"/>
      <c r="R46" s="98"/>
      <c r="S46" s="98"/>
    </row>
    <row r="47" spans="1:19" s="9" customFormat="1" ht="49.5" customHeight="1" x14ac:dyDescent="0.25">
      <c r="A47" s="400"/>
      <c r="B47" s="471"/>
      <c r="C47" s="467"/>
      <c r="D47" s="151" t="s">
        <v>40</v>
      </c>
      <c r="E47" s="150"/>
      <c r="F47" s="156">
        <f>SUM(I47:O47)</f>
        <v>0</v>
      </c>
      <c r="G47" s="152">
        <f>G51</f>
        <v>0</v>
      </c>
      <c r="H47" s="239">
        <f t="shared" ref="H47" si="25">H51</f>
        <v>0</v>
      </c>
      <c r="I47" s="508">
        <f>I51</f>
        <v>0</v>
      </c>
      <c r="J47" s="508"/>
      <c r="K47" s="508"/>
      <c r="L47" s="508"/>
      <c r="M47" s="508"/>
      <c r="N47" s="152">
        <f t="shared" ref="N47:O47" si="26">N51</f>
        <v>0</v>
      </c>
      <c r="O47" s="152">
        <f t="shared" si="26"/>
        <v>0</v>
      </c>
      <c r="P47" s="492"/>
      <c r="Q47" s="98"/>
      <c r="R47" s="98"/>
      <c r="S47" s="98"/>
    </row>
    <row r="48" spans="1:19" s="9" customFormat="1" ht="51.75" customHeight="1" x14ac:dyDescent="0.25">
      <c r="A48" s="400"/>
      <c r="B48" s="471"/>
      <c r="C48" s="467"/>
      <c r="D48" s="151" t="s">
        <v>1</v>
      </c>
      <c r="E48" s="152" t="e">
        <f>#REF!+#REF!</f>
        <v>#REF!</v>
      </c>
      <c r="F48" s="156">
        <f>SUM(G48:O48)</f>
        <v>7019</v>
      </c>
      <c r="G48" s="152">
        <f t="shared" ref="G48:H48" si="27">G52+G62</f>
        <v>333</v>
      </c>
      <c r="H48" s="239">
        <f t="shared" si="27"/>
        <v>2178</v>
      </c>
      <c r="I48" s="508">
        <f>I52+I62</f>
        <v>4508</v>
      </c>
      <c r="J48" s="508"/>
      <c r="K48" s="508"/>
      <c r="L48" s="508"/>
      <c r="M48" s="508"/>
      <c r="N48" s="152">
        <f t="shared" ref="N48:O48" si="28">N52+N62</f>
        <v>0</v>
      </c>
      <c r="O48" s="152">
        <f t="shared" si="28"/>
        <v>0</v>
      </c>
      <c r="P48" s="492"/>
      <c r="Q48" s="98"/>
      <c r="R48" s="98"/>
      <c r="S48" s="98"/>
    </row>
    <row r="49" spans="1:19" s="9" customFormat="1" ht="75" customHeight="1" x14ac:dyDescent="0.25">
      <c r="A49" s="400"/>
      <c r="B49" s="471"/>
      <c r="C49" s="467"/>
      <c r="D49" s="151" t="s">
        <v>48</v>
      </c>
      <c r="E49" s="145" t="e">
        <f>#REF!+#REF!</f>
        <v>#REF!</v>
      </c>
      <c r="F49" s="156">
        <f>SUM(I49:O49)</f>
        <v>0</v>
      </c>
      <c r="G49" s="145">
        <f t="shared" ref="G49:H49" si="29">G53+G63</f>
        <v>0</v>
      </c>
      <c r="H49" s="240">
        <f t="shared" si="29"/>
        <v>0</v>
      </c>
      <c r="I49" s="504">
        <f>I53+I63</f>
        <v>0</v>
      </c>
      <c r="J49" s="504"/>
      <c r="K49" s="504"/>
      <c r="L49" s="504"/>
      <c r="M49" s="504"/>
      <c r="N49" s="145">
        <f t="shared" ref="N49:O49" si="30">N53+N63</f>
        <v>0</v>
      </c>
      <c r="O49" s="145">
        <f t="shared" si="30"/>
        <v>0</v>
      </c>
      <c r="P49" s="492"/>
      <c r="Q49" s="98"/>
      <c r="R49" s="98"/>
      <c r="S49" s="98"/>
    </row>
    <row r="50" spans="1:19" s="9" customFormat="1" ht="37.5" x14ac:dyDescent="0.25">
      <c r="A50" s="400"/>
      <c r="B50" s="471"/>
      <c r="C50" s="467"/>
      <c r="D50" s="151" t="s">
        <v>87</v>
      </c>
      <c r="E50" s="145"/>
      <c r="F50" s="156">
        <f>SUM(I50:O50)</f>
        <v>0</v>
      </c>
      <c r="G50" s="145">
        <f>G54</f>
        <v>0</v>
      </c>
      <c r="H50" s="240">
        <f t="shared" ref="H50" si="31">H54</f>
        <v>0</v>
      </c>
      <c r="I50" s="504">
        <f>I54</f>
        <v>0</v>
      </c>
      <c r="J50" s="504"/>
      <c r="K50" s="504"/>
      <c r="L50" s="504"/>
      <c r="M50" s="504"/>
      <c r="N50" s="145">
        <f t="shared" ref="N50:O50" si="32">N54</f>
        <v>0</v>
      </c>
      <c r="O50" s="145">
        <f t="shared" si="32"/>
        <v>0</v>
      </c>
      <c r="P50" s="492"/>
      <c r="Q50" s="98"/>
      <c r="R50" s="98"/>
      <c r="S50" s="98"/>
    </row>
    <row r="51" spans="1:19" s="40" customFormat="1" ht="54" customHeight="1" x14ac:dyDescent="0.25">
      <c r="A51" s="501" t="s">
        <v>34</v>
      </c>
      <c r="B51" s="502" t="s">
        <v>203</v>
      </c>
      <c r="C51" s="503" t="s">
        <v>269</v>
      </c>
      <c r="D51" s="92" t="s">
        <v>40</v>
      </c>
      <c r="E51" s="134"/>
      <c r="F51" s="156">
        <f>SUM(I51:O51)</f>
        <v>0</v>
      </c>
      <c r="G51" s="134">
        <v>0</v>
      </c>
      <c r="H51" s="238">
        <v>0</v>
      </c>
      <c r="I51" s="498">
        <v>0</v>
      </c>
      <c r="J51" s="498"/>
      <c r="K51" s="498"/>
      <c r="L51" s="498"/>
      <c r="M51" s="498"/>
      <c r="N51" s="134">
        <v>0</v>
      </c>
      <c r="O51" s="134">
        <v>0</v>
      </c>
      <c r="P51" s="497" t="s">
        <v>3</v>
      </c>
      <c r="Q51" s="108"/>
      <c r="R51" s="108"/>
      <c r="S51" s="108"/>
    </row>
    <row r="52" spans="1:19" s="40" customFormat="1" ht="51" customHeight="1" x14ac:dyDescent="0.25">
      <c r="A52" s="501"/>
      <c r="B52" s="502"/>
      <c r="C52" s="503"/>
      <c r="D52" s="92" t="s">
        <v>1</v>
      </c>
      <c r="E52" s="134"/>
      <c r="F52" s="156">
        <f>SUM(G52:O52)</f>
        <v>7019</v>
      </c>
      <c r="G52" s="134">
        <v>333</v>
      </c>
      <c r="H52" s="238">
        <v>2178</v>
      </c>
      <c r="I52" s="372">
        <v>4508</v>
      </c>
      <c r="J52" s="372"/>
      <c r="K52" s="372"/>
      <c r="L52" s="372"/>
      <c r="M52" s="372"/>
      <c r="N52" s="134">
        <v>0</v>
      </c>
      <c r="O52" s="134">
        <v>0</v>
      </c>
      <c r="P52" s="497"/>
      <c r="Q52" s="108"/>
      <c r="R52" s="108"/>
      <c r="S52" s="108"/>
    </row>
    <row r="53" spans="1:19" s="40" customFormat="1" ht="62.25" customHeight="1" x14ac:dyDescent="0.25">
      <c r="A53" s="501"/>
      <c r="B53" s="502"/>
      <c r="C53" s="503"/>
      <c r="D53" s="92" t="s">
        <v>48</v>
      </c>
      <c r="E53" s="134">
        <v>0</v>
      </c>
      <c r="F53" s="156">
        <f>SUM(I53:O53)</f>
        <v>0</v>
      </c>
      <c r="G53" s="134">
        <v>0</v>
      </c>
      <c r="H53" s="238">
        <v>0</v>
      </c>
      <c r="I53" s="498">
        <v>0</v>
      </c>
      <c r="J53" s="498"/>
      <c r="K53" s="498"/>
      <c r="L53" s="498"/>
      <c r="M53" s="498"/>
      <c r="N53" s="134">
        <v>0</v>
      </c>
      <c r="O53" s="134">
        <v>0</v>
      </c>
      <c r="P53" s="497"/>
      <c r="Q53" s="108"/>
      <c r="R53" s="108"/>
      <c r="S53" s="108"/>
    </row>
    <row r="54" spans="1:19" s="40" customFormat="1" ht="52.5" customHeight="1" x14ac:dyDescent="0.25">
      <c r="A54" s="501"/>
      <c r="B54" s="502"/>
      <c r="C54" s="503"/>
      <c r="D54" s="92" t="s">
        <v>87</v>
      </c>
      <c r="E54" s="134"/>
      <c r="F54" s="156">
        <f>SUM(I54:O54)</f>
        <v>0</v>
      </c>
      <c r="G54" s="134">
        <v>0</v>
      </c>
      <c r="H54" s="238">
        <v>0</v>
      </c>
      <c r="I54" s="498">
        <v>0</v>
      </c>
      <c r="J54" s="498"/>
      <c r="K54" s="498"/>
      <c r="L54" s="498"/>
      <c r="M54" s="498"/>
      <c r="N54" s="134">
        <v>0</v>
      </c>
      <c r="O54" s="134">
        <v>0</v>
      </c>
      <c r="P54" s="497"/>
      <c r="Q54" s="108"/>
      <c r="R54" s="108"/>
      <c r="S54" s="108"/>
    </row>
    <row r="55" spans="1:19" s="40" customFormat="1" ht="40.5" customHeight="1" x14ac:dyDescent="0.25">
      <c r="A55" s="501"/>
      <c r="B55" s="398" t="s">
        <v>261</v>
      </c>
      <c r="C55" s="394" t="s">
        <v>116</v>
      </c>
      <c r="D55" s="394" t="s">
        <v>116</v>
      </c>
      <c r="E55" s="327"/>
      <c r="F55" s="355" t="s">
        <v>117</v>
      </c>
      <c r="G55" s="326" t="s">
        <v>220</v>
      </c>
      <c r="H55" s="326" t="s">
        <v>221</v>
      </c>
      <c r="I55" s="499" t="s">
        <v>123</v>
      </c>
      <c r="J55" s="500" t="s">
        <v>118</v>
      </c>
      <c r="K55" s="500"/>
      <c r="L55" s="500"/>
      <c r="M55" s="500"/>
      <c r="N55" s="326" t="s">
        <v>124</v>
      </c>
      <c r="O55" s="326" t="s">
        <v>125</v>
      </c>
      <c r="P55" s="457" t="s">
        <v>116</v>
      </c>
      <c r="Q55" s="41"/>
    </row>
    <row r="56" spans="1:19" s="40" customFormat="1" ht="28.5" customHeight="1" x14ac:dyDescent="0.25">
      <c r="A56" s="501"/>
      <c r="B56" s="398"/>
      <c r="C56" s="394"/>
      <c r="D56" s="394"/>
      <c r="E56" s="327"/>
      <c r="F56" s="355"/>
      <c r="G56" s="327"/>
      <c r="H56" s="327"/>
      <c r="I56" s="499"/>
      <c r="J56" s="327" t="s">
        <v>119</v>
      </c>
      <c r="K56" s="327" t="s">
        <v>120</v>
      </c>
      <c r="L56" s="327" t="s">
        <v>121</v>
      </c>
      <c r="M56" s="327" t="s">
        <v>122</v>
      </c>
      <c r="N56" s="327"/>
      <c r="O56" s="327"/>
      <c r="P56" s="457"/>
      <c r="Q56" s="41"/>
    </row>
    <row r="57" spans="1:19" s="40" customFormat="1" ht="34.5" customHeight="1" x14ac:dyDescent="0.25">
      <c r="A57" s="501"/>
      <c r="B57" s="398"/>
      <c r="C57" s="394"/>
      <c r="D57" s="394"/>
      <c r="E57" s="327"/>
      <c r="F57" s="157">
        <f>G57+I57</f>
        <v>74</v>
      </c>
      <c r="G57" s="133">
        <v>74</v>
      </c>
      <c r="H57" s="133">
        <v>154</v>
      </c>
      <c r="I57" s="250">
        <v>0</v>
      </c>
      <c r="J57" s="250">
        <v>0</v>
      </c>
      <c r="K57" s="250">
        <v>0</v>
      </c>
      <c r="L57" s="250">
        <v>0</v>
      </c>
      <c r="M57" s="250">
        <v>0</v>
      </c>
      <c r="N57" s="133">
        <v>0</v>
      </c>
      <c r="O57" s="133">
        <v>0</v>
      </c>
      <c r="P57" s="457"/>
      <c r="Q57" s="41"/>
    </row>
    <row r="58" spans="1:19" s="40" customFormat="1" ht="40.5" customHeight="1" x14ac:dyDescent="0.25">
      <c r="A58" s="501"/>
      <c r="B58" s="565" t="s">
        <v>278</v>
      </c>
      <c r="C58" s="394" t="s">
        <v>116</v>
      </c>
      <c r="D58" s="394" t="s">
        <v>116</v>
      </c>
      <c r="E58" s="131"/>
      <c r="F58" s="355" t="s">
        <v>117</v>
      </c>
      <c r="G58" s="132" t="s">
        <v>220</v>
      </c>
      <c r="H58" s="234" t="s">
        <v>221</v>
      </c>
      <c r="I58" s="499" t="s">
        <v>123</v>
      </c>
      <c r="J58" s="500" t="s">
        <v>118</v>
      </c>
      <c r="K58" s="500"/>
      <c r="L58" s="500"/>
      <c r="M58" s="500"/>
      <c r="N58" s="132" t="s">
        <v>124</v>
      </c>
      <c r="O58" s="132" t="s">
        <v>125</v>
      </c>
      <c r="P58" s="457" t="s">
        <v>116</v>
      </c>
      <c r="Q58" s="41"/>
    </row>
    <row r="59" spans="1:19" s="40" customFormat="1" ht="28.5" customHeight="1" x14ac:dyDescent="0.25">
      <c r="A59" s="501"/>
      <c r="B59" s="565"/>
      <c r="C59" s="394"/>
      <c r="D59" s="394"/>
      <c r="E59" s="131"/>
      <c r="F59" s="355"/>
      <c r="G59" s="131"/>
      <c r="H59" s="237"/>
      <c r="I59" s="499"/>
      <c r="J59" s="131" t="s">
        <v>119</v>
      </c>
      <c r="K59" s="131" t="s">
        <v>120</v>
      </c>
      <c r="L59" s="131" t="s">
        <v>121</v>
      </c>
      <c r="M59" s="131" t="s">
        <v>122</v>
      </c>
      <c r="N59" s="131"/>
      <c r="O59" s="131"/>
      <c r="P59" s="457"/>
      <c r="Q59" s="41"/>
    </row>
    <row r="60" spans="1:19" s="40" customFormat="1" ht="34.5" customHeight="1" x14ac:dyDescent="0.25">
      <c r="A60" s="501"/>
      <c r="B60" s="565"/>
      <c r="C60" s="394"/>
      <c r="D60" s="394"/>
      <c r="E60" s="131"/>
      <c r="F60" s="566">
        <f>G60+I60</f>
        <v>100</v>
      </c>
      <c r="G60" s="133">
        <v>0</v>
      </c>
      <c r="H60" s="133">
        <v>0</v>
      </c>
      <c r="I60" s="567">
        <v>100</v>
      </c>
      <c r="J60" s="567">
        <v>100</v>
      </c>
      <c r="K60" s="567">
        <v>100</v>
      </c>
      <c r="L60" s="567">
        <v>100</v>
      </c>
      <c r="M60" s="567">
        <v>100</v>
      </c>
      <c r="N60" s="133">
        <v>0</v>
      </c>
      <c r="O60" s="133">
        <v>0</v>
      </c>
      <c r="P60" s="457"/>
      <c r="Q60" s="41"/>
    </row>
    <row r="61" spans="1:19" s="9" customFormat="1" ht="29.25" customHeight="1" x14ac:dyDescent="0.25">
      <c r="A61" s="400" t="s">
        <v>37</v>
      </c>
      <c r="B61" s="401" t="s">
        <v>109</v>
      </c>
      <c r="C61" s="467" t="s">
        <v>86</v>
      </c>
      <c r="D61" s="149" t="s">
        <v>2</v>
      </c>
      <c r="E61" s="150" t="e">
        <f>E63+E64</f>
        <v>#REF!</v>
      </c>
      <c r="F61" s="156">
        <f t="shared" ref="F61:F65" si="33">SUM(G61:O61)</f>
        <v>181527.71100000001</v>
      </c>
      <c r="G61" s="150">
        <f t="shared" ref="G61:H61" si="34">G62+G63+G64+G65</f>
        <v>12718.079</v>
      </c>
      <c r="H61" s="241">
        <f t="shared" si="34"/>
        <v>35778.392</v>
      </c>
      <c r="I61" s="507">
        <f>I62+I63+I64+I65</f>
        <v>52783.24</v>
      </c>
      <c r="J61" s="507"/>
      <c r="K61" s="507"/>
      <c r="L61" s="507"/>
      <c r="M61" s="507"/>
      <c r="N61" s="150">
        <f t="shared" ref="N61:O61" si="35">N62+N63+N64+N65</f>
        <v>40124</v>
      </c>
      <c r="O61" s="150">
        <f t="shared" si="35"/>
        <v>40124</v>
      </c>
      <c r="P61" s="492"/>
      <c r="Q61" s="98"/>
      <c r="R61" s="98"/>
      <c r="S61" s="98"/>
    </row>
    <row r="62" spans="1:19" s="9" customFormat="1" ht="43.5" customHeight="1" x14ac:dyDescent="0.25">
      <c r="A62" s="400"/>
      <c r="B62" s="401"/>
      <c r="C62" s="467"/>
      <c r="D62" s="151" t="s">
        <v>40</v>
      </c>
      <c r="E62" s="150"/>
      <c r="F62" s="156">
        <f t="shared" si="33"/>
        <v>0</v>
      </c>
      <c r="G62" s="253">
        <f>G66</f>
        <v>0</v>
      </c>
      <c r="H62" s="296">
        <f>H66</f>
        <v>0</v>
      </c>
      <c r="I62" s="508">
        <f>I66</f>
        <v>0</v>
      </c>
      <c r="J62" s="508"/>
      <c r="K62" s="508"/>
      <c r="L62" s="508"/>
      <c r="M62" s="508"/>
      <c r="N62" s="152">
        <f>N66</f>
        <v>0</v>
      </c>
      <c r="O62" s="296">
        <f>O66</f>
        <v>0</v>
      </c>
      <c r="P62" s="492"/>
      <c r="Q62" s="98"/>
      <c r="R62" s="98"/>
      <c r="S62" s="98"/>
    </row>
    <row r="63" spans="1:19" s="9" customFormat="1" ht="45.75" customHeight="1" x14ac:dyDescent="0.25">
      <c r="A63" s="400"/>
      <c r="B63" s="401"/>
      <c r="C63" s="467"/>
      <c r="D63" s="151" t="s">
        <v>1</v>
      </c>
      <c r="E63" s="152" t="e">
        <f>#REF!+#REF!</f>
        <v>#REF!</v>
      </c>
      <c r="F63" s="156">
        <f t="shared" si="33"/>
        <v>0</v>
      </c>
      <c r="G63" s="296">
        <f t="shared" ref="G63:I63" si="36">G67</f>
        <v>0</v>
      </c>
      <c r="H63" s="296">
        <f t="shared" si="36"/>
        <v>0</v>
      </c>
      <c r="I63" s="508">
        <f t="shared" si="36"/>
        <v>0</v>
      </c>
      <c r="J63" s="508"/>
      <c r="K63" s="508"/>
      <c r="L63" s="508"/>
      <c r="M63" s="508"/>
      <c r="N63" s="296">
        <f t="shared" ref="N63:O63" si="37">N67</f>
        <v>0</v>
      </c>
      <c r="O63" s="296">
        <f t="shared" si="37"/>
        <v>0</v>
      </c>
      <c r="P63" s="492"/>
      <c r="Q63" s="98"/>
      <c r="R63" s="98"/>
      <c r="S63" s="98"/>
    </row>
    <row r="64" spans="1:19" s="9" customFormat="1" ht="72" customHeight="1" x14ac:dyDescent="0.25">
      <c r="A64" s="400"/>
      <c r="B64" s="401"/>
      <c r="C64" s="467"/>
      <c r="D64" s="151" t="s">
        <v>48</v>
      </c>
      <c r="E64" s="145" t="e">
        <f>#REF!+#REF!</f>
        <v>#REF!</v>
      </c>
      <c r="F64" s="156">
        <f t="shared" si="33"/>
        <v>181527.71100000001</v>
      </c>
      <c r="G64" s="296">
        <f t="shared" ref="G64:I64" si="38">G68</f>
        <v>12718.079</v>
      </c>
      <c r="H64" s="296">
        <f t="shared" si="38"/>
        <v>35778.392</v>
      </c>
      <c r="I64" s="508">
        <f t="shared" si="38"/>
        <v>52783.24</v>
      </c>
      <c r="J64" s="508"/>
      <c r="K64" s="508"/>
      <c r="L64" s="508"/>
      <c r="M64" s="508"/>
      <c r="N64" s="296">
        <f t="shared" ref="N64:O64" si="39">N68</f>
        <v>40124</v>
      </c>
      <c r="O64" s="296">
        <f t="shared" si="39"/>
        <v>40124</v>
      </c>
      <c r="P64" s="492"/>
      <c r="Q64" s="98"/>
      <c r="R64" s="98"/>
      <c r="S64" s="98"/>
    </row>
    <row r="65" spans="1:21" s="9" customFormat="1" ht="51" customHeight="1" x14ac:dyDescent="0.25">
      <c r="A65" s="400"/>
      <c r="B65" s="401"/>
      <c r="C65" s="467"/>
      <c r="D65" s="151" t="s">
        <v>87</v>
      </c>
      <c r="E65" s="145"/>
      <c r="F65" s="156">
        <f t="shared" si="33"/>
        <v>0</v>
      </c>
      <c r="G65" s="296">
        <f t="shared" ref="G65:I65" si="40">G69</f>
        <v>0</v>
      </c>
      <c r="H65" s="296">
        <f t="shared" si="40"/>
        <v>0</v>
      </c>
      <c r="I65" s="508">
        <f t="shared" si="40"/>
        <v>0</v>
      </c>
      <c r="J65" s="508"/>
      <c r="K65" s="508"/>
      <c r="L65" s="508"/>
      <c r="M65" s="508"/>
      <c r="N65" s="296">
        <f t="shared" ref="N65:O65" si="41">N69</f>
        <v>0</v>
      </c>
      <c r="O65" s="296">
        <f t="shared" si="41"/>
        <v>0</v>
      </c>
      <c r="P65" s="492"/>
      <c r="Q65" s="98"/>
      <c r="R65" s="98"/>
      <c r="S65" s="98"/>
    </row>
    <row r="66" spans="1:21" s="40" customFormat="1" ht="46.5" customHeight="1" x14ac:dyDescent="0.25">
      <c r="A66" s="501" t="s">
        <v>204</v>
      </c>
      <c r="B66" s="502" t="s">
        <v>208</v>
      </c>
      <c r="C66" s="503" t="s">
        <v>207</v>
      </c>
      <c r="D66" s="92" t="s">
        <v>40</v>
      </c>
      <c r="E66" s="134"/>
      <c r="F66" s="156">
        <f>SUM(G66:O66)</f>
        <v>0</v>
      </c>
      <c r="G66" s="134">
        <v>0</v>
      </c>
      <c r="H66" s="238">
        <v>0</v>
      </c>
      <c r="I66" s="498">
        <v>0</v>
      </c>
      <c r="J66" s="498"/>
      <c r="K66" s="498"/>
      <c r="L66" s="498"/>
      <c r="M66" s="498"/>
      <c r="N66" s="134">
        <v>0</v>
      </c>
      <c r="O66" s="134">
        <v>0</v>
      </c>
      <c r="P66" s="497" t="s">
        <v>65</v>
      </c>
      <c r="Q66" s="108"/>
      <c r="R66" s="108"/>
      <c r="S66" s="108"/>
    </row>
    <row r="67" spans="1:21" s="40" customFormat="1" ht="49.5" customHeight="1" x14ac:dyDescent="0.25">
      <c r="A67" s="501"/>
      <c r="B67" s="502"/>
      <c r="C67" s="503"/>
      <c r="D67" s="92" t="s">
        <v>1</v>
      </c>
      <c r="E67" s="134"/>
      <c r="F67" s="156">
        <f>SUM(G67:O67)</f>
        <v>0</v>
      </c>
      <c r="G67" s="134">
        <v>0</v>
      </c>
      <c r="H67" s="238">
        <v>0</v>
      </c>
      <c r="I67" s="498">
        <v>0</v>
      </c>
      <c r="J67" s="498"/>
      <c r="K67" s="498"/>
      <c r="L67" s="498"/>
      <c r="M67" s="498"/>
      <c r="N67" s="134">
        <v>0</v>
      </c>
      <c r="O67" s="134">
        <v>0</v>
      </c>
      <c r="P67" s="497"/>
      <c r="Q67" s="108"/>
      <c r="R67" s="108"/>
      <c r="S67" s="108"/>
    </row>
    <row r="68" spans="1:21" s="40" customFormat="1" ht="57.75" customHeight="1" x14ac:dyDescent="0.25">
      <c r="A68" s="501"/>
      <c r="B68" s="502"/>
      <c r="C68" s="503"/>
      <c r="D68" s="92" t="s">
        <v>48</v>
      </c>
      <c r="E68" s="134">
        <v>0</v>
      </c>
      <c r="F68" s="156">
        <f>SUM(G68:O68)</f>
        <v>181527.71100000001</v>
      </c>
      <c r="G68" s="134">
        <v>12718.079</v>
      </c>
      <c r="H68" s="289">
        <v>35778.392</v>
      </c>
      <c r="I68" s="372">
        <f>40124+12659.24</f>
        <v>52783.24</v>
      </c>
      <c r="J68" s="372"/>
      <c r="K68" s="372"/>
      <c r="L68" s="372"/>
      <c r="M68" s="372"/>
      <c r="N68" s="289">
        <v>40124</v>
      </c>
      <c r="O68" s="289">
        <v>40124</v>
      </c>
      <c r="P68" s="497"/>
      <c r="Q68" s="108"/>
      <c r="R68" s="108"/>
      <c r="S68" s="108"/>
    </row>
    <row r="69" spans="1:21" s="40" customFormat="1" ht="52.5" customHeight="1" x14ac:dyDescent="0.25">
      <c r="A69" s="501"/>
      <c r="B69" s="502"/>
      <c r="C69" s="503"/>
      <c r="D69" s="92" t="s">
        <v>87</v>
      </c>
      <c r="E69" s="134"/>
      <c r="F69" s="156">
        <f>SUM(G69:O69)</f>
        <v>0</v>
      </c>
      <c r="G69" s="134">
        <v>0</v>
      </c>
      <c r="H69" s="238">
        <v>0</v>
      </c>
      <c r="I69" s="498">
        <v>0</v>
      </c>
      <c r="J69" s="498"/>
      <c r="K69" s="498"/>
      <c r="L69" s="498"/>
      <c r="M69" s="498"/>
      <c r="N69" s="134">
        <v>0</v>
      </c>
      <c r="O69" s="134">
        <v>0</v>
      </c>
      <c r="P69" s="497"/>
      <c r="Q69" s="108"/>
      <c r="R69" s="108"/>
      <c r="S69" s="108"/>
    </row>
    <row r="70" spans="1:21" s="40" customFormat="1" ht="32.25" customHeight="1" x14ac:dyDescent="0.25">
      <c r="A70" s="501"/>
      <c r="B70" s="398" t="s">
        <v>176</v>
      </c>
      <c r="C70" s="394" t="s">
        <v>116</v>
      </c>
      <c r="D70" s="394" t="s">
        <v>116</v>
      </c>
      <c r="E70" s="131"/>
      <c r="F70" s="355" t="s">
        <v>117</v>
      </c>
      <c r="G70" s="132" t="s">
        <v>220</v>
      </c>
      <c r="H70" s="234" t="s">
        <v>221</v>
      </c>
      <c r="I70" s="499" t="s">
        <v>123</v>
      </c>
      <c r="J70" s="500" t="s">
        <v>118</v>
      </c>
      <c r="K70" s="500"/>
      <c r="L70" s="500"/>
      <c r="M70" s="500"/>
      <c r="N70" s="132" t="s">
        <v>124</v>
      </c>
      <c r="O70" s="132" t="s">
        <v>125</v>
      </c>
      <c r="P70" s="457" t="s">
        <v>116</v>
      </c>
      <c r="Q70" s="41"/>
    </row>
    <row r="71" spans="1:21" s="40" customFormat="1" ht="28.5" customHeight="1" x14ac:dyDescent="0.25">
      <c r="A71" s="501"/>
      <c r="B71" s="398"/>
      <c r="C71" s="394"/>
      <c r="D71" s="394"/>
      <c r="E71" s="131"/>
      <c r="F71" s="355"/>
      <c r="G71" s="131"/>
      <c r="H71" s="237"/>
      <c r="I71" s="499"/>
      <c r="J71" s="131" t="s">
        <v>119</v>
      </c>
      <c r="K71" s="131" t="s">
        <v>120</v>
      </c>
      <c r="L71" s="131" t="s">
        <v>121</v>
      </c>
      <c r="M71" s="131" t="s">
        <v>122</v>
      </c>
      <c r="N71" s="131"/>
      <c r="O71" s="131"/>
      <c r="P71" s="457"/>
      <c r="Q71" s="41"/>
    </row>
    <row r="72" spans="1:21" s="40" customFormat="1" ht="36" customHeight="1" x14ac:dyDescent="0.25">
      <c r="A72" s="501"/>
      <c r="B72" s="398"/>
      <c r="C72" s="394"/>
      <c r="D72" s="394"/>
      <c r="E72" s="131"/>
      <c r="F72" s="157">
        <v>100</v>
      </c>
      <c r="G72" s="133">
        <v>100</v>
      </c>
      <c r="H72" s="133">
        <v>100</v>
      </c>
      <c r="I72" s="133">
        <v>100</v>
      </c>
      <c r="J72" s="133">
        <v>100</v>
      </c>
      <c r="K72" s="133">
        <v>100</v>
      </c>
      <c r="L72" s="133">
        <v>100</v>
      </c>
      <c r="M72" s="133">
        <v>100</v>
      </c>
      <c r="N72" s="133">
        <v>100</v>
      </c>
      <c r="O72" s="133">
        <v>100</v>
      </c>
      <c r="P72" s="457"/>
      <c r="Q72" s="41"/>
    </row>
    <row r="73" spans="1:21" s="9" customFormat="1" ht="32.25" customHeight="1" x14ac:dyDescent="0.25">
      <c r="A73" s="343" t="s">
        <v>10</v>
      </c>
      <c r="B73" s="366" t="s">
        <v>244</v>
      </c>
      <c r="C73" s="366" t="s">
        <v>46</v>
      </c>
      <c r="D73" s="141" t="s">
        <v>2</v>
      </c>
      <c r="E73" s="142" t="e">
        <f>E75+E76+E74</f>
        <v>#REF!</v>
      </c>
      <c r="F73" s="156">
        <f t="shared" ref="F73:F81" si="42">SUM(G73:O73)</f>
        <v>15267.931240000002</v>
      </c>
      <c r="G73" s="142">
        <f t="shared" ref="G73:H73" si="43">G74+G75+G76+G77</f>
        <v>0</v>
      </c>
      <c r="H73" s="236">
        <f t="shared" si="43"/>
        <v>15267.931240000002</v>
      </c>
      <c r="I73" s="505">
        <f>I74+I75+I76+I77</f>
        <v>0</v>
      </c>
      <c r="J73" s="505"/>
      <c r="K73" s="505"/>
      <c r="L73" s="505"/>
      <c r="M73" s="505"/>
      <c r="N73" s="142">
        <f t="shared" ref="N73:O73" si="44">N74+N75+N76+N77</f>
        <v>0</v>
      </c>
      <c r="O73" s="142">
        <f t="shared" si="44"/>
        <v>0</v>
      </c>
      <c r="P73" s="432"/>
      <c r="Q73" s="109"/>
      <c r="R73" s="109"/>
      <c r="S73" s="109"/>
      <c r="T73" s="45"/>
      <c r="U73" s="45"/>
    </row>
    <row r="74" spans="1:21" s="9" customFormat="1" ht="45" customHeight="1" x14ac:dyDescent="0.25">
      <c r="A74" s="343"/>
      <c r="B74" s="366"/>
      <c r="C74" s="366"/>
      <c r="D74" s="141" t="s">
        <v>40</v>
      </c>
      <c r="E74" s="143">
        <f>E133</f>
        <v>0</v>
      </c>
      <c r="F74" s="156">
        <f t="shared" si="42"/>
        <v>11309.578670000001</v>
      </c>
      <c r="G74" s="143">
        <f t="shared" ref="G74:H74" si="45">G78</f>
        <v>0</v>
      </c>
      <c r="H74" s="235">
        <f t="shared" si="45"/>
        <v>11309.578670000001</v>
      </c>
      <c r="I74" s="495">
        <f>I78</f>
        <v>0</v>
      </c>
      <c r="J74" s="495"/>
      <c r="K74" s="495"/>
      <c r="L74" s="495"/>
      <c r="M74" s="495"/>
      <c r="N74" s="143">
        <f t="shared" ref="N74:O74" si="46">N78</f>
        <v>0</v>
      </c>
      <c r="O74" s="143">
        <f t="shared" si="46"/>
        <v>0</v>
      </c>
      <c r="P74" s="432"/>
      <c r="Q74" s="109"/>
      <c r="R74" s="109"/>
      <c r="S74" s="109"/>
      <c r="T74" s="45"/>
      <c r="U74" s="45"/>
    </row>
    <row r="75" spans="1:21" s="9" customFormat="1" ht="48.75" customHeight="1" x14ac:dyDescent="0.25">
      <c r="A75" s="343"/>
      <c r="B75" s="366"/>
      <c r="C75" s="366"/>
      <c r="D75" s="141" t="s">
        <v>1</v>
      </c>
      <c r="E75" s="143" t="e">
        <f>#REF!+E78+E79+E115+#REF!+#REF!+E134+E139</f>
        <v>#REF!</v>
      </c>
      <c r="F75" s="156">
        <f t="shared" si="42"/>
        <v>3769.8595700000001</v>
      </c>
      <c r="G75" s="143">
        <f t="shared" ref="G75:H75" si="47">G79</f>
        <v>0</v>
      </c>
      <c r="H75" s="235">
        <f t="shared" si="47"/>
        <v>3769.8595700000001</v>
      </c>
      <c r="I75" s="495">
        <f>I79</f>
        <v>0</v>
      </c>
      <c r="J75" s="495"/>
      <c r="K75" s="495"/>
      <c r="L75" s="495"/>
      <c r="M75" s="495"/>
      <c r="N75" s="143">
        <f t="shared" ref="N75:O75" si="48">N79</f>
        <v>0</v>
      </c>
      <c r="O75" s="143">
        <f t="shared" si="48"/>
        <v>0</v>
      </c>
      <c r="P75" s="432"/>
      <c r="Q75" s="109"/>
      <c r="R75" s="109"/>
      <c r="S75" s="109"/>
      <c r="T75" s="45"/>
      <c r="U75" s="45"/>
    </row>
    <row r="76" spans="1:21" s="9" customFormat="1" ht="73.5" customHeight="1" x14ac:dyDescent="0.25">
      <c r="A76" s="343"/>
      <c r="B76" s="366"/>
      <c r="C76" s="366"/>
      <c r="D76" s="141" t="s">
        <v>48</v>
      </c>
      <c r="E76" s="143" t="e">
        <f>#REF!+E119+#REF!+#REF!+#REF!+E135+E141</f>
        <v>#REF!</v>
      </c>
      <c r="F76" s="156">
        <f t="shared" si="42"/>
        <v>188.49299999999999</v>
      </c>
      <c r="G76" s="143">
        <f t="shared" ref="G76:H76" si="49">G80</f>
        <v>0</v>
      </c>
      <c r="H76" s="235">
        <f t="shared" si="49"/>
        <v>188.49299999999999</v>
      </c>
      <c r="I76" s="495">
        <f>I80</f>
        <v>0</v>
      </c>
      <c r="J76" s="495"/>
      <c r="K76" s="495"/>
      <c r="L76" s="495"/>
      <c r="M76" s="495"/>
      <c r="N76" s="143">
        <f t="shared" ref="N76:O76" si="50">N80</f>
        <v>0</v>
      </c>
      <c r="O76" s="143">
        <f t="shared" si="50"/>
        <v>0</v>
      </c>
      <c r="P76" s="432"/>
      <c r="Q76" s="109"/>
      <c r="R76" s="109"/>
      <c r="S76" s="109"/>
      <c r="T76" s="45"/>
      <c r="U76" s="45"/>
    </row>
    <row r="77" spans="1:21" s="9" customFormat="1" ht="48" customHeight="1" x14ac:dyDescent="0.25">
      <c r="A77" s="343"/>
      <c r="B77" s="366"/>
      <c r="C77" s="366"/>
      <c r="D77" s="141" t="s">
        <v>87</v>
      </c>
      <c r="E77" s="143"/>
      <c r="F77" s="156">
        <f t="shared" si="42"/>
        <v>0</v>
      </c>
      <c r="G77" s="143">
        <f t="shared" ref="G77:H77" si="51">G81</f>
        <v>0</v>
      </c>
      <c r="H77" s="235">
        <f t="shared" si="51"/>
        <v>0</v>
      </c>
      <c r="I77" s="495">
        <f>I81</f>
        <v>0</v>
      </c>
      <c r="J77" s="495"/>
      <c r="K77" s="495"/>
      <c r="L77" s="495"/>
      <c r="M77" s="495"/>
      <c r="N77" s="143">
        <f t="shared" ref="N77:O77" si="52">N81</f>
        <v>0</v>
      </c>
      <c r="O77" s="143">
        <f t="shared" si="52"/>
        <v>0</v>
      </c>
      <c r="P77" s="432"/>
      <c r="Q77" s="109"/>
      <c r="R77" s="109"/>
      <c r="S77" s="109"/>
      <c r="T77" s="45"/>
      <c r="U77" s="45"/>
    </row>
    <row r="78" spans="1:21" s="40" customFormat="1" ht="55.5" customHeight="1" x14ac:dyDescent="0.25">
      <c r="A78" s="392" t="s">
        <v>58</v>
      </c>
      <c r="B78" s="393" t="s">
        <v>111</v>
      </c>
      <c r="C78" s="399" t="s">
        <v>46</v>
      </c>
      <c r="D78" s="92" t="s">
        <v>40</v>
      </c>
      <c r="E78" s="118">
        <v>200475</v>
      </c>
      <c r="F78" s="156">
        <f t="shared" si="42"/>
        <v>11309.578670000001</v>
      </c>
      <c r="G78" s="118">
        <v>0</v>
      </c>
      <c r="H78" s="233">
        <v>11309.578670000001</v>
      </c>
      <c r="I78" s="336">
        <v>0</v>
      </c>
      <c r="J78" s="336"/>
      <c r="K78" s="336"/>
      <c r="L78" s="336"/>
      <c r="M78" s="336"/>
      <c r="N78" s="118">
        <v>0</v>
      </c>
      <c r="O78" s="118">
        <v>0</v>
      </c>
      <c r="P78" s="485" t="s">
        <v>3</v>
      </c>
      <c r="Q78" s="108"/>
      <c r="R78" s="108"/>
      <c r="S78" s="108"/>
    </row>
    <row r="79" spans="1:21" s="40" customFormat="1" ht="45" customHeight="1" x14ac:dyDescent="0.25">
      <c r="A79" s="392"/>
      <c r="B79" s="393"/>
      <c r="C79" s="399"/>
      <c r="D79" s="92" t="s">
        <v>1</v>
      </c>
      <c r="E79" s="118">
        <v>93</v>
      </c>
      <c r="F79" s="156">
        <f t="shared" si="42"/>
        <v>3769.8595700000001</v>
      </c>
      <c r="G79" s="118">
        <v>0</v>
      </c>
      <c r="H79" s="233">
        <v>3769.8595700000001</v>
      </c>
      <c r="I79" s="336">
        <v>0</v>
      </c>
      <c r="J79" s="336"/>
      <c r="K79" s="336"/>
      <c r="L79" s="336"/>
      <c r="M79" s="336"/>
      <c r="N79" s="118">
        <v>0</v>
      </c>
      <c r="O79" s="118">
        <v>0</v>
      </c>
      <c r="P79" s="485"/>
      <c r="Q79" s="108"/>
      <c r="R79" s="108"/>
      <c r="S79" s="108"/>
    </row>
    <row r="80" spans="1:21" s="40" customFormat="1" ht="72.75" customHeight="1" x14ac:dyDescent="0.25">
      <c r="A80" s="392"/>
      <c r="B80" s="393"/>
      <c r="C80" s="399"/>
      <c r="D80" s="92" t="s">
        <v>47</v>
      </c>
      <c r="E80" s="118"/>
      <c r="F80" s="156">
        <f t="shared" si="42"/>
        <v>188.49299999999999</v>
      </c>
      <c r="G80" s="118">
        <v>0</v>
      </c>
      <c r="H80" s="233">
        <v>188.49299999999999</v>
      </c>
      <c r="I80" s="336">
        <v>0</v>
      </c>
      <c r="J80" s="336"/>
      <c r="K80" s="336"/>
      <c r="L80" s="336"/>
      <c r="M80" s="336"/>
      <c r="N80" s="118">
        <v>0</v>
      </c>
      <c r="O80" s="118">
        <v>0</v>
      </c>
      <c r="P80" s="485"/>
      <c r="Q80" s="108"/>
      <c r="R80" s="108"/>
      <c r="S80" s="108"/>
    </row>
    <row r="81" spans="1:21" s="40" customFormat="1" ht="49.5" customHeight="1" x14ac:dyDescent="0.25">
      <c r="A81" s="392"/>
      <c r="B81" s="393"/>
      <c r="C81" s="399"/>
      <c r="D81" s="92" t="s">
        <v>87</v>
      </c>
      <c r="E81" s="118"/>
      <c r="F81" s="156">
        <f t="shared" si="42"/>
        <v>0</v>
      </c>
      <c r="G81" s="118">
        <v>0</v>
      </c>
      <c r="H81" s="233">
        <v>0</v>
      </c>
      <c r="I81" s="506">
        <v>0</v>
      </c>
      <c r="J81" s="506"/>
      <c r="K81" s="506"/>
      <c r="L81" s="506"/>
      <c r="M81" s="506"/>
      <c r="N81" s="118">
        <v>0</v>
      </c>
      <c r="O81" s="118">
        <v>0</v>
      </c>
      <c r="P81" s="485"/>
      <c r="Q81" s="108"/>
      <c r="R81" s="108"/>
      <c r="S81" s="108"/>
    </row>
    <row r="82" spans="1:21" s="40" customFormat="1" ht="36" customHeight="1" x14ac:dyDescent="0.25">
      <c r="A82" s="392"/>
      <c r="B82" s="398" t="s">
        <v>177</v>
      </c>
      <c r="C82" s="394" t="s">
        <v>116</v>
      </c>
      <c r="D82" s="394" t="s">
        <v>116</v>
      </c>
      <c r="E82" s="131"/>
      <c r="F82" s="355" t="s">
        <v>117</v>
      </c>
      <c r="G82" s="132" t="s">
        <v>220</v>
      </c>
      <c r="H82" s="234" t="s">
        <v>221</v>
      </c>
      <c r="I82" s="499" t="s">
        <v>123</v>
      </c>
      <c r="J82" s="500" t="s">
        <v>118</v>
      </c>
      <c r="K82" s="500"/>
      <c r="L82" s="500"/>
      <c r="M82" s="500"/>
      <c r="N82" s="132" t="s">
        <v>124</v>
      </c>
      <c r="O82" s="132" t="s">
        <v>125</v>
      </c>
      <c r="P82" s="457" t="s">
        <v>116</v>
      </c>
      <c r="Q82" s="41"/>
    </row>
    <row r="83" spans="1:21" s="40" customFormat="1" ht="29.25" customHeight="1" x14ac:dyDescent="0.25">
      <c r="A83" s="392"/>
      <c r="B83" s="398"/>
      <c r="C83" s="394"/>
      <c r="D83" s="394"/>
      <c r="E83" s="131"/>
      <c r="F83" s="355"/>
      <c r="G83" s="131"/>
      <c r="H83" s="237"/>
      <c r="I83" s="499"/>
      <c r="J83" s="131" t="s">
        <v>119</v>
      </c>
      <c r="K83" s="131" t="s">
        <v>120</v>
      </c>
      <c r="L83" s="131" t="s">
        <v>121</v>
      </c>
      <c r="M83" s="131" t="s">
        <v>122</v>
      </c>
      <c r="N83" s="131"/>
      <c r="O83" s="131"/>
      <c r="P83" s="457"/>
      <c r="Q83" s="41"/>
    </row>
    <row r="84" spans="1:21" s="40" customFormat="1" ht="30.75" customHeight="1" x14ac:dyDescent="0.25">
      <c r="A84" s="392"/>
      <c r="B84" s="398"/>
      <c r="C84" s="394"/>
      <c r="D84" s="394"/>
      <c r="E84" s="131"/>
      <c r="F84" s="157">
        <f>I84+G84+H84+N84+O84</f>
        <v>1</v>
      </c>
      <c r="G84" s="133">
        <v>0</v>
      </c>
      <c r="H84" s="133">
        <v>1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457"/>
      <c r="Q84" s="41"/>
    </row>
    <row r="85" spans="1:21" s="9" customFormat="1" ht="26.25" customHeight="1" x14ac:dyDescent="0.25">
      <c r="A85" s="343" t="s">
        <v>12</v>
      </c>
      <c r="B85" s="366" t="s">
        <v>149</v>
      </c>
      <c r="C85" s="366" t="s">
        <v>45</v>
      </c>
      <c r="D85" s="141" t="s">
        <v>2</v>
      </c>
      <c r="E85" s="142" t="e">
        <f>E87+E88+E86</f>
        <v>#REF!</v>
      </c>
      <c r="F85" s="156">
        <f t="shared" ref="F85:F93" si="53">SUM(G85:O85)</f>
        <v>799.83450000000005</v>
      </c>
      <c r="G85" s="142">
        <f t="shared" ref="G85:H85" si="54">G86+G87+G88+G89</f>
        <v>799.83450000000005</v>
      </c>
      <c r="H85" s="236">
        <f t="shared" si="54"/>
        <v>0</v>
      </c>
      <c r="I85" s="505">
        <f>I86+I87+I88+I89</f>
        <v>0</v>
      </c>
      <c r="J85" s="505"/>
      <c r="K85" s="505"/>
      <c r="L85" s="505"/>
      <c r="M85" s="505"/>
      <c r="N85" s="142">
        <f t="shared" ref="N85:O85" si="55">N86+N87+N88+N89</f>
        <v>0</v>
      </c>
      <c r="O85" s="142">
        <f t="shared" si="55"/>
        <v>0</v>
      </c>
      <c r="P85" s="432"/>
      <c r="Q85" s="109"/>
      <c r="R85" s="109"/>
      <c r="S85" s="109"/>
      <c r="T85" s="45"/>
      <c r="U85" s="45"/>
    </row>
    <row r="86" spans="1:21" s="9" customFormat="1" ht="57" customHeight="1" x14ac:dyDescent="0.25">
      <c r="A86" s="343"/>
      <c r="B86" s="366"/>
      <c r="C86" s="366"/>
      <c r="D86" s="141" t="s">
        <v>40</v>
      </c>
      <c r="E86" s="143">
        <f>E124</f>
        <v>0</v>
      </c>
      <c r="F86" s="156">
        <f t="shared" si="53"/>
        <v>592.47</v>
      </c>
      <c r="G86" s="143">
        <f t="shared" ref="G86:H86" si="56">G90</f>
        <v>592.47</v>
      </c>
      <c r="H86" s="235">
        <f t="shared" si="56"/>
        <v>0</v>
      </c>
      <c r="I86" s="495">
        <f>I90</f>
        <v>0</v>
      </c>
      <c r="J86" s="495"/>
      <c r="K86" s="495"/>
      <c r="L86" s="495"/>
      <c r="M86" s="495"/>
      <c r="N86" s="143">
        <f t="shared" ref="N86:O86" si="57">N90</f>
        <v>0</v>
      </c>
      <c r="O86" s="143">
        <f t="shared" si="57"/>
        <v>0</v>
      </c>
      <c r="P86" s="432"/>
      <c r="Q86" s="109"/>
      <c r="R86" s="109"/>
      <c r="S86" s="109"/>
      <c r="T86" s="45"/>
      <c r="U86" s="45"/>
    </row>
    <row r="87" spans="1:21" s="9" customFormat="1" ht="60.75" customHeight="1" x14ac:dyDescent="0.25">
      <c r="A87" s="343"/>
      <c r="B87" s="366"/>
      <c r="C87" s="366"/>
      <c r="D87" s="141" t="s">
        <v>1</v>
      </c>
      <c r="E87" s="143" t="e">
        <f>#REF!+E90+E91+#REF!+#REF!+#REF!+E125+E130</f>
        <v>#REF!</v>
      </c>
      <c r="F87" s="156">
        <f t="shared" si="53"/>
        <v>197.49</v>
      </c>
      <c r="G87" s="143">
        <f t="shared" ref="G87:H87" si="58">G91</f>
        <v>197.49</v>
      </c>
      <c r="H87" s="235">
        <f t="shared" si="58"/>
        <v>0</v>
      </c>
      <c r="I87" s="495">
        <f>I91</f>
        <v>0</v>
      </c>
      <c r="J87" s="495"/>
      <c r="K87" s="495"/>
      <c r="L87" s="495"/>
      <c r="M87" s="495"/>
      <c r="N87" s="143">
        <f t="shared" ref="N87:O87" si="59">N91</f>
        <v>0</v>
      </c>
      <c r="O87" s="143">
        <f t="shared" si="59"/>
        <v>0</v>
      </c>
      <c r="P87" s="432"/>
      <c r="Q87" s="109"/>
      <c r="R87" s="109"/>
      <c r="S87" s="109"/>
      <c r="T87" s="45"/>
      <c r="U87" s="45"/>
    </row>
    <row r="88" spans="1:21" s="9" customFormat="1" ht="70.5" customHeight="1" x14ac:dyDescent="0.25">
      <c r="A88" s="343"/>
      <c r="B88" s="366"/>
      <c r="C88" s="366"/>
      <c r="D88" s="141" t="s">
        <v>48</v>
      </c>
      <c r="E88" s="143" t="e">
        <f>#REF!+E109+#REF!+#REF!+#REF!+E126+E132</f>
        <v>#REF!</v>
      </c>
      <c r="F88" s="156">
        <f t="shared" si="53"/>
        <v>9.8744999999999994</v>
      </c>
      <c r="G88" s="143">
        <f t="shared" ref="G88:H88" si="60">G92</f>
        <v>9.8744999999999994</v>
      </c>
      <c r="H88" s="235">
        <f t="shared" si="60"/>
        <v>0</v>
      </c>
      <c r="I88" s="495">
        <f>I92</f>
        <v>0</v>
      </c>
      <c r="J88" s="495"/>
      <c r="K88" s="495"/>
      <c r="L88" s="495"/>
      <c r="M88" s="495"/>
      <c r="N88" s="143">
        <f t="shared" ref="N88:O88" si="61">N92</f>
        <v>0</v>
      </c>
      <c r="O88" s="143">
        <f t="shared" si="61"/>
        <v>0</v>
      </c>
      <c r="P88" s="432"/>
      <c r="Q88" s="109"/>
      <c r="R88" s="109"/>
      <c r="S88" s="109"/>
      <c r="T88" s="45"/>
      <c r="U88" s="45"/>
    </row>
    <row r="89" spans="1:21" s="9" customFormat="1" ht="52.5" customHeight="1" x14ac:dyDescent="0.25">
      <c r="A89" s="343"/>
      <c r="B89" s="366"/>
      <c r="C89" s="366"/>
      <c r="D89" s="141" t="s">
        <v>87</v>
      </c>
      <c r="E89" s="143"/>
      <c r="F89" s="156">
        <f t="shared" si="53"/>
        <v>0</v>
      </c>
      <c r="G89" s="143">
        <f t="shared" ref="G89:H89" si="62">G93</f>
        <v>0</v>
      </c>
      <c r="H89" s="235">
        <f t="shared" si="62"/>
        <v>0</v>
      </c>
      <c r="I89" s="495">
        <f>I93</f>
        <v>0</v>
      </c>
      <c r="J89" s="495"/>
      <c r="K89" s="495"/>
      <c r="L89" s="495"/>
      <c r="M89" s="495"/>
      <c r="N89" s="143">
        <f t="shared" ref="N89:O89" si="63">N93</f>
        <v>0</v>
      </c>
      <c r="O89" s="143">
        <f t="shared" si="63"/>
        <v>0</v>
      </c>
      <c r="P89" s="432"/>
      <c r="Q89" s="109"/>
      <c r="R89" s="109"/>
      <c r="S89" s="109"/>
      <c r="T89" s="45"/>
      <c r="U89" s="45"/>
    </row>
    <row r="90" spans="1:21" s="40" customFormat="1" ht="49.5" customHeight="1" x14ac:dyDescent="0.25">
      <c r="A90" s="392" t="s">
        <v>106</v>
      </c>
      <c r="B90" s="393" t="s">
        <v>110</v>
      </c>
      <c r="C90" s="399" t="s">
        <v>45</v>
      </c>
      <c r="D90" s="92" t="s">
        <v>40</v>
      </c>
      <c r="E90" s="118">
        <v>200475</v>
      </c>
      <c r="F90" s="156">
        <f t="shared" si="53"/>
        <v>592.47</v>
      </c>
      <c r="G90" s="118">
        <v>592.47</v>
      </c>
      <c r="H90" s="233">
        <f>202841-202841</f>
        <v>0</v>
      </c>
      <c r="I90" s="506">
        <v>0</v>
      </c>
      <c r="J90" s="506"/>
      <c r="K90" s="506"/>
      <c r="L90" s="506"/>
      <c r="M90" s="506"/>
      <c r="N90" s="118">
        <v>0</v>
      </c>
      <c r="O90" s="118">
        <v>0</v>
      </c>
      <c r="P90" s="485" t="s">
        <v>3</v>
      </c>
      <c r="Q90" s="108"/>
      <c r="R90" s="108"/>
      <c r="S90" s="108"/>
    </row>
    <row r="91" spans="1:21" s="40" customFormat="1" ht="49.5" customHeight="1" x14ac:dyDescent="0.25">
      <c r="A91" s="392"/>
      <c r="B91" s="393"/>
      <c r="C91" s="399"/>
      <c r="D91" s="92" t="s">
        <v>1</v>
      </c>
      <c r="E91" s="118">
        <v>93</v>
      </c>
      <c r="F91" s="156">
        <f t="shared" si="53"/>
        <v>197.49</v>
      </c>
      <c r="G91" s="118">
        <v>197.49</v>
      </c>
      <c r="H91" s="233">
        <v>0</v>
      </c>
      <c r="I91" s="506">
        <v>0</v>
      </c>
      <c r="J91" s="506"/>
      <c r="K91" s="506"/>
      <c r="L91" s="506"/>
      <c r="M91" s="506"/>
      <c r="N91" s="118">
        <v>0</v>
      </c>
      <c r="O91" s="118">
        <v>0</v>
      </c>
      <c r="P91" s="485"/>
      <c r="Q91" s="108"/>
      <c r="R91" s="108"/>
      <c r="S91" s="108"/>
    </row>
    <row r="92" spans="1:21" s="40" customFormat="1" ht="66.75" customHeight="1" x14ac:dyDescent="0.25">
      <c r="A92" s="392"/>
      <c r="B92" s="393"/>
      <c r="C92" s="399"/>
      <c r="D92" s="92" t="s">
        <v>47</v>
      </c>
      <c r="E92" s="118"/>
      <c r="F92" s="156">
        <f t="shared" si="53"/>
        <v>9.8744999999999994</v>
      </c>
      <c r="G92" s="118">
        <v>9.8744999999999994</v>
      </c>
      <c r="H92" s="233">
        <v>0</v>
      </c>
      <c r="I92" s="506">
        <v>0</v>
      </c>
      <c r="J92" s="506"/>
      <c r="K92" s="506"/>
      <c r="L92" s="506"/>
      <c r="M92" s="506"/>
      <c r="N92" s="118">
        <v>0</v>
      </c>
      <c r="O92" s="118">
        <v>0</v>
      </c>
      <c r="P92" s="485"/>
      <c r="Q92" s="108"/>
      <c r="R92" s="108"/>
      <c r="S92" s="108"/>
    </row>
    <row r="93" spans="1:21" s="40" customFormat="1" ht="49.5" customHeight="1" x14ac:dyDescent="0.25">
      <c r="A93" s="392"/>
      <c r="B93" s="393"/>
      <c r="C93" s="399"/>
      <c r="D93" s="92" t="s">
        <v>87</v>
      </c>
      <c r="E93" s="118"/>
      <c r="F93" s="156">
        <f t="shared" si="53"/>
        <v>0</v>
      </c>
      <c r="G93" s="118">
        <v>0</v>
      </c>
      <c r="H93" s="233">
        <v>0</v>
      </c>
      <c r="I93" s="506">
        <v>0</v>
      </c>
      <c r="J93" s="506"/>
      <c r="K93" s="506"/>
      <c r="L93" s="506"/>
      <c r="M93" s="506"/>
      <c r="N93" s="118">
        <v>0</v>
      </c>
      <c r="O93" s="118">
        <v>0</v>
      </c>
      <c r="P93" s="485"/>
      <c r="Q93" s="108"/>
      <c r="R93" s="108"/>
      <c r="S93" s="108"/>
    </row>
    <row r="94" spans="1:21" s="40" customFormat="1" ht="28.5" customHeight="1" x14ac:dyDescent="0.25">
      <c r="A94" s="392"/>
      <c r="B94" s="398" t="s">
        <v>216</v>
      </c>
      <c r="C94" s="394" t="s">
        <v>116</v>
      </c>
      <c r="D94" s="394" t="s">
        <v>116</v>
      </c>
      <c r="E94" s="131"/>
      <c r="F94" s="355" t="s">
        <v>117</v>
      </c>
      <c r="G94" s="132" t="s">
        <v>220</v>
      </c>
      <c r="H94" s="234" t="s">
        <v>221</v>
      </c>
      <c r="I94" s="499" t="s">
        <v>123</v>
      </c>
      <c r="J94" s="500" t="s">
        <v>118</v>
      </c>
      <c r="K94" s="500"/>
      <c r="L94" s="500"/>
      <c r="M94" s="500"/>
      <c r="N94" s="132" t="s">
        <v>124</v>
      </c>
      <c r="O94" s="132" t="s">
        <v>125</v>
      </c>
      <c r="P94" s="457" t="s">
        <v>116</v>
      </c>
      <c r="Q94" s="41"/>
    </row>
    <row r="95" spans="1:21" s="40" customFormat="1" ht="28.5" customHeight="1" x14ac:dyDescent="0.25">
      <c r="A95" s="392"/>
      <c r="B95" s="398"/>
      <c r="C95" s="394"/>
      <c r="D95" s="394"/>
      <c r="E95" s="131"/>
      <c r="F95" s="355"/>
      <c r="G95" s="131"/>
      <c r="H95" s="237"/>
      <c r="I95" s="499"/>
      <c r="J95" s="131" t="s">
        <v>119</v>
      </c>
      <c r="K95" s="131" t="s">
        <v>120</v>
      </c>
      <c r="L95" s="131" t="s">
        <v>121</v>
      </c>
      <c r="M95" s="131" t="s">
        <v>122</v>
      </c>
      <c r="N95" s="131"/>
      <c r="O95" s="131"/>
      <c r="P95" s="457"/>
      <c r="Q95" s="41"/>
    </row>
    <row r="96" spans="1:21" s="40" customFormat="1" ht="40.5" customHeight="1" x14ac:dyDescent="0.25">
      <c r="A96" s="392"/>
      <c r="B96" s="398"/>
      <c r="C96" s="394"/>
      <c r="D96" s="394"/>
      <c r="E96" s="131"/>
      <c r="F96" s="157">
        <v>13</v>
      </c>
      <c r="G96" s="133">
        <v>13</v>
      </c>
      <c r="H96" s="133">
        <v>13</v>
      </c>
      <c r="I96" s="189">
        <v>0</v>
      </c>
      <c r="J96" s="189">
        <v>0</v>
      </c>
      <c r="K96" s="189">
        <v>0</v>
      </c>
      <c r="L96" s="189">
        <v>0</v>
      </c>
      <c r="M96" s="189">
        <v>0</v>
      </c>
      <c r="N96" s="133">
        <v>0</v>
      </c>
      <c r="O96" s="133">
        <v>0</v>
      </c>
      <c r="P96" s="457"/>
      <c r="Q96" s="41"/>
    </row>
    <row r="97" spans="1:31" s="9" customFormat="1" ht="52.5" customHeight="1" x14ac:dyDescent="0.25">
      <c r="A97" s="535" t="s">
        <v>183</v>
      </c>
      <c r="B97" s="535"/>
      <c r="C97" s="535"/>
      <c r="D97" s="535"/>
      <c r="E97" s="168" t="e">
        <f>E98+E99+E100+E102</f>
        <v>#REF!</v>
      </c>
      <c r="F97" s="170">
        <f t="shared" ref="F97:F102" si="64">SUM(G97:O97)</f>
        <v>860055.13404999999</v>
      </c>
      <c r="G97" s="168">
        <f t="shared" ref="G97:H97" si="65">G98+G99+G100+G101</f>
        <v>135554.28376000002</v>
      </c>
      <c r="H97" s="168">
        <f t="shared" si="65"/>
        <v>183362.95158999995</v>
      </c>
      <c r="I97" s="505">
        <f>I98+I99+I100+I101</f>
        <v>191774.17069999999</v>
      </c>
      <c r="J97" s="505"/>
      <c r="K97" s="505"/>
      <c r="L97" s="505"/>
      <c r="M97" s="505"/>
      <c r="N97" s="168">
        <f t="shared" ref="N97:O97" si="66">N98+N99+N100+N101</f>
        <v>174681.864</v>
      </c>
      <c r="O97" s="168">
        <f t="shared" si="66"/>
        <v>174681.864</v>
      </c>
      <c r="P97" s="169"/>
      <c r="Q97" s="100"/>
      <c r="R97" s="100"/>
      <c r="S97" s="100"/>
      <c r="W97" s="45"/>
      <c r="X97" s="45"/>
      <c r="Y97" s="45"/>
      <c r="Z97" s="45"/>
    </row>
    <row r="98" spans="1:31" ht="33.75" customHeight="1" x14ac:dyDescent="0.25">
      <c r="A98" s="385" t="s">
        <v>40</v>
      </c>
      <c r="B98" s="385"/>
      <c r="C98" s="385"/>
      <c r="D98" s="385"/>
      <c r="E98" s="48" t="e">
        <f>#REF!+#REF!+#REF!</f>
        <v>#REF!</v>
      </c>
      <c r="F98" s="170">
        <f t="shared" si="64"/>
        <v>11902.04867</v>
      </c>
      <c r="G98" s="48">
        <f>G7+G19+G62+G86+G74+G47</f>
        <v>592.47</v>
      </c>
      <c r="H98" s="48">
        <f>H7+H19+H62+H86+H74+H47</f>
        <v>11309.578670000001</v>
      </c>
      <c r="I98" s="506">
        <f>I7+I19+I62+I86+I74+I47</f>
        <v>0</v>
      </c>
      <c r="J98" s="506"/>
      <c r="K98" s="506"/>
      <c r="L98" s="506"/>
      <c r="M98" s="506"/>
      <c r="N98" s="48">
        <f>N7+N19+N62+N86+N74+N47</f>
        <v>0</v>
      </c>
      <c r="O98" s="48">
        <f>O7+O19+O62+O86+O74+O47</f>
        <v>0</v>
      </c>
      <c r="P98" s="13"/>
      <c r="Q98" s="35"/>
      <c r="R98" s="35"/>
      <c r="S98" s="35"/>
      <c r="T98" s="35" t="e">
        <f>#REF!+#REF!+#REF!+#REF!</f>
        <v>#REF!</v>
      </c>
      <c r="U98" s="35"/>
      <c r="W98" s="45"/>
      <c r="X98" s="45"/>
      <c r="Y98" s="45"/>
      <c r="Z98" s="45"/>
    </row>
    <row r="99" spans="1:31" ht="26.25" customHeight="1" x14ac:dyDescent="0.25">
      <c r="A99" s="385" t="s">
        <v>1</v>
      </c>
      <c r="B99" s="385"/>
      <c r="C99" s="385"/>
      <c r="D99" s="385"/>
      <c r="E99" s="48" t="e">
        <f>E63+#REF!+#REF!+#REF!+#REF!</f>
        <v>#REF!</v>
      </c>
      <c r="F99" s="170">
        <f t="shared" si="64"/>
        <v>14738.34957</v>
      </c>
      <c r="G99" s="48">
        <f>G8+G20+G63+G87+G75+G48</f>
        <v>530.49</v>
      </c>
      <c r="H99" s="48">
        <f>H8+H20+H63+H87+H75+H48</f>
        <v>9699.8595700000005</v>
      </c>
      <c r="I99" s="506">
        <f>I8+I20+I63+I87+I75+I48</f>
        <v>4508</v>
      </c>
      <c r="J99" s="506"/>
      <c r="K99" s="506"/>
      <c r="L99" s="506"/>
      <c r="M99" s="506"/>
      <c r="N99" s="48">
        <f t="shared" ref="N99:O99" si="67">N8+N20+N63+N87+N75+N48</f>
        <v>0</v>
      </c>
      <c r="O99" s="48">
        <f t="shared" si="67"/>
        <v>0</v>
      </c>
      <c r="P99" s="13"/>
      <c r="Q99" s="35"/>
      <c r="R99" s="35"/>
      <c r="S99" s="35"/>
      <c r="T99" s="35" t="e">
        <f>#REF!+#REF!+#REF!+#REF!</f>
        <v>#REF!</v>
      </c>
      <c r="U99" s="35"/>
      <c r="W99" s="45"/>
      <c r="X99" s="45"/>
      <c r="Y99" s="45"/>
      <c r="Z99" s="45"/>
    </row>
    <row r="100" spans="1:31" ht="27.75" customHeight="1" x14ac:dyDescent="0.25">
      <c r="A100" s="385" t="s">
        <v>48</v>
      </c>
      <c r="B100" s="385"/>
      <c r="C100" s="385"/>
      <c r="D100" s="385"/>
      <c r="E100" s="48" t="e">
        <f>E9+E21+E64+#REF!+#REF!+#REF!+#REF!+#REF!+#REF!</f>
        <v>#REF!</v>
      </c>
      <c r="F100" s="170">
        <f t="shared" si="64"/>
        <v>717184.34380999999</v>
      </c>
      <c r="G100" s="48">
        <f>G9+G21+G64+G88+G76+G49</f>
        <v>113176.13176</v>
      </c>
      <c r="H100" s="48">
        <f>H9+H21+H64+H88+H76+H49</f>
        <v>138774.71334999998</v>
      </c>
      <c r="I100" s="506">
        <f>I9+I21+I64+I88+I76+I49</f>
        <v>163467.3707</v>
      </c>
      <c r="J100" s="506"/>
      <c r="K100" s="506"/>
      <c r="L100" s="506"/>
      <c r="M100" s="506"/>
      <c r="N100" s="48">
        <f t="shared" ref="N100:O100" si="68">N9+N21+N64+N88+N76+N49</f>
        <v>150883.06400000001</v>
      </c>
      <c r="O100" s="48">
        <f t="shared" si="68"/>
        <v>150883.06400000001</v>
      </c>
      <c r="P100" s="13"/>
      <c r="Q100" s="270">
        <f>I100</f>
        <v>163467.3707</v>
      </c>
      <c r="R100" s="35"/>
      <c r="S100" s="35"/>
      <c r="T100" s="35" t="e">
        <f>#REF!+#REF!+#REF!+#REF!+#REF!+#REF!+#REF!+#REF!+#REF!+#REF!+#REF!</f>
        <v>#REF!</v>
      </c>
      <c r="U100" s="35"/>
      <c r="W100" s="45"/>
      <c r="X100" s="45"/>
      <c r="Y100" s="45"/>
      <c r="Z100" s="45"/>
    </row>
    <row r="101" spans="1:31" ht="30.75" customHeight="1" x14ac:dyDescent="0.25">
      <c r="A101" s="385" t="s">
        <v>87</v>
      </c>
      <c r="B101" s="385"/>
      <c r="C101" s="385"/>
      <c r="D101" s="385"/>
      <c r="E101" s="48"/>
      <c r="F101" s="170">
        <f t="shared" si="64"/>
        <v>116230.39200000001</v>
      </c>
      <c r="G101" s="48">
        <f>G10+G22+G65+G89+G77+G50</f>
        <v>21255.191999999999</v>
      </c>
      <c r="H101" s="48">
        <f>H10+H22+H65+H89+H77+H50</f>
        <v>23578.799999999999</v>
      </c>
      <c r="I101" s="506">
        <f>I10+I22+I65+I89+I77+I50</f>
        <v>23798.799999999999</v>
      </c>
      <c r="J101" s="506"/>
      <c r="K101" s="506"/>
      <c r="L101" s="506"/>
      <c r="M101" s="506"/>
      <c r="N101" s="48">
        <f t="shared" ref="N101:O101" si="69">N10+N22+N65+N89+N77+N50</f>
        <v>23798.799999999999</v>
      </c>
      <c r="O101" s="48">
        <f t="shared" si="69"/>
        <v>23798.799999999999</v>
      </c>
      <c r="P101" s="13"/>
      <c r="Q101" s="35"/>
      <c r="R101" s="35"/>
      <c r="S101" s="35"/>
      <c r="T101" s="35"/>
      <c r="U101" s="35"/>
      <c r="W101" s="45"/>
      <c r="X101" s="45"/>
      <c r="Y101" s="45"/>
      <c r="Z101" s="45"/>
    </row>
    <row r="102" spans="1:31" ht="30.75" customHeight="1" x14ac:dyDescent="0.3">
      <c r="A102" s="388" t="s">
        <v>88</v>
      </c>
      <c r="B102" s="388"/>
      <c r="C102" s="388"/>
      <c r="D102" s="388"/>
      <c r="E102" s="93">
        <f>E23</f>
        <v>13879.4</v>
      </c>
      <c r="F102" s="170">
        <f t="shared" si="64"/>
        <v>116230.39200000001</v>
      </c>
      <c r="G102" s="93">
        <f>G23</f>
        <v>21255.191999999999</v>
      </c>
      <c r="H102" s="93">
        <f>H23</f>
        <v>23578.799999999999</v>
      </c>
      <c r="I102" s="534">
        <f>I23</f>
        <v>23798.799999999999</v>
      </c>
      <c r="J102" s="534"/>
      <c r="K102" s="534"/>
      <c r="L102" s="534"/>
      <c r="M102" s="534"/>
      <c r="N102" s="93">
        <f>N23</f>
        <v>23798.799999999999</v>
      </c>
      <c r="O102" s="93">
        <f>O23</f>
        <v>23798.799999999999</v>
      </c>
      <c r="P102" s="6"/>
      <c r="Q102" s="34"/>
      <c r="R102" s="34"/>
      <c r="S102" s="34"/>
      <c r="T102" s="34" t="e">
        <f>#REF!+#REF!</f>
        <v>#REF!</v>
      </c>
      <c r="U102" s="53"/>
      <c r="W102" s="45"/>
      <c r="X102" s="45"/>
      <c r="Y102" s="45"/>
      <c r="Z102" s="45"/>
    </row>
    <row r="103" spans="1:31" x14ac:dyDescent="0.25">
      <c r="F103" s="171"/>
      <c r="H103" s="50"/>
      <c r="N103" s="46"/>
      <c r="O103" s="46"/>
    </row>
    <row r="104" spans="1:31" x14ac:dyDescent="0.25">
      <c r="G104" s="39"/>
      <c r="H104" s="50"/>
      <c r="N104" s="46"/>
      <c r="O104" s="46"/>
    </row>
    <row r="105" spans="1:31" ht="18.75" x14ac:dyDescent="0.3">
      <c r="B105" s="523" t="s">
        <v>19</v>
      </c>
      <c r="C105" s="524"/>
      <c r="D105" s="524"/>
      <c r="E105" s="56">
        <v>0</v>
      </c>
      <c r="F105" s="57">
        <f t="shared" ref="F105:F113" si="70">SUM(I105:O105)</f>
        <v>0</v>
      </c>
      <c r="G105" s="56">
        <v>0</v>
      </c>
      <c r="H105" s="56">
        <v>0</v>
      </c>
      <c r="I105" s="528">
        <v>0</v>
      </c>
      <c r="J105" s="529"/>
      <c r="K105" s="529"/>
      <c r="L105" s="529"/>
      <c r="M105" s="530"/>
      <c r="N105" s="56">
        <v>0</v>
      </c>
      <c r="O105" s="56">
        <v>0</v>
      </c>
      <c r="P105" s="46"/>
      <c r="U105" s="1"/>
      <c r="V105" s="1"/>
      <c r="W105" s="46"/>
      <c r="X105" s="46"/>
      <c r="Y105" s="1"/>
      <c r="Z105" s="1"/>
      <c r="AA105" s="1"/>
      <c r="AB105" s="1"/>
      <c r="AC105" s="1"/>
      <c r="AD105" s="1"/>
      <c r="AE105" s="1"/>
    </row>
    <row r="106" spans="1:31" ht="18.75" x14ac:dyDescent="0.3">
      <c r="B106" s="523" t="s">
        <v>21</v>
      </c>
      <c r="C106" s="524"/>
      <c r="D106" s="524"/>
      <c r="E106" s="56">
        <v>0</v>
      </c>
      <c r="F106" s="57">
        <f t="shared" si="70"/>
        <v>495</v>
      </c>
      <c r="G106" s="56">
        <v>165</v>
      </c>
      <c r="H106" s="56">
        <v>165</v>
      </c>
      <c r="I106" s="528">
        <v>165</v>
      </c>
      <c r="J106" s="529"/>
      <c r="K106" s="529"/>
      <c r="L106" s="529"/>
      <c r="M106" s="530"/>
      <c r="N106" s="56">
        <v>165</v>
      </c>
      <c r="O106" s="56">
        <v>165</v>
      </c>
      <c r="U106" s="1"/>
      <c r="V106" s="1"/>
      <c r="W106" s="46"/>
      <c r="X106" s="46"/>
      <c r="Y106" s="1"/>
      <c r="Z106" s="1"/>
      <c r="AA106" s="1"/>
      <c r="AB106" s="1"/>
      <c r="AC106" s="1"/>
      <c r="AD106" s="1"/>
      <c r="AE106" s="1"/>
    </row>
    <row r="107" spans="1:31" ht="18.75" x14ac:dyDescent="0.3">
      <c r="B107" s="525" t="s">
        <v>20</v>
      </c>
      <c r="C107" s="526"/>
      <c r="D107" s="526"/>
      <c r="E107" s="58">
        <f>SUM(E105:E106)</f>
        <v>0</v>
      </c>
      <c r="F107" s="57">
        <f t="shared" si="70"/>
        <v>495</v>
      </c>
      <c r="G107" s="58">
        <f>SUM(G105:G106)</f>
        <v>165</v>
      </c>
      <c r="H107" s="58">
        <f>SUM(H105:H106)</f>
        <v>165</v>
      </c>
      <c r="I107" s="531">
        <f>SUM(I105:I106)</f>
        <v>165</v>
      </c>
      <c r="J107" s="532"/>
      <c r="K107" s="532"/>
      <c r="L107" s="532"/>
      <c r="M107" s="533"/>
      <c r="N107" s="58">
        <f>SUM(N105:N106)</f>
        <v>165</v>
      </c>
      <c r="O107" s="58">
        <f>SUM(O105:O106)</f>
        <v>165</v>
      </c>
      <c r="U107" s="1"/>
      <c r="V107" s="1"/>
      <c r="W107" s="46"/>
      <c r="X107" s="46"/>
      <c r="Y107" s="1"/>
      <c r="Z107" s="1"/>
      <c r="AA107" s="1"/>
      <c r="AB107" s="1"/>
      <c r="AC107" s="1"/>
      <c r="AD107" s="1"/>
      <c r="AE107" s="1"/>
    </row>
    <row r="108" spans="1:31" ht="18.75" x14ac:dyDescent="0.3">
      <c r="B108" s="523" t="s">
        <v>40</v>
      </c>
      <c r="C108" s="524"/>
      <c r="D108" s="524"/>
      <c r="E108" s="56" t="e">
        <f>E98-#REF!</f>
        <v>#REF!</v>
      </c>
      <c r="F108" s="57">
        <f t="shared" si="70"/>
        <v>0</v>
      </c>
      <c r="G108" s="56">
        <f t="shared" ref="G108:H108" si="71">G98</f>
        <v>592.47</v>
      </c>
      <c r="H108" s="56">
        <f t="shared" si="71"/>
        <v>11309.578670000001</v>
      </c>
      <c r="I108" s="528">
        <f>I98</f>
        <v>0</v>
      </c>
      <c r="J108" s="529"/>
      <c r="K108" s="529"/>
      <c r="L108" s="529"/>
      <c r="M108" s="530"/>
      <c r="N108" s="56">
        <f t="shared" ref="N108:O108" si="72">N98</f>
        <v>0</v>
      </c>
      <c r="O108" s="56">
        <f t="shared" si="72"/>
        <v>0</v>
      </c>
      <c r="W108" s="46"/>
      <c r="X108" s="46"/>
    </row>
    <row r="109" spans="1:31" ht="18.75" x14ac:dyDescent="0.3">
      <c r="B109" s="523" t="s">
        <v>1</v>
      </c>
      <c r="C109" s="524"/>
      <c r="D109" s="524"/>
      <c r="E109" s="56" t="e">
        <f>E99-#REF!</f>
        <v>#REF!</v>
      </c>
      <c r="F109" s="57">
        <f t="shared" si="70"/>
        <v>4508</v>
      </c>
      <c r="G109" s="56">
        <f t="shared" ref="G109:H109" si="73">G99-G105</f>
        <v>530.49</v>
      </c>
      <c r="H109" s="56">
        <f t="shared" si="73"/>
        <v>9699.8595700000005</v>
      </c>
      <c r="I109" s="528">
        <f>I99-I105</f>
        <v>4508</v>
      </c>
      <c r="J109" s="529"/>
      <c r="K109" s="529"/>
      <c r="L109" s="529"/>
      <c r="M109" s="530"/>
      <c r="N109" s="56">
        <f t="shared" ref="N109:O109" si="74">N99-N105</f>
        <v>0</v>
      </c>
      <c r="O109" s="56">
        <f t="shared" si="74"/>
        <v>0</v>
      </c>
      <c r="W109" s="46"/>
      <c r="X109" s="46"/>
    </row>
    <row r="110" spans="1:31" ht="18.75" x14ac:dyDescent="0.3">
      <c r="B110" s="523" t="s">
        <v>48</v>
      </c>
      <c r="C110" s="524"/>
      <c r="D110" s="524"/>
      <c r="E110" s="56" t="e">
        <f>E100-#REF!</f>
        <v>#REF!</v>
      </c>
      <c r="F110" s="57">
        <f t="shared" si="70"/>
        <v>464738.4987</v>
      </c>
      <c r="G110" s="56">
        <f t="shared" ref="G110:H110" si="75">G100-G106</f>
        <v>113011.13176</v>
      </c>
      <c r="H110" s="56">
        <f t="shared" si="75"/>
        <v>138609.71334999998</v>
      </c>
      <c r="I110" s="528">
        <f>I100-I106</f>
        <v>163302.3707</v>
      </c>
      <c r="J110" s="529"/>
      <c r="K110" s="529"/>
      <c r="L110" s="529"/>
      <c r="M110" s="530"/>
      <c r="N110" s="56">
        <f t="shared" ref="N110:O110" si="76">N100-N106</f>
        <v>150718.06400000001</v>
      </c>
      <c r="O110" s="56">
        <f t="shared" si="76"/>
        <v>150718.06400000001</v>
      </c>
      <c r="W110" s="46"/>
      <c r="X110" s="46"/>
    </row>
    <row r="111" spans="1:31" ht="18.75" x14ac:dyDescent="0.3">
      <c r="B111" s="523" t="s">
        <v>87</v>
      </c>
      <c r="C111" s="524"/>
      <c r="D111" s="527"/>
      <c r="E111" s="56"/>
      <c r="F111" s="57">
        <f t="shared" si="70"/>
        <v>71396.399999999994</v>
      </c>
      <c r="G111" s="56">
        <f t="shared" ref="G111:H111" si="77">G112</f>
        <v>21255.191999999999</v>
      </c>
      <c r="H111" s="56">
        <f t="shared" si="77"/>
        <v>23578.799999999999</v>
      </c>
      <c r="I111" s="528">
        <f>I112</f>
        <v>23798.799999999999</v>
      </c>
      <c r="J111" s="529"/>
      <c r="K111" s="529"/>
      <c r="L111" s="529"/>
      <c r="M111" s="530"/>
      <c r="N111" s="56">
        <f t="shared" ref="N111:O111" si="78">N112</f>
        <v>23798.799999999999</v>
      </c>
      <c r="O111" s="56">
        <f t="shared" si="78"/>
        <v>23798.799999999999</v>
      </c>
      <c r="W111" s="46"/>
      <c r="X111" s="46"/>
    </row>
    <row r="112" spans="1:31" ht="18.75" x14ac:dyDescent="0.3">
      <c r="B112" s="523" t="s">
        <v>88</v>
      </c>
      <c r="C112" s="524"/>
      <c r="D112" s="524"/>
      <c r="E112" s="56" t="e">
        <f>E102-#REF!</f>
        <v>#REF!</v>
      </c>
      <c r="F112" s="57">
        <f t="shared" si="70"/>
        <v>71396.399999999994</v>
      </c>
      <c r="G112" s="56">
        <f t="shared" ref="G112:H112" si="79">G102</f>
        <v>21255.191999999999</v>
      </c>
      <c r="H112" s="56">
        <f t="shared" si="79"/>
        <v>23578.799999999999</v>
      </c>
      <c r="I112" s="528">
        <f>I102</f>
        <v>23798.799999999999</v>
      </c>
      <c r="J112" s="529"/>
      <c r="K112" s="529"/>
      <c r="L112" s="529"/>
      <c r="M112" s="530"/>
      <c r="N112" s="56">
        <f t="shared" ref="N112:O112" si="80">N102</f>
        <v>23798.799999999999</v>
      </c>
      <c r="O112" s="56">
        <f t="shared" si="80"/>
        <v>23798.799999999999</v>
      </c>
      <c r="W112" s="46"/>
      <c r="X112" s="46"/>
    </row>
    <row r="113" spans="2:24" ht="18.75" x14ac:dyDescent="0.3">
      <c r="B113" s="525" t="s">
        <v>25</v>
      </c>
      <c r="C113" s="526"/>
      <c r="D113" s="526"/>
      <c r="E113" s="58" t="e">
        <f>SUM(E108:E112)</f>
        <v>#REF!</v>
      </c>
      <c r="F113" s="57">
        <f t="shared" si="70"/>
        <v>540642.89870000002</v>
      </c>
      <c r="G113" s="58">
        <f t="shared" ref="G113:H113" si="81">G108+G109+G110+G111</f>
        <v>135389.28376000002</v>
      </c>
      <c r="H113" s="58">
        <f t="shared" si="81"/>
        <v>183197.95158999995</v>
      </c>
      <c r="I113" s="531">
        <f>I108+I109+I110+I111</f>
        <v>191609.17069999999</v>
      </c>
      <c r="J113" s="532"/>
      <c r="K113" s="532"/>
      <c r="L113" s="532"/>
      <c r="M113" s="533"/>
      <c r="N113" s="58">
        <f t="shared" ref="N113:O113" si="82">N108+N109+N110+N111</f>
        <v>174516.864</v>
      </c>
      <c r="O113" s="58">
        <f t="shared" si="82"/>
        <v>174516.864</v>
      </c>
      <c r="W113" s="46"/>
      <c r="X113" s="46"/>
    </row>
    <row r="114" spans="2:24" x14ac:dyDescent="0.25">
      <c r="E114" s="46"/>
      <c r="F114" s="173"/>
      <c r="G114" s="50"/>
      <c r="H114" s="50"/>
      <c r="I114" s="46"/>
      <c r="J114" s="46"/>
      <c r="K114" s="46"/>
      <c r="L114" s="46"/>
      <c r="M114" s="46"/>
      <c r="N114" s="46"/>
      <c r="O114" s="46"/>
    </row>
    <row r="115" spans="2:24" x14ac:dyDescent="0.25">
      <c r="E115" s="46"/>
      <c r="F115" s="173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2:24" x14ac:dyDescent="0.25">
      <c r="E116" s="46"/>
      <c r="F116" s="173"/>
      <c r="G116" s="50"/>
      <c r="H116" s="50"/>
      <c r="I116" s="46"/>
      <c r="J116" s="46"/>
      <c r="K116" s="46"/>
      <c r="L116" s="46"/>
      <c r="M116" s="46"/>
      <c r="N116" s="46"/>
      <c r="O116" s="46"/>
    </row>
    <row r="119" spans="2:24" x14ac:dyDescent="0.25">
      <c r="G119" s="50"/>
      <c r="H119" s="50"/>
      <c r="N119" s="50"/>
    </row>
  </sheetData>
  <mergeCells count="225">
    <mergeCell ref="C55:C57"/>
    <mergeCell ref="D55:D57"/>
    <mergeCell ref="F55:F56"/>
    <mergeCell ref="I55:I56"/>
    <mergeCell ref="J55:M55"/>
    <mergeCell ref="P55:P57"/>
    <mergeCell ref="I81:M81"/>
    <mergeCell ref="I80:M80"/>
    <mergeCell ref="I79:M79"/>
    <mergeCell ref="A73:A77"/>
    <mergeCell ref="I101:M101"/>
    <mergeCell ref="I100:M100"/>
    <mergeCell ref="I99:M99"/>
    <mergeCell ref="A100:D100"/>
    <mergeCell ref="A99:D99"/>
    <mergeCell ref="A97:D97"/>
    <mergeCell ref="A98:D98"/>
    <mergeCell ref="A85:A89"/>
    <mergeCell ref="A101:D101"/>
    <mergeCell ref="F82:F83"/>
    <mergeCell ref="I82:I83"/>
    <mergeCell ref="J82:M82"/>
    <mergeCell ref="I78:M78"/>
    <mergeCell ref="I77:M77"/>
    <mergeCell ref="I76:M76"/>
    <mergeCell ref="I75:M75"/>
    <mergeCell ref="I73:M73"/>
    <mergeCell ref="I105:M105"/>
    <mergeCell ref="I108:M108"/>
    <mergeCell ref="I107:M107"/>
    <mergeCell ref="I106:M106"/>
    <mergeCell ref="I90:M90"/>
    <mergeCell ref="I98:M98"/>
    <mergeCell ref="I97:M97"/>
    <mergeCell ref="I113:M113"/>
    <mergeCell ref="I112:M112"/>
    <mergeCell ref="I111:M111"/>
    <mergeCell ref="I110:M110"/>
    <mergeCell ref="I109:M109"/>
    <mergeCell ref="I102:M102"/>
    <mergeCell ref="A102:D102"/>
    <mergeCell ref="B108:D108"/>
    <mergeCell ref="B105:D105"/>
    <mergeCell ref="B106:D106"/>
    <mergeCell ref="B107:D107"/>
    <mergeCell ref="B111:D111"/>
    <mergeCell ref="B113:D113"/>
    <mergeCell ref="B109:D109"/>
    <mergeCell ref="B110:D110"/>
    <mergeCell ref="B112:D112"/>
    <mergeCell ref="A24:A31"/>
    <mergeCell ref="A32:A38"/>
    <mergeCell ref="C36:C38"/>
    <mergeCell ref="A90:A96"/>
    <mergeCell ref="B29:B31"/>
    <mergeCell ref="C29:C31"/>
    <mergeCell ref="B43:B45"/>
    <mergeCell ref="C43:C45"/>
    <mergeCell ref="B32:B35"/>
    <mergeCell ref="C32:C35"/>
    <mergeCell ref="A39:A45"/>
    <mergeCell ref="C39:C42"/>
    <mergeCell ref="B39:B42"/>
    <mergeCell ref="B94:B96"/>
    <mergeCell ref="B85:B89"/>
    <mergeCell ref="B78:B81"/>
    <mergeCell ref="C78:C81"/>
    <mergeCell ref="B73:B77"/>
    <mergeCell ref="C61:C65"/>
    <mergeCell ref="C73:C77"/>
    <mergeCell ref="B82:B84"/>
    <mergeCell ref="C82:C84"/>
    <mergeCell ref="A78:A84"/>
    <mergeCell ref="B55:B57"/>
    <mergeCell ref="I27:M27"/>
    <mergeCell ref="I24:M24"/>
    <mergeCell ref="I3:M3"/>
    <mergeCell ref="P1:P3"/>
    <mergeCell ref="A1:A3"/>
    <mergeCell ref="I4:M4"/>
    <mergeCell ref="I25:M25"/>
    <mergeCell ref="B1:B3"/>
    <mergeCell ref="C1:C3"/>
    <mergeCell ref="D1:D3"/>
    <mergeCell ref="F1:F3"/>
    <mergeCell ref="A5:P5"/>
    <mergeCell ref="G1:O2"/>
    <mergeCell ref="C18:C23"/>
    <mergeCell ref="D15:D17"/>
    <mergeCell ref="F15:F16"/>
    <mergeCell ref="I15:I16"/>
    <mergeCell ref="J15:M15"/>
    <mergeCell ref="I23:M23"/>
    <mergeCell ref="I22:M22"/>
    <mergeCell ref="I21:M21"/>
    <mergeCell ref="I20:M20"/>
    <mergeCell ref="I19:M19"/>
    <mergeCell ref="E1:E3"/>
    <mergeCell ref="I18:M18"/>
    <mergeCell ref="I8:M8"/>
    <mergeCell ref="A11:A17"/>
    <mergeCell ref="I14:M14"/>
    <mergeCell ref="I13:M13"/>
    <mergeCell ref="I12:M12"/>
    <mergeCell ref="I11:M11"/>
    <mergeCell ref="I10:M10"/>
    <mergeCell ref="B6:B10"/>
    <mergeCell ref="C6:C10"/>
    <mergeCell ref="A18:A23"/>
    <mergeCell ref="C15:C17"/>
    <mergeCell ref="A6:A10"/>
    <mergeCell ref="B11:B14"/>
    <mergeCell ref="C11:C14"/>
    <mergeCell ref="P6:P10"/>
    <mergeCell ref="P36:P38"/>
    <mergeCell ref="F29:F30"/>
    <mergeCell ref="I29:I30"/>
    <mergeCell ref="J29:M29"/>
    <mergeCell ref="P29:P31"/>
    <mergeCell ref="P18:P23"/>
    <mergeCell ref="I9:M9"/>
    <mergeCell ref="B18:B23"/>
    <mergeCell ref="I7:M7"/>
    <mergeCell ref="I6:M6"/>
    <mergeCell ref="P11:P14"/>
    <mergeCell ref="B15:B17"/>
    <mergeCell ref="I32:M32"/>
    <mergeCell ref="I35:M35"/>
    <mergeCell ref="I33:M33"/>
    <mergeCell ref="D36:D38"/>
    <mergeCell ref="F36:F37"/>
    <mergeCell ref="I36:I37"/>
    <mergeCell ref="B24:B28"/>
    <mergeCell ref="C24:C28"/>
    <mergeCell ref="P15:P17"/>
    <mergeCell ref="P32:P35"/>
    <mergeCell ref="B36:B38"/>
    <mergeCell ref="I42:M42"/>
    <mergeCell ref="I41:M41"/>
    <mergeCell ref="I40:M40"/>
    <mergeCell ref="I39:M39"/>
    <mergeCell ref="P46:P50"/>
    <mergeCell ref="P58:P60"/>
    <mergeCell ref="I46:M46"/>
    <mergeCell ref="P51:P54"/>
    <mergeCell ref="I66:M66"/>
    <mergeCell ref="P61:P65"/>
    <mergeCell ref="I63:M63"/>
    <mergeCell ref="I62:M62"/>
    <mergeCell ref="I64:M64"/>
    <mergeCell ref="I61:M61"/>
    <mergeCell ref="I47:M47"/>
    <mergeCell ref="I48:M48"/>
    <mergeCell ref="I49:M49"/>
    <mergeCell ref="I58:I59"/>
    <mergeCell ref="J58:M58"/>
    <mergeCell ref="I65:M65"/>
    <mergeCell ref="I52:M52"/>
    <mergeCell ref="P94:P96"/>
    <mergeCell ref="P85:P89"/>
    <mergeCell ref="D94:D96"/>
    <mergeCell ref="C94:C96"/>
    <mergeCell ref="B90:B93"/>
    <mergeCell ref="C90:C93"/>
    <mergeCell ref="C85:C89"/>
    <mergeCell ref="J94:M94"/>
    <mergeCell ref="I87:M87"/>
    <mergeCell ref="I86:M86"/>
    <mergeCell ref="I89:M89"/>
    <mergeCell ref="I85:M85"/>
    <mergeCell ref="I88:M88"/>
    <mergeCell ref="I93:M93"/>
    <mergeCell ref="I92:M92"/>
    <mergeCell ref="I91:M91"/>
    <mergeCell ref="P90:P93"/>
    <mergeCell ref="F94:F95"/>
    <mergeCell ref="I94:I95"/>
    <mergeCell ref="P70:P72"/>
    <mergeCell ref="P78:P81"/>
    <mergeCell ref="I53:M53"/>
    <mergeCell ref="I54:M54"/>
    <mergeCell ref="J36:M36"/>
    <mergeCell ref="A46:A50"/>
    <mergeCell ref="A70:A72"/>
    <mergeCell ref="A66:A69"/>
    <mergeCell ref="B46:B50"/>
    <mergeCell ref="C46:C50"/>
    <mergeCell ref="C58:C60"/>
    <mergeCell ref="A51:A60"/>
    <mergeCell ref="B51:B54"/>
    <mergeCell ref="C51:C54"/>
    <mergeCell ref="B61:B65"/>
    <mergeCell ref="A61:A65"/>
    <mergeCell ref="B66:B69"/>
    <mergeCell ref="C66:C69"/>
    <mergeCell ref="C70:C72"/>
    <mergeCell ref="B58:B60"/>
    <mergeCell ref="B70:B72"/>
    <mergeCell ref="P73:P77"/>
    <mergeCell ref="I50:M50"/>
    <mergeCell ref="P66:P69"/>
    <mergeCell ref="I28:M28"/>
    <mergeCell ref="P82:P84"/>
    <mergeCell ref="D82:D84"/>
    <mergeCell ref="I34:M34"/>
    <mergeCell ref="I74:M74"/>
    <mergeCell ref="P24:P28"/>
    <mergeCell ref="I26:M26"/>
    <mergeCell ref="D29:D31"/>
    <mergeCell ref="P39:P42"/>
    <mergeCell ref="P43:P45"/>
    <mergeCell ref="I67:M67"/>
    <mergeCell ref="I68:M68"/>
    <mergeCell ref="I69:M69"/>
    <mergeCell ref="D70:D72"/>
    <mergeCell ref="F70:F71"/>
    <mergeCell ref="D43:D45"/>
    <mergeCell ref="F43:F44"/>
    <mergeCell ref="I43:I44"/>
    <mergeCell ref="J43:M43"/>
    <mergeCell ref="D58:D60"/>
    <mergeCell ref="I51:M51"/>
    <mergeCell ref="F58:F59"/>
    <mergeCell ref="I70:I71"/>
    <mergeCell ref="J70:M70"/>
  </mergeCells>
  <phoneticPr fontId="34" type="noConversion"/>
  <pageMargins left="0.19685039370078741" right="0.19685039370078741" top="0.59055118110236227" bottom="0.19685039370078741" header="0.39370078740157483" footer="0"/>
  <pageSetup paperSize="9" scale="46" firstPageNumber="17" fitToHeight="0" orientation="landscape" useFirstPageNumber="1" r:id="rId1"/>
  <headerFooter alignWithMargins="0">
    <oddHeader>&amp;C&amp;"Times New Roman,обычный"&amp;12&amp;K000000&amp;P</oddHeader>
  </headerFooter>
  <rowBreaks count="3" manualBreakCount="3">
    <brk id="31" max="15" man="1"/>
    <brk id="60" max="15" man="1"/>
    <brk id="84" max="1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FF00"/>
  </sheetPr>
  <dimension ref="A1:Y83"/>
  <sheetViews>
    <sheetView view="pageBreakPreview" topLeftCell="A8" zoomScale="59" zoomScaleNormal="70" zoomScaleSheetLayoutView="59" workbookViewId="0">
      <selection activeCell="I20" sqref="I20:M20"/>
    </sheetView>
  </sheetViews>
  <sheetFormatPr defaultColWidth="9.140625" defaultRowHeight="15" x14ac:dyDescent="0.25"/>
  <cols>
    <col min="1" max="1" width="6.7109375" style="1" customWidth="1"/>
    <col min="2" max="2" width="69" style="1" customWidth="1"/>
    <col min="3" max="3" width="18.42578125" style="1" customWidth="1"/>
    <col min="4" max="4" width="31.85546875" style="1" customWidth="1"/>
    <col min="5" max="5" width="21.28515625" style="1" hidden="1" customWidth="1"/>
    <col min="6" max="6" width="22.7109375" style="172" customWidth="1"/>
    <col min="7" max="7" width="23.140625" style="40" customWidth="1"/>
    <col min="8" max="8" width="23.42578125" style="40" customWidth="1"/>
    <col min="9" max="13" width="8" style="1" customWidth="1"/>
    <col min="14" max="15" width="22.42578125" style="1" customWidth="1"/>
    <col min="16" max="16" width="21" style="1" customWidth="1"/>
    <col min="17" max="17" width="31" style="1" hidden="1" customWidth="1"/>
    <col min="18" max="18" width="27.140625" style="1" hidden="1" customWidth="1"/>
    <col min="19" max="19" width="24.42578125" style="1" hidden="1" customWidth="1"/>
    <col min="20" max="20" width="0.140625" style="1" hidden="1" customWidth="1"/>
    <col min="21" max="21" width="19.42578125" style="1" customWidth="1"/>
    <col min="22" max="22" width="23.42578125" style="1" customWidth="1"/>
    <col min="23" max="23" width="19" style="1" customWidth="1"/>
    <col min="24" max="24" width="22.85546875" style="1" customWidth="1"/>
    <col min="25" max="25" width="19.28515625" style="1" customWidth="1"/>
    <col min="26" max="16384" width="9.140625" style="1"/>
  </cols>
  <sheetData>
    <row r="1" spans="1:19" ht="29.25" customHeight="1" x14ac:dyDescent="0.25">
      <c r="A1" s="557" t="s">
        <v>0</v>
      </c>
      <c r="B1" s="557" t="s">
        <v>5</v>
      </c>
      <c r="C1" s="557" t="s">
        <v>50</v>
      </c>
      <c r="D1" s="557" t="s">
        <v>6</v>
      </c>
      <c r="E1" s="557" t="s">
        <v>55</v>
      </c>
      <c r="F1" s="562" t="s">
        <v>7</v>
      </c>
      <c r="G1" s="557" t="s">
        <v>16</v>
      </c>
      <c r="H1" s="557"/>
      <c r="I1" s="557"/>
      <c r="J1" s="557"/>
      <c r="K1" s="557"/>
      <c r="L1" s="557"/>
      <c r="M1" s="557"/>
      <c r="N1" s="557"/>
      <c r="O1" s="557"/>
      <c r="P1" s="557" t="s">
        <v>249</v>
      </c>
      <c r="Q1" s="137"/>
      <c r="R1" s="137"/>
      <c r="S1" s="137"/>
    </row>
    <row r="2" spans="1:19" ht="57" customHeight="1" x14ac:dyDescent="0.25">
      <c r="A2" s="557"/>
      <c r="B2" s="557"/>
      <c r="C2" s="557"/>
      <c r="D2" s="557"/>
      <c r="E2" s="557"/>
      <c r="F2" s="562"/>
      <c r="G2" s="126" t="s">
        <v>45</v>
      </c>
      <c r="H2" s="244" t="s">
        <v>46</v>
      </c>
      <c r="I2" s="514" t="s">
        <v>82</v>
      </c>
      <c r="J2" s="514"/>
      <c r="K2" s="514"/>
      <c r="L2" s="514"/>
      <c r="M2" s="514"/>
      <c r="N2" s="126" t="s">
        <v>83</v>
      </c>
      <c r="O2" s="126" t="s">
        <v>84</v>
      </c>
      <c r="P2" s="557"/>
      <c r="Q2" s="137" t="s">
        <v>41</v>
      </c>
      <c r="R2" s="137" t="s">
        <v>42</v>
      </c>
      <c r="S2" s="137"/>
    </row>
    <row r="3" spans="1:19" ht="18.75" x14ac:dyDescent="0.25">
      <c r="A3" s="123" t="s">
        <v>13</v>
      </c>
      <c r="B3" s="123">
        <v>2</v>
      </c>
      <c r="C3" s="123" t="s">
        <v>8</v>
      </c>
      <c r="D3" s="123" t="s">
        <v>37</v>
      </c>
      <c r="E3" s="123" t="s">
        <v>9</v>
      </c>
      <c r="F3" s="155" t="s">
        <v>9</v>
      </c>
      <c r="G3" s="123" t="s">
        <v>35</v>
      </c>
      <c r="H3" s="232" t="s">
        <v>36</v>
      </c>
      <c r="I3" s="392" t="s">
        <v>10</v>
      </c>
      <c r="J3" s="392"/>
      <c r="K3" s="392"/>
      <c r="L3" s="392"/>
      <c r="M3" s="392"/>
      <c r="N3" s="123" t="s">
        <v>11</v>
      </c>
      <c r="O3" s="123" t="s">
        <v>12</v>
      </c>
      <c r="P3" s="123" t="s">
        <v>14</v>
      </c>
      <c r="Q3" s="29"/>
      <c r="R3" s="29"/>
      <c r="S3" s="29"/>
    </row>
    <row r="4" spans="1:19" ht="34.5" customHeight="1" x14ac:dyDescent="0.25">
      <c r="A4" s="546" t="s">
        <v>145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103"/>
      <c r="R4" s="103"/>
      <c r="S4" s="103"/>
    </row>
    <row r="5" spans="1:19" s="9" customFormat="1" ht="18.75" x14ac:dyDescent="0.25">
      <c r="A5" s="341" t="s">
        <v>13</v>
      </c>
      <c r="B5" s="563" t="s">
        <v>76</v>
      </c>
      <c r="C5" s="563" t="s">
        <v>86</v>
      </c>
      <c r="D5" s="174" t="s">
        <v>2</v>
      </c>
      <c r="E5" s="175">
        <f>E8</f>
        <v>181275.1586</v>
      </c>
      <c r="F5" s="179">
        <f t="shared" ref="F5:F14" si="0">SUM(G5:O5)</f>
        <v>2101358.4760600002</v>
      </c>
      <c r="G5" s="175">
        <f t="shared" ref="G5:H5" si="1">G6+G7+G8+G9</f>
        <v>407683.76996000001</v>
      </c>
      <c r="H5" s="247">
        <f t="shared" si="1"/>
        <v>447571.36115000001</v>
      </c>
      <c r="I5" s="561">
        <f>I6+I7+I8+I9</f>
        <v>416634.69394999999</v>
      </c>
      <c r="J5" s="561"/>
      <c r="K5" s="561"/>
      <c r="L5" s="561"/>
      <c r="M5" s="561"/>
      <c r="N5" s="175">
        <f t="shared" ref="N5:O5" si="2">N6+N7+N8+N9</f>
        <v>414734.32550000004</v>
      </c>
      <c r="O5" s="175">
        <f t="shared" si="2"/>
        <v>414734.32550000004</v>
      </c>
      <c r="P5" s="462"/>
      <c r="Q5" s="103"/>
      <c r="R5" s="103"/>
      <c r="S5" s="103"/>
    </row>
    <row r="6" spans="1:19" s="9" customFormat="1" ht="36.950000000000003" customHeight="1" x14ac:dyDescent="0.25">
      <c r="A6" s="341"/>
      <c r="B6" s="563"/>
      <c r="C6" s="563"/>
      <c r="D6" s="174" t="s">
        <v>40</v>
      </c>
      <c r="E6" s="175"/>
      <c r="F6" s="179">
        <f t="shared" si="0"/>
        <v>0</v>
      </c>
      <c r="G6" s="147">
        <f t="shared" ref="G6:H6" si="3">G11+G18+G26</f>
        <v>0</v>
      </c>
      <c r="H6" s="246">
        <f t="shared" si="3"/>
        <v>0</v>
      </c>
      <c r="I6" s="560">
        <f>I11+I18+I26</f>
        <v>0</v>
      </c>
      <c r="J6" s="560"/>
      <c r="K6" s="560"/>
      <c r="L6" s="560"/>
      <c r="M6" s="560"/>
      <c r="N6" s="147">
        <f t="shared" ref="N6:O6" si="4">N11+N18+N26</f>
        <v>0</v>
      </c>
      <c r="O6" s="147">
        <f t="shared" si="4"/>
        <v>0</v>
      </c>
      <c r="P6" s="462"/>
      <c r="Q6" s="103"/>
      <c r="R6" s="103"/>
      <c r="S6" s="103"/>
    </row>
    <row r="7" spans="1:19" s="9" customFormat="1" ht="39" customHeight="1" x14ac:dyDescent="0.25">
      <c r="A7" s="341"/>
      <c r="B7" s="563"/>
      <c r="C7" s="563"/>
      <c r="D7" s="174" t="s">
        <v>1</v>
      </c>
      <c r="E7" s="175"/>
      <c r="F7" s="179">
        <f t="shared" si="0"/>
        <v>538.57065999999998</v>
      </c>
      <c r="G7" s="147">
        <f t="shared" ref="G7:H7" si="5">G12+G19+G27</f>
        <v>141.46065999999999</v>
      </c>
      <c r="H7" s="246">
        <f t="shared" si="5"/>
        <v>397.11</v>
      </c>
      <c r="I7" s="560">
        <f>I12+I19+I27</f>
        <v>0</v>
      </c>
      <c r="J7" s="560"/>
      <c r="K7" s="560"/>
      <c r="L7" s="560"/>
      <c r="M7" s="560"/>
      <c r="N7" s="147">
        <f t="shared" ref="N7:O7" si="6">N12+N19+N27</f>
        <v>0</v>
      </c>
      <c r="O7" s="147">
        <f t="shared" si="6"/>
        <v>0</v>
      </c>
      <c r="P7" s="462"/>
      <c r="Q7" s="103"/>
      <c r="R7" s="103"/>
      <c r="S7" s="103"/>
    </row>
    <row r="8" spans="1:19" s="9" customFormat="1" ht="56.25" x14ac:dyDescent="0.25">
      <c r="A8" s="341"/>
      <c r="B8" s="563"/>
      <c r="C8" s="563"/>
      <c r="D8" s="174" t="s">
        <v>48</v>
      </c>
      <c r="E8" s="176">
        <f>E13+E20+E28</f>
        <v>181275.1586</v>
      </c>
      <c r="F8" s="179">
        <f t="shared" si="0"/>
        <v>1140325.9750999999</v>
      </c>
      <c r="G8" s="176">
        <f t="shared" ref="G8:H8" si="7">G13+G20+G28</f>
        <v>236926.81779999999</v>
      </c>
      <c r="H8" s="245">
        <f t="shared" si="7"/>
        <v>249704.64145</v>
      </c>
      <c r="I8" s="559">
        <f>I13+I20+I28</f>
        <v>219165.08424999999</v>
      </c>
      <c r="J8" s="559"/>
      <c r="K8" s="559"/>
      <c r="L8" s="559"/>
      <c r="M8" s="559"/>
      <c r="N8" s="176">
        <f t="shared" ref="N8:O8" si="8">N13+N20+N28</f>
        <v>217264.71580000001</v>
      </c>
      <c r="O8" s="176">
        <f t="shared" si="8"/>
        <v>217264.71580000001</v>
      </c>
      <c r="P8" s="462"/>
      <c r="Q8" s="31"/>
      <c r="R8" s="31"/>
      <c r="S8" s="31"/>
    </row>
    <row r="9" spans="1:19" s="9" customFormat="1" ht="37.5" x14ac:dyDescent="0.25">
      <c r="A9" s="341"/>
      <c r="B9" s="563"/>
      <c r="C9" s="563"/>
      <c r="D9" s="174" t="s">
        <v>87</v>
      </c>
      <c r="E9" s="176"/>
      <c r="F9" s="179">
        <f t="shared" si="0"/>
        <v>960493.93030000012</v>
      </c>
      <c r="G9" s="176">
        <f t="shared" ref="G9:H9" si="9">G14+G21+G29</f>
        <v>170615.4915</v>
      </c>
      <c r="H9" s="245">
        <f t="shared" si="9"/>
        <v>197469.6097</v>
      </c>
      <c r="I9" s="559">
        <f>I14+I21+I29</f>
        <v>197469.6097</v>
      </c>
      <c r="J9" s="559"/>
      <c r="K9" s="559"/>
      <c r="L9" s="559"/>
      <c r="M9" s="559"/>
      <c r="N9" s="176">
        <f t="shared" ref="N9:O9" si="10">N14+N21+N29</f>
        <v>197469.6097</v>
      </c>
      <c r="O9" s="176">
        <f t="shared" si="10"/>
        <v>197469.6097</v>
      </c>
      <c r="P9" s="462"/>
      <c r="Q9" s="31"/>
      <c r="R9" s="31"/>
      <c r="S9" s="31"/>
    </row>
    <row r="10" spans="1:19" s="9" customFormat="1" ht="93.75" x14ac:dyDescent="0.25">
      <c r="A10" s="341"/>
      <c r="B10" s="563"/>
      <c r="C10" s="563"/>
      <c r="D10" s="174" t="s">
        <v>88</v>
      </c>
      <c r="E10" s="176"/>
      <c r="F10" s="179">
        <f t="shared" si="0"/>
        <v>960493.93030000012</v>
      </c>
      <c r="G10" s="176">
        <f t="shared" ref="G10:H10" si="11">G22</f>
        <v>170615.4915</v>
      </c>
      <c r="H10" s="245">
        <f t="shared" si="11"/>
        <v>197469.6097</v>
      </c>
      <c r="I10" s="559">
        <f>I22</f>
        <v>197469.6097</v>
      </c>
      <c r="J10" s="559"/>
      <c r="K10" s="559"/>
      <c r="L10" s="559"/>
      <c r="M10" s="559"/>
      <c r="N10" s="176">
        <f t="shared" ref="N10:O10" si="12">N22</f>
        <v>197469.6097</v>
      </c>
      <c r="O10" s="176">
        <f t="shared" si="12"/>
        <v>197469.6097</v>
      </c>
      <c r="P10" s="462"/>
      <c r="Q10" s="31"/>
      <c r="R10" s="31"/>
      <c r="S10" s="31"/>
    </row>
    <row r="11" spans="1:19" s="9" customFormat="1" ht="37.5" customHeight="1" x14ac:dyDescent="0.25">
      <c r="A11" s="544" t="s">
        <v>26</v>
      </c>
      <c r="B11" s="548" t="s">
        <v>270</v>
      </c>
      <c r="C11" s="546" t="s">
        <v>86</v>
      </c>
      <c r="D11" s="102" t="s">
        <v>40</v>
      </c>
      <c r="E11" s="104"/>
      <c r="F11" s="179">
        <f t="shared" si="0"/>
        <v>0</v>
      </c>
      <c r="G11" s="117">
        <v>0</v>
      </c>
      <c r="H11" s="248">
        <v>0</v>
      </c>
      <c r="I11" s="556">
        <v>0</v>
      </c>
      <c r="J11" s="556"/>
      <c r="K11" s="556"/>
      <c r="L11" s="556"/>
      <c r="M11" s="556"/>
      <c r="N11" s="117">
        <v>0</v>
      </c>
      <c r="O11" s="117">
        <v>0</v>
      </c>
      <c r="P11" s="547" t="s">
        <v>3</v>
      </c>
      <c r="Q11" s="31"/>
      <c r="R11" s="31"/>
      <c r="S11" s="31"/>
    </row>
    <row r="12" spans="1:19" ht="37.5" customHeight="1" x14ac:dyDescent="0.25">
      <c r="A12" s="544"/>
      <c r="B12" s="548"/>
      <c r="C12" s="546"/>
      <c r="D12" s="127" t="s">
        <v>1</v>
      </c>
      <c r="E12" s="71"/>
      <c r="F12" s="179">
        <f t="shared" si="0"/>
        <v>538.57065999999998</v>
      </c>
      <c r="G12" s="117">
        <v>141.46065999999999</v>
      </c>
      <c r="H12" s="291">
        <v>397.11</v>
      </c>
      <c r="I12" s="358">
        <v>0</v>
      </c>
      <c r="J12" s="358"/>
      <c r="K12" s="358"/>
      <c r="L12" s="358"/>
      <c r="M12" s="358"/>
      <c r="N12" s="291">
        <v>0</v>
      </c>
      <c r="O12" s="291">
        <v>0</v>
      </c>
      <c r="P12" s="547"/>
      <c r="Q12" s="31"/>
      <c r="R12" s="31"/>
      <c r="S12" s="31"/>
    </row>
    <row r="13" spans="1:19" ht="60.75" customHeight="1" x14ac:dyDescent="0.25">
      <c r="A13" s="544"/>
      <c r="B13" s="548"/>
      <c r="C13" s="546"/>
      <c r="D13" s="125" t="s">
        <v>48</v>
      </c>
      <c r="E13" s="117">
        <v>97858.007519999999</v>
      </c>
      <c r="F13" s="179">
        <f t="shared" si="0"/>
        <v>588792.22018999991</v>
      </c>
      <c r="G13" s="117">
        <v>116139.13128</v>
      </c>
      <c r="H13" s="291">
        <v>114975.76281</v>
      </c>
      <c r="I13" s="545">
        <f>118311.639+376.46818+2193.94092</f>
        <v>120882.04809999999</v>
      </c>
      <c r="J13" s="545"/>
      <c r="K13" s="545"/>
      <c r="L13" s="545"/>
      <c r="M13" s="545"/>
      <c r="N13" s="291">
        <v>118397.639</v>
      </c>
      <c r="O13" s="291">
        <v>118397.639</v>
      </c>
      <c r="P13" s="547"/>
      <c r="Q13" s="52" t="e">
        <f>('[1]Лист 1'!$F$476+'[1]Лист 1'!$F$477)/1000</f>
        <v>#REF!</v>
      </c>
      <c r="R13" s="138">
        <v>16611.023000000001</v>
      </c>
      <c r="S13" s="33" t="e">
        <f>Q13-R13</f>
        <v>#REF!</v>
      </c>
    </row>
    <row r="14" spans="1:19" ht="37.5" x14ac:dyDescent="0.25">
      <c r="A14" s="544"/>
      <c r="B14" s="548"/>
      <c r="C14" s="546"/>
      <c r="D14" s="125" t="s">
        <v>87</v>
      </c>
      <c r="E14" s="117"/>
      <c r="F14" s="179">
        <f t="shared" si="0"/>
        <v>0</v>
      </c>
      <c r="G14" s="117">
        <v>0</v>
      </c>
      <c r="H14" s="291">
        <v>0</v>
      </c>
      <c r="I14" s="358">
        <v>0</v>
      </c>
      <c r="J14" s="358"/>
      <c r="K14" s="358"/>
      <c r="L14" s="358"/>
      <c r="M14" s="358"/>
      <c r="N14" s="291">
        <v>0</v>
      </c>
      <c r="O14" s="291">
        <v>0</v>
      </c>
      <c r="P14" s="547"/>
      <c r="Q14" s="52"/>
      <c r="R14" s="139"/>
      <c r="S14" s="33"/>
    </row>
    <row r="15" spans="1:19" s="40" customFormat="1" ht="21" customHeight="1" x14ac:dyDescent="0.25">
      <c r="A15" s="544"/>
      <c r="B15" s="398" t="s">
        <v>178</v>
      </c>
      <c r="C15" s="394" t="s">
        <v>116</v>
      </c>
      <c r="D15" s="394" t="s">
        <v>116</v>
      </c>
      <c r="E15" s="131"/>
      <c r="F15" s="355" t="s">
        <v>117</v>
      </c>
      <c r="G15" s="132" t="s">
        <v>220</v>
      </c>
      <c r="H15" s="286" t="s">
        <v>221</v>
      </c>
      <c r="I15" s="354" t="s">
        <v>123</v>
      </c>
      <c r="J15" s="339" t="s">
        <v>118</v>
      </c>
      <c r="K15" s="339"/>
      <c r="L15" s="339"/>
      <c r="M15" s="339"/>
      <c r="N15" s="286" t="s">
        <v>124</v>
      </c>
      <c r="O15" s="286" t="s">
        <v>125</v>
      </c>
      <c r="P15" s="457" t="s">
        <v>116</v>
      </c>
      <c r="Q15" s="101"/>
      <c r="R15" s="9"/>
      <c r="S15" s="9"/>
    </row>
    <row r="16" spans="1:19" s="40" customFormat="1" ht="25.5" customHeight="1" x14ac:dyDescent="0.25">
      <c r="A16" s="544"/>
      <c r="B16" s="398"/>
      <c r="C16" s="394"/>
      <c r="D16" s="394"/>
      <c r="E16" s="131"/>
      <c r="F16" s="355"/>
      <c r="G16" s="131"/>
      <c r="H16" s="287"/>
      <c r="I16" s="354"/>
      <c r="J16" s="287" t="s">
        <v>119</v>
      </c>
      <c r="K16" s="287" t="s">
        <v>120</v>
      </c>
      <c r="L16" s="287" t="s">
        <v>121</v>
      </c>
      <c r="M16" s="287" t="s">
        <v>122</v>
      </c>
      <c r="N16" s="287"/>
      <c r="O16" s="287"/>
      <c r="P16" s="457"/>
      <c r="Q16" s="101"/>
      <c r="R16" s="9"/>
      <c r="S16" s="9"/>
    </row>
    <row r="17" spans="1:21" s="40" customFormat="1" ht="28.5" customHeight="1" x14ac:dyDescent="0.25">
      <c r="A17" s="544"/>
      <c r="B17" s="398"/>
      <c r="C17" s="394"/>
      <c r="D17" s="394"/>
      <c r="E17" s="131"/>
      <c r="F17" s="157">
        <v>100</v>
      </c>
      <c r="G17" s="133">
        <v>100</v>
      </c>
      <c r="H17" s="189">
        <v>100</v>
      </c>
      <c r="I17" s="189">
        <v>100</v>
      </c>
      <c r="J17" s="189">
        <v>100</v>
      </c>
      <c r="K17" s="189">
        <v>100</v>
      </c>
      <c r="L17" s="189">
        <v>100</v>
      </c>
      <c r="M17" s="189">
        <v>100</v>
      </c>
      <c r="N17" s="189">
        <v>100</v>
      </c>
      <c r="O17" s="189">
        <v>100</v>
      </c>
      <c r="P17" s="457"/>
      <c r="Q17" s="101"/>
      <c r="R17" s="9"/>
      <c r="S17" s="9"/>
    </row>
    <row r="18" spans="1:21" ht="37.5" customHeight="1" x14ac:dyDescent="0.25">
      <c r="A18" s="544" t="s">
        <v>27</v>
      </c>
      <c r="B18" s="548" t="s">
        <v>271</v>
      </c>
      <c r="C18" s="546" t="s">
        <v>86</v>
      </c>
      <c r="D18" s="125" t="s">
        <v>40</v>
      </c>
      <c r="E18" s="117"/>
      <c r="F18" s="179">
        <f>SUM(G18:O18)</f>
        <v>0</v>
      </c>
      <c r="G18" s="117">
        <v>0</v>
      </c>
      <c r="H18" s="291">
        <v>0</v>
      </c>
      <c r="I18" s="358">
        <v>0</v>
      </c>
      <c r="J18" s="358"/>
      <c r="K18" s="358"/>
      <c r="L18" s="358"/>
      <c r="M18" s="358"/>
      <c r="N18" s="291">
        <v>0</v>
      </c>
      <c r="O18" s="291">
        <v>0</v>
      </c>
      <c r="P18" s="547" t="s">
        <v>81</v>
      </c>
      <c r="Q18" s="52"/>
      <c r="R18" s="139"/>
      <c r="S18" s="33"/>
    </row>
    <row r="19" spans="1:21" ht="37.5" x14ac:dyDescent="0.25">
      <c r="A19" s="544"/>
      <c r="B19" s="548"/>
      <c r="C19" s="546"/>
      <c r="D19" s="125" t="s">
        <v>1</v>
      </c>
      <c r="E19" s="117"/>
      <c r="F19" s="179">
        <f>SUM(G19:O19)</f>
        <v>0</v>
      </c>
      <c r="G19" s="117">
        <v>0</v>
      </c>
      <c r="H19" s="291">
        <v>0</v>
      </c>
      <c r="I19" s="358">
        <v>0</v>
      </c>
      <c r="J19" s="358"/>
      <c r="K19" s="358"/>
      <c r="L19" s="358"/>
      <c r="M19" s="358"/>
      <c r="N19" s="291">
        <v>0</v>
      </c>
      <c r="O19" s="291">
        <v>0</v>
      </c>
      <c r="P19" s="547"/>
      <c r="Q19" s="52"/>
      <c r="R19" s="139"/>
      <c r="S19" s="33"/>
    </row>
    <row r="20" spans="1:21" ht="56.25" customHeight="1" x14ac:dyDescent="0.25">
      <c r="A20" s="544"/>
      <c r="B20" s="548"/>
      <c r="C20" s="546"/>
      <c r="D20" s="125" t="s">
        <v>48</v>
      </c>
      <c r="E20" s="117">
        <v>39046.151080000003</v>
      </c>
      <c r="F20" s="179">
        <f>SUM(G20:O20)</f>
        <v>498672.26290999993</v>
      </c>
      <c r="G20" s="117">
        <v>110760.19452</v>
      </c>
      <c r="H20" s="291">
        <v>125993.87864</v>
      </c>
      <c r="I20" s="545">
        <f>87308.0768-6.04065</f>
        <v>87302.03615</v>
      </c>
      <c r="J20" s="545"/>
      <c r="K20" s="545"/>
      <c r="L20" s="545"/>
      <c r="M20" s="545"/>
      <c r="N20" s="291">
        <f>87120+188.0768</f>
        <v>87308.076799999995</v>
      </c>
      <c r="O20" s="291">
        <f>87120+188.0768</f>
        <v>87308.076799999995</v>
      </c>
      <c r="P20" s="547"/>
      <c r="Q20" s="52" t="e">
        <f>'[1]Лист 1'!$F$478/1000</f>
        <v>#REF!</v>
      </c>
      <c r="R20" s="139">
        <v>0.27</v>
      </c>
      <c r="S20" s="33" t="e">
        <f>Q20-R20</f>
        <v>#REF!</v>
      </c>
    </row>
    <row r="21" spans="1:21" ht="37.5" x14ac:dyDescent="0.25">
      <c r="A21" s="544"/>
      <c r="B21" s="548"/>
      <c r="C21" s="546"/>
      <c r="D21" s="125" t="s">
        <v>87</v>
      </c>
      <c r="E21" s="117"/>
      <c r="F21" s="179">
        <f>SUM(G21:O21)</f>
        <v>960493.93030000012</v>
      </c>
      <c r="G21" s="117">
        <f>G22</f>
        <v>170615.4915</v>
      </c>
      <c r="H21" s="291">
        <f>H22</f>
        <v>197469.6097</v>
      </c>
      <c r="I21" s="358">
        <f>I22</f>
        <v>197469.6097</v>
      </c>
      <c r="J21" s="358"/>
      <c r="K21" s="358"/>
      <c r="L21" s="358"/>
      <c r="M21" s="358"/>
      <c r="N21" s="291">
        <f t="shared" ref="N21:O21" si="13">N22</f>
        <v>197469.6097</v>
      </c>
      <c r="O21" s="291">
        <f t="shared" si="13"/>
        <v>197469.6097</v>
      </c>
      <c r="P21" s="547"/>
      <c r="Q21" s="52"/>
      <c r="R21" s="139"/>
      <c r="S21" s="33"/>
    </row>
    <row r="22" spans="1:21" ht="93.75" x14ac:dyDescent="0.25">
      <c r="A22" s="544"/>
      <c r="B22" s="548"/>
      <c r="C22" s="546"/>
      <c r="D22" s="125" t="s">
        <v>88</v>
      </c>
      <c r="E22" s="117"/>
      <c r="F22" s="179">
        <f>SUM(G22:O22)</f>
        <v>960493.93030000012</v>
      </c>
      <c r="G22" s="71">
        <v>170615.4915</v>
      </c>
      <c r="H22" s="298">
        <v>197469.6097</v>
      </c>
      <c r="I22" s="549">
        <f>N22</f>
        <v>197469.6097</v>
      </c>
      <c r="J22" s="549"/>
      <c r="K22" s="549"/>
      <c r="L22" s="549"/>
      <c r="M22" s="549"/>
      <c r="N22" s="298">
        <f>H22</f>
        <v>197469.6097</v>
      </c>
      <c r="O22" s="298">
        <f>N22</f>
        <v>197469.6097</v>
      </c>
      <c r="P22" s="547"/>
      <c r="Q22" s="52"/>
      <c r="R22" s="139"/>
      <c r="S22" s="33"/>
    </row>
    <row r="23" spans="1:21" s="40" customFormat="1" ht="22.5" customHeight="1" x14ac:dyDescent="0.25">
      <c r="A23" s="544"/>
      <c r="B23" s="398" t="s">
        <v>185</v>
      </c>
      <c r="C23" s="394" t="s">
        <v>116</v>
      </c>
      <c r="D23" s="394" t="s">
        <v>116</v>
      </c>
      <c r="E23" s="131"/>
      <c r="F23" s="355" t="s">
        <v>117</v>
      </c>
      <c r="G23" s="132" t="s">
        <v>220</v>
      </c>
      <c r="H23" s="286" t="s">
        <v>221</v>
      </c>
      <c r="I23" s="354" t="s">
        <v>123</v>
      </c>
      <c r="J23" s="339" t="s">
        <v>118</v>
      </c>
      <c r="K23" s="339"/>
      <c r="L23" s="339"/>
      <c r="M23" s="339"/>
      <c r="N23" s="286" t="s">
        <v>124</v>
      </c>
      <c r="O23" s="286" t="s">
        <v>125</v>
      </c>
      <c r="P23" s="457" t="s">
        <v>116</v>
      </c>
      <c r="Q23" s="101"/>
      <c r="R23" s="9"/>
      <c r="S23" s="9"/>
    </row>
    <row r="24" spans="1:21" s="40" customFormat="1" ht="20.25" customHeight="1" x14ac:dyDescent="0.25">
      <c r="A24" s="544"/>
      <c r="B24" s="398"/>
      <c r="C24" s="394"/>
      <c r="D24" s="394"/>
      <c r="E24" s="131"/>
      <c r="F24" s="355"/>
      <c r="G24" s="131"/>
      <c r="H24" s="287"/>
      <c r="I24" s="354"/>
      <c r="J24" s="287" t="s">
        <v>119</v>
      </c>
      <c r="K24" s="287" t="s">
        <v>120</v>
      </c>
      <c r="L24" s="287" t="s">
        <v>121</v>
      </c>
      <c r="M24" s="287" t="s">
        <v>122</v>
      </c>
      <c r="N24" s="287"/>
      <c r="O24" s="287"/>
      <c r="P24" s="457"/>
      <c r="Q24" s="101"/>
      <c r="R24" s="9"/>
      <c r="S24" s="9"/>
    </row>
    <row r="25" spans="1:21" s="40" customFormat="1" ht="27" customHeight="1" x14ac:dyDescent="0.25">
      <c r="A25" s="544"/>
      <c r="B25" s="398"/>
      <c r="C25" s="394"/>
      <c r="D25" s="394"/>
      <c r="E25" s="131"/>
      <c r="F25" s="157">
        <v>3</v>
      </c>
      <c r="G25" s="133">
        <v>3</v>
      </c>
      <c r="H25" s="189">
        <v>3</v>
      </c>
      <c r="I25" s="189">
        <v>3</v>
      </c>
      <c r="J25" s="189">
        <v>3</v>
      </c>
      <c r="K25" s="189">
        <v>3</v>
      </c>
      <c r="L25" s="189">
        <v>3</v>
      </c>
      <c r="M25" s="189">
        <v>3</v>
      </c>
      <c r="N25" s="189">
        <v>3</v>
      </c>
      <c r="O25" s="189">
        <v>3</v>
      </c>
      <c r="P25" s="457"/>
      <c r="Q25" s="101"/>
      <c r="R25" s="9"/>
      <c r="S25" s="9"/>
    </row>
    <row r="26" spans="1:21" ht="37.5" customHeight="1" x14ac:dyDescent="0.25">
      <c r="A26" s="544" t="s">
        <v>28</v>
      </c>
      <c r="B26" s="548" t="s">
        <v>146</v>
      </c>
      <c r="C26" s="546" t="s">
        <v>86</v>
      </c>
      <c r="D26" s="125" t="s">
        <v>40</v>
      </c>
      <c r="E26" s="117"/>
      <c r="F26" s="179">
        <f>SUM(G26:O26)</f>
        <v>0</v>
      </c>
      <c r="G26" s="117">
        <v>0</v>
      </c>
      <c r="H26" s="291">
        <v>0</v>
      </c>
      <c r="I26" s="358">
        <v>0</v>
      </c>
      <c r="J26" s="358"/>
      <c r="K26" s="358"/>
      <c r="L26" s="358"/>
      <c r="M26" s="358"/>
      <c r="N26" s="291">
        <v>0</v>
      </c>
      <c r="O26" s="291">
        <v>0</v>
      </c>
      <c r="P26" s="547" t="s">
        <v>38</v>
      </c>
      <c r="Q26" s="52"/>
      <c r="R26" s="139"/>
      <c r="S26" s="33"/>
    </row>
    <row r="27" spans="1:21" ht="37.5" x14ac:dyDescent="0.25">
      <c r="A27" s="544"/>
      <c r="B27" s="548"/>
      <c r="C27" s="546"/>
      <c r="D27" s="125" t="s">
        <v>1</v>
      </c>
      <c r="E27" s="117"/>
      <c r="F27" s="179">
        <f>SUM(G27:O27)</f>
        <v>0</v>
      </c>
      <c r="G27" s="117">
        <v>0</v>
      </c>
      <c r="H27" s="291">
        <v>0</v>
      </c>
      <c r="I27" s="358">
        <v>0</v>
      </c>
      <c r="J27" s="358"/>
      <c r="K27" s="358"/>
      <c r="L27" s="358"/>
      <c r="M27" s="358"/>
      <c r="N27" s="291">
        <v>0</v>
      </c>
      <c r="O27" s="291">
        <v>0</v>
      </c>
      <c r="P27" s="547"/>
      <c r="Q27" s="52"/>
      <c r="R27" s="139"/>
      <c r="S27" s="33"/>
    </row>
    <row r="28" spans="1:21" ht="57.75" customHeight="1" x14ac:dyDescent="0.25">
      <c r="A28" s="544"/>
      <c r="B28" s="548"/>
      <c r="C28" s="546"/>
      <c r="D28" s="125" t="s">
        <v>48</v>
      </c>
      <c r="E28" s="117">
        <v>44371</v>
      </c>
      <c r="F28" s="179">
        <f>SUM(G28:O28)</f>
        <v>52861.491999999998</v>
      </c>
      <c r="G28" s="117">
        <v>10027.492</v>
      </c>
      <c r="H28" s="291">
        <v>8735</v>
      </c>
      <c r="I28" s="358">
        <v>10981</v>
      </c>
      <c r="J28" s="358"/>
      <c r="K28" s="358"/>
      <c r="L28" s="358"/>
      <c r="M28" s="358"/>
      <c r="N28" s="291">
        <v>11559</v>
      </c>
      <c r="O28" s="291">
        <v>11559</v>
      </c>
      <c r="P28" s="547"/>
      <c r="Q28" s="52">
        <v>0</v>
      </c>
      <c r="R28" s="139">
        <v>0</v>
      </c>
      <c r="S28" s="33">
        <f>Q28-R28</f>
        <v>0</v>
      </c>
      <c r="T28" s="5"/>
      <c r="U28" s="5"/>
    </row>
    <row r="29" spans="1:21" ht="37.5" x14ac:dyDescent="0.25">
      <c r="A29" s="544"/>
      <c r="B29" s="548"/>
      <c r="C29" s="546"/>
      <c r="D29" s="125" t="s">
        <v>87</v>
      </c>
      <c r="E29" s="117"/>
      <c r="F29" s="179">
        <f>SUM(G29:O29)</f>
        <v>0</v>
      </c>
      <c r="G29" s="117">
        <v>0</v>
      </c>
      <c r="H29" s="291">
        <v>0</v>
      </c>
      <c r="I29" s="358">
        <v>0</v>
      </c>
      <c r="J29" s="358"/>
      <c r="K29" s="358"/>
      <c r="L29" s="358"/>
      <c r="M29" s="358"/>
      <c r="N29" s="291">
        <v>0</v>
      </c>
      <c r="O29" s="291">
        <v>0</v>
      </c>
      <c r="P29" s="547"/>
      <c r="Q29" s="33"/>
      <c r="R29" s="140"/>
      <c r="S29" s="33"/>
      <c r="T29" s="5"/>
      <c r="U29" s="5"/>
    </row>
    <row r="30" spans="1:21" s="40" customFormat="1" ht="21" customHeight="1" x14ac:dyDescent="0.25">
      <c r="A30" s="544"/>
      <c r="B30" s="398" t="s">
        <v>179</v>
      </c>
      <c r="C30" s="394" t="s">
        <v>116</v>
      </c>
      <c r="D30" s="394" t="s">
        <v>116</v>
      </c>
      <c r="E30" s="131"/>
      <c r="F30" s="355" t="s">
        <v>117</v>
      </c>
      <c r="G30" s="132" t="s">
        <v>220</v>
      </c>
      <c r="H30" s="286" t="s">
        <v>46</v>
      </c>
      <c r="I30" s="354" t="s">
        <v>123</v>
      </c>
      <c r="J30" s="339" t="s">
        <v>118</v>
      </c>
      <c r="K30" s="339"/>
      <c r="L30" s="339"/>
      <c r="M30" s="339"/>
      <c r="N30" s="286" t="s">
        <v>124</v>
      </c>
      <c r="O30" s="286" t="s">
        <v>125</v>
      </c>
      <c r="P30" s="457" t="s">
        <v>116</v>
      </c>
      <c r="Q30" s="101"/>
      <c r="R30" s="9"/>
      <c r="S30" s="9"/>
    </row>
    <row r="31" spans="1:21" s="40" customFormat="1" ht="20.25" customHeight="1" x14ac:dyDescent="0.25">
      <c r="A31" s="544"/>
      <c r="B31" s="398"/>
      <c r="C31" s="394"/>
      <c r="D31" s="394"/>
      <c r="E31" s="131"/>
      <c r="F31" s="355"/>
      <c r="G31" s="131"/>
      <c r="H31" s="287"/>
      <c r="I31" s="354"/>
      <c r="J31" s="287" t="s">
        <v>119</v>
      </c>
      <c r="K31" s="287" t="s">
        <v>120</v>
      </c>
      <c r="L31" s="287" t="s">
        <v>121</v>
      </c>
      <c r="M31" s="287" t="s">
        <v>122</v>
      </c>
      <c r="N31" s="287"/>
      <c r="O31" s="287"/>
      <c r="P31" s="457"/>
      <c r="Q31" s="101"/>
      <c r="R31" s="9"/>
      <c r="S31" s="9"/>
    </row>
    <row r="32" spans="1:21" s="40" customFormat="1" ht="27.75" customHeight="1" x14ac:dyDescent="0.25">
      <c r="A32" s="544"/>
      <c r="B32" s="398"/>
      <c r="C32" s="394"/>
      <c r="D32" s="394"/>
      <c r="E32" s="131"/>
      <c r="F32" s="157">
        <f>I32+G32+H32+N32+O32</f>
        <v>80</v>
      </c>
      <c r="G32" s="133">
        <v>16</v>
      </c>
      <c r="H32" s="133">
        <v>16</v>
      </c>
      <c r="I32" s="133">
        <v>16</v>
      </c>
      <c r="J32" s="133">
        <v>6</v>
      </c>
      <c r="K32" s="133">
        <v>6</v>
      </c>
      <c r="L32" s="133">
        <v>15</v>
      </c>
      <c r="M32" s="133">
        <v>16</v>
      </c>
      <c r="N32" s="133">
        <v>16</v>
      </c>
      <c r="O32" s="133">
        <v>16</v>
      </c>
      <c r="P32" s="457"/>
      <c r="Q32" s="101"/>
      <c r="R32" s="9"/>
      <c r="S32" s="9"/>
    </row>
    <row r="33" spans="1:25" s="9" customFormat="1" ht="36.75" customHeight="1" x14ac:dyDescent="0.25">
      <c r="A33" s="468" t="s">
        <v>184</v>
      </c>
      <c r="B33" s="469"/>
      <c r="C33" s="469"/>
      <c r="D33" s="469"/>
      <c r="E33" s="153">
        <f>E36</f>
        <v>181275.1586</v>
      </c>
      <c r="F33" s="158">
        <f t="shared" ref="F33:F46" si="14">SUM(G33:O33)</f>
        <v>2101358.4760600002</v>
      </c>
      <c r="G33" s="153">
        <f t="shared" ref="G33:H33" si="15">G34+G35+G36+G37</f>
        <v>407683.76996000001</v>
      </c>
      <c r="H33" s="153">
        <f t="shared" si="15"/>
        <v>447571.36115000001</v>
      </c>
      <c r="I33" s="555">
        <f>I34+I35+I36+I37</f>
        <v>416634.69394999999</v>
      </c>
      <c r="J33" s="555"/>
      <c r="K33" s="555"/>
      <c r="L33" s="555"/>
      <c r="M33" s="555"/>
      <c r="N33" s="153">
        <f t="shared" ref="N33:O33" si="16">N34+N35+N36+N37</f>
        <v>414734.32550000004</v>
      </c>
      <c r="O33" s="153">
        <f t="shared" si="16"/>
        <v>414734.32550000004</v>
      </c>
      <c r="P33" s="154"/>
      <c r="Q33" s="32"/>
      <c r="R33" s="32"/>
      <c r="S33" s="32"/>
      <c r="X33" s="45"/>
      <c r="Y33" s="45"/>
    </row>
    <row r="34" spans="1:25" s="9" customFormat="1" ht="18.75" x14ac:dyDescent="0.25">
      <c r="A34" s="552" t="s">
        <v>40</v>
      </c>
      <c r="B34" s="552"/>
      <c r="C34" s="552"/>
      <c r="D34" s="552"/>
      <c r="E34" s="99"/>
      <c r="F34" s="158">
        <f t="shared" si="14"/>
        <v>0</v>
      </c>
      <c r="G34" s="99">
        <f t="shared" ref="G34:H34" si="17">G6</f>
        <v>0</v>
      </c>
      <c r="H34" s="99">
        <f t="shared" si="17"/>
        <v>0</v>
      </c>
      <c r="I34" s="551">
        <f>I6</f>
        <v>0</v>
      </c>
      <c r="J34" s="551"/>
      <c r="K34" s="551"/>
      <c r="L34" s="551"/>
      <c r="M34" s="551"/>
      <c r="N34" s="99">
        <f t="shared" ref="N34:O34" si="18">N6</f>
        <v>0</v>
      </c>
      <c r="O34" s="99">
        <f t="shared" si="18"/>
        <v>0</v>
      </c>
      <c r="P34" s="12"/>
      <c r="Q34" s="32"/>
      <c r="R34" s="32"/>
      <c r="S34" s="32"/>
      <c r="X34" s="45"/>
      <c r="Y34" s="45"/>
    </row>
    <row r="35" spans="1:25" ht="18.75" x14ac:dyDescent="0.25">
      <c r="A35" s="385" t="s">
        <v>1</v>
      </c>
      <c r="B35" s="385"/>
      <c r="C35" s="385"/>
      <c r="D35" s="385"/>
      <c r="E35" s="48">
        <f>E7</f>
        <v>0</v>
      </c>
      <c r="F35" s="158">
        <f t="shared" si="14"/>
        <v>538.57065999999998</v>
      </c>
      <c r="G35" s="48">
        <f t="shared" ref="G35:H35" si="19">G7</f>
        <v>141.46065999999999</v>
      </c>
      <c r="H35" s="48">
        <f t="shared" si="19"/>
        <v>397.11</v>
      </c>
      <c r="I35" s="506">
        <f>I7</f>
        <v>0</v>
      </c>
      <c r="J35" s="506"/>
      <c r="K35" s="506"/>
      <c r="L35" s="506"/>
      <c r="M35" s="506"/>
      <c r="N35" s="48">
        <f t="shared" ref="N35:O35" si="20">N7</f>
        <v>0</v>
      </c>
      <c r="O35" s="48">
        <f t="shared" si="20"/>
        <v>0</v>
      </c>
      <c r="P35" s="12"/>
      <c r="Q35" s="32"/>
      <c r="R35" s="32"/>
      <c r="S35" s="32"/>
      <c r="X35" s="46"/>
      <c r="Y35" s="46"/>
    </row>
    <row r="36" spans="1:25" ht="18.75" x14ac:dyDescent="0.25">
      <c r="A36" s="385" t="s">
        <v>48</v>
      </c>
      <c r="B36" s="385"/>
      <c r="C36" s="385"/>
      <c r="D36" s="385"/>
      <c r="E36" s="48">
        <f>E8</f>
        <v>181275.1586</v>
      </c>
      <c r="F36" s="158">
        <f t="shared" si="14"/>
        <v>1140325.9750999999</v>
      </c>
      <c r="G36" s="48">
        <f t="shared" ref="G36:H36" si="21">G8</f>
        <v>236926.81779999999</v>
      </c>
      <c r="H36" s="48">
        <f t="shared" si="21"/>
        <v>249704.64145</v>
      </c>
      <c r="I36" s="506">
        <f>I8</f>
        <v>219165.08424999999</v>
      </c>
      <c r="J36" s="506"/>
      <c r="K36" s="506"/>
      <c r="L36" s="506"/>
      <c r="M36" s="506"/>
      <c r="N36" s="48">
        <f t="shared" ref="N36:O36" si="22">N8</f>
        <v>217264.71580000001</v>
      </c>
      <c r="O36" s="48">
        <f t="shared" si="22"/>
        <v>217264.71580000001</v>
      </c>
      <c r="P36" s="12"/>
      <c r="Q36" s="32"/>
      <c r="R36" s="32"/>
      <c r="S36" s="32"/>
      <c r="U36" s="46">
        <f>I36</f>
        <v>219165.08424999999</v>
      </c>
      <c r="X36" s="46"/>
      <c r="Y36" s="46"/>
    </row>
    <row r="37" spans="1:25" ht="18.75" x14ac:dyDescent="0.25">
      <c r="A37" s="385" t="s">
        <v>87</v>
      </c>
      <c r="B37" s="385"/>
      <c r="C37" s="385"/>
      <c r="D37" s="385"/>
      <c r="E37" s="48"/>
      <c r="F37" s="158">
        <f t="shared" si="14"/>
        <v>960493.93030000012</v>
      </c>
      <c r="G37" s="48">
        <f t="shared" ref="G37:H37" si="23">G9</f>
        <v>170615.4915</v>
      </c>
      <c r="H37" s="48">
        <f t="shared" si="23"/>
        <v>197469.6097</v>
      </c>
      <c r="I37" s="506">
        <f>I9</f>
        <v>197469.6097</v>
      </c>
      <c r="J37" s="506"/>
      <c r="K37" s="506"/>
      <c r="L37" s="506"/>
      <c r="M37" s="506"/>
      <c r="N37" s="48">
        <f t="shared" ref="N37:O37" si="24">N9</f>
        <v>197469.6097</v>
      </c>
      <c r="O37" s="48">
        <f t="shared" si="24"/>
        <v>197469.6097</v>
      </c>
      <c r="P37" s="12"/>
      <c r="Q37" s="32"/>
      <c r="R37" s="32"/>
      <c r="S37" s="32"/>
      <c r="X37" s="46"/>
      <c r="Y37" s="46"/>
    </row>
    <row r="38" spans="1:25" ht="18.75" x14ac:dyDescent="0.3">
      <c r="A38" s="388" t="s">
        <v>88</v>
      </c>
      <c r="B38" s="388"/>
      <c r="C38" s="388"/>
      <c r="D38" s="388"/>
      <c r="E38" s="37" t="e">
        <f>#REF!+'Подпрограмма 1'!#REF!+'Подпрограмма 2'!#REF!</f>
        <v>#REF!</v>
      </c>
      <c r="F38" s="158">
        <f t="shared" si="14"/>
        <v>960493.93030000012</v>
      </c>
      <c r="G38" s="93">
        <f t="shared" ref="G38:H38" si="25">G10</f>
        <v>170615.4915</v>
      </c>
      <c r="H38" s="93">
        <f t="shared" si="25"/>
        <v>197469.6097</v>
      </c>
      <c r="I38" s="534">
        <f>I10</f>
        <v>197469.6097</v>
      </c>
      <c r="J38" s="534"/>
      <c r="K38" s="534"/>
      <c r="L38" s="534"/>
      <c r="M38" s="534"/>
      <c r="N38" s="93">
        <f t="shared" ref="N38:O38" si="26">N10</f>
        <v>197469.6097</v>
      </c>
      <c r="O38" s="93">
        <f t="shared" si="26"/>
        <v>197469.6097</v>
      </c>
      <c r="P38" s="6"/>
      <c r="Q38" s="106" t="e">
        <f>#REF!+'Подпрограмма 1'!#REF!+'Подпрограмма 2'!#REF!</f>
        <v>#REF!</v>
      </c>
      <c r="R38" s="9"/>
      <c r="S38" s="9"/>
      <c r="T38" s="4"/>
      <c r="U38" s="4"/>
      <c r="X38" s="46"/>
      <c r="Y38" s="46"/>
    </row>
    <row r="39" spans="1:25" s="9" customFormat="1" ht="36.75" customHeight="1" x14ac:dyDescent="0.25">
      <c r="A39" s="558" t="s">
        <v>17</v>
      </c>
      <c r="B39" s="558"/>
      <c r="C39" s="558"/>
      <c r="D39" s="558"/>
      <c r="E39" s="177" t="e">
        <f>E40+E41+E42+E45+E46</f>
        <v>#REF!</v>
      </c>
      <c r="F39" s="180">
        <f t="shared" si="14"/>
        <v>70337913.427790001</v>
      </c>
      <c r="G39" s="146">
        <f>G40+G41+G42+G44</f>
        <v>12803361.490590002</v>
      </c>
      <c r="H39" s="249">
        <f t="shared" ref="H39" si="27">H40+H41+H42+H44</f>
        <v>13263134.16708</v>
      </c>
      <c r="I39" s="542">
        <f>I40+I41+I42+I44</f>
        <v>15084914.169760002</v>
      </c>
      <c r="J39" s="542"/>
      <c r="K39" s="542"/>
      <c r="L39" s="542"/>
      <c r="M39" s="542"/>
      <c r="N39" s="146">
        <f t="shared" ref="N39:O39" si="28">N40+N41+N42+N44</f>
        <v>14596652.96518</v>
      </c>
      <c r="O39" s="146">
        <f t="shared" si="28"/>
        <v>14589850.63518</v>
      </c>
      <c r="P39" s="178"/>
      <c r="Q39" s="20"/>
      <c r="T39" s="8"/>
      <c r="U39" s="8"/>
      <c r="V39" s="115">
        <v>64839775.624750003</v>
      </c>
      <c r="W39" s="45">
        <f t="shared" ref="W39:W46" si="29">F39-V39</f>
        <v>5498137.8030399978</v>
      </c>
      <c r="X39" s="45">
        <v>12803361.490590002</v>
      </c>
      <c r="Y39" s="45"/>
    </row>
    <row r="40" spans="1:25" s="9" customFormat="1" ht="18.75" x14ac:dyDescent="0.25">
      <c r="A40" s="550" t="s">
        <v>40</v>
      </c>
      <c r="B40" s="550"/>
      <c r="C40" s="550"/>
      <c r="D40" s="550"/>
      <c r="E40" s="105" t="e">
        <f>'Подпрограмма 1'!E399+'Подпрограмма 2'!E98</f>
        <v>#REF!</v>
      </c>
      <c r="F40" s="180">
        <f t="shared" si="14"/>
        <v>2261992.6770500001</v>
      </c>
      <c r="G40" s="128">
        <f>'Подпрограмма 1'!G399+'Подпрограмма 2'!G98+'Подпрограмма 3'!G34</f>
        <v>398561.31916999992</v>
      </c>
      <c r="H40" s="255">
        <f>'Подпрограмма 1'!H399+'Подпрограмма 2'!H98+'Подпрограмма 3'!H34</f>
        <v>463676.47893000004</v>
      </c>
      <c r="I40" s="541">
        <f>'Подпрограмма 1'!I399+'Подпрограмма 2'!I98+'Подпрограмма 3'!I34</f>
        <v>483501.89039999997</v>
      </c>
      <c r="J40" s="541"/>
      <c r="K40" s="541"/>
      <c r="L40" s="541"/>
      <c r="M40" s="541"/>
      <c r="N40" s="128">
        <f>'Подпрограмма 1'!N399+'Подпрограмма 2'!N98+'Подпрограмма 3'!N34</f>
        <v>463826.77772000001</v>
      </c>
      <c r="O40" s="128">
        <f>'Подпрограмма 1'!O399+'Подпрограмма 2'!O98+'Подпрограмма 3'!O34</f>
        <v>452426.21083</v>
      </c>
      <c r="P40" s="19"/>
      <c r="Q40" s="20" t="e">
        <f>#REF!</f>
        <v>#REF!</v>
      </c>
      <c r="T40" s="8"/>
      <c r="U40" s="8"/>
      <c r="V40" s="115">
        <v>1872051.01917</v>
      </c>
      <c r="W40" s="45">
        <f t="shared" si="29"/>
        <v>389941.65788000007</v>
      </c>
      <c r="X40" s="116">
        <v>398561.31916999992</v>
      </c>
      <c r="Y40" s="116">
        <f t="shared" ref="Y40:Y46" si="30">G40-X40</f>
        <v>0</v>
      </c>
    </row>
    <row r="41" spans="1:25" s="9" customFormat="1" ht="18.75" x14ac:dyDescent="0.25">
      <c r="A41" s="550" t="s">
        <v>1</v>
      </c>
      <c r="B41" s="550"/>
      <c r="C41" s="550"/>
      <c r="D41" s="550"/>
      <c r="E41" s="105" t="e">
        <f>#REF!+'Подпрограмма 1'!E400+'Подпрограмма 2'!E99+#REF!</f>
        <v>#REF!</v>
      </c>
      <c r="F41" s="180">
        <f t="shared" si="14"/>
        <v>40722936.42084001</v>
      </c>
      <c r="G41" s="255">
        <f>'Подпрограмма 1'!G400+'Подпрограмма 2'!G99+'Подпрограмма 3'!G35</f>
        <v>7623938.0609600022</v>
      </c>
      <c r="H41" s="255">
        <f>'Подпрограмма 1'!H400+'Подпрограмма 2'!H99+'Подпрограмма 3'!H35</f>
        <v>7799971.7568800012</v>
      </c>
      <c r="I41" s="541">
        <f>'Подпрограмма 1'!I400+'Подпрограмма 2'!I99+'Подпрограмма 3'!I35</f>
        <v>8472367.6715500019</v>
      </c>
      <c r="J41" s="541"/>
      <c r="K41" s="541"/>
      <c r="L41" s="541"/>
      <c r="M41" s="541"/>
      <c r="N41" s="128">
        <f>'Подпрограмма 1'!N400+'Подпрограмма 2'!N99+'Подпрограмма 3'!N35</f>
        <v>8410709.2822799999</v>
      </c>
      <c r="O41" s="128">
        <f>'Подпрограмма 1'!O400+'Подпрограмма 2'!O99+'Подпрограмма 3'!O35</f>
        <v>8415949.6491700001</v>
      </c>
      <c r="P41" s="19"/>
      <c r="Q41" s="21" t="e">
        <f>#REF!+'Подпрограмма 1'!#REF!+'Подпрограмма 2'!#REF!+#REF!</f>
        <v>#REF!</v>
      </c>
      <c r="T41" s="8"/>
      <c r="U41" s="8"/>
      <c r="V41" s="115">
        <v>39441712.982210003</v>
      </c>
      <c r="W41" s="45">
        <f t="shared" si="29"/>
        <v>1281223.4386300072</v>
      </c>
      <c r="X41" s="116">
        <v>7623938.0609600022</v>
      </c>
      <c r="Y41" s="116">
        <f t="shared" si="30"/>
        <v>0</v>
      </c>
    </row>
    <row r="42" spans="1:25" s="9" customFormat="1" ht="18.75" x14ac:dyDescent="0.25">
      <c r="A42" s="550" t="s">
        <v>48</v>
      </c>
      <c r="B42" s="550"/>
      <c r="C42" s="550"/>
      <c r="D42" s="550"/>
      <c r="E42" s="105" t="e">
        <f>#REF!+'Подпрограмма 1'!E401+'Подпрограмма 2'!E100+#REF!+'Подпрограмма 3'!E36</f>
        <v>#REF!</v>
      </c>
      <c r="F42" s="180">
        <f t="shared" si="14"/>
        <v>23252214.140980005</v>
      </c>
      <c r="G42" s="255">
        <f>'Подпрограмма 1'!G401+'Подпрограмма 2'!G100+'Подпрограмма 3'!G36</f>
        <v>4095859.6682799999</v>
      </c>
      <c r="H42" s="255">
        <f>'Подпрограмма 1'!H401+'Подпрограмма 2'!H100+'Подпрограмма 3'!H36</f>
        <v>4128790.1930699996</v>
      </c>
      <c r="I42" s="541">
        <f>'Подпрограмма 1'!I401+'Подпрограмма 2'!I100+'Подпрограмма 3'!I36</f>
        <v>5280687.2716300003</v>
      </c>
      <c r="J42" s="541"/>
      <c r="K42" s="541"/>
      <c r="L42" s="541"/>
      <c r="M42" s="541"/>
      <c r="N42" s="128">
        <f>'Подпрограмма 1'!N401+'Подпрограмма 2'!N100+'Подпрограмма 3'!N36</f>
        <v>4873759.5690000011</v>
      </c>
      <c r="O42" s="128">
        <f>'Подпрограмма 1'!O401+'Подпрограмма 2'!O100+'Подпрограмма 3'!O36</f>
        <v>4873117.4390000012</v>
      </c>
      <c r="P42" s="19"/>
      <c r="Q42" s="21" t="e">
        <f>#REF!+'Подпрограмма 1'!#REF!+'Подпрограмма 2'!#REF!+#REF!+#REF!</f>
        <v>#REF!</v>
      </c>
      <c r="T42" s="8"/>
      <c r="U42" s="8"/>
      <c r="V42" s="115">
        <v>19909798.706069998</v>
      </c>
      <c r="W42" s="45">
        <f t="shared" si="29"/>
        <v>3342415.4349100068</v>
      </c>
      <c r="X42" s="116">
        <v>4095859.6682799999</v>
      </c>
      <c r="Y42" s="116">
        <f t="shared" si="30"/>
        <v>0</v>
      </c>
    </row>
    <row r="43" spans="1:25" s="9" customFormat="1" ht="18.75" x14ac:dyDescent="0.3">
      <c r="A43" s="388" t="s">
        <v>59</v>
      </c>
      <c r="B43" s="388"/>
      <c r="C43" s="388"/>
      <c r="D43" s="388"/>
      <c r="E43" s="120" t="e">
        <f>#REF!</f>
        <v>#REF!</v>
      </c>
      <c r="F43" s="181">
        <f t="shared" si="14"/>
        <v>2798298</v>
      </c>
      <c r="G43" s="119">
        <f>'Подпрограмма 1'!G402</f>
        <v>413035</v>
      </c>
      <c r="H43" s="254">
        <f>'Подпрограмма 1'!H402</f>
        <v>493052</v>
      </c>
      <c r="I43" s="534">
        <f>'Подпрограмма 1'!I402</f>
        <v>630737</v>
      </c>
      <c r="J43" s="534"/>
      <c r="K43" s="534"/>
      <c r="L43" s="534"/>
      <c r="M43" s="534"/>
      <c r="N43" s="119">
        <f>'Подпрограмма 1'!N402</f>
        <v>630737</v>
      </c>
      <c r="O43" s="119">
        <f>'Подпрограмма 1'!O402</f>
        <v>630737</v>
      </c>
      <c r="P43" s="6"/>
      <c r="V43" s="115">
        <v>2529243</v>
      </c>
      <c r="W43" s="45">
        <f t="shared" si="29"/>
        <v>269055</v>
      </c>
      <c r="X43" s="116">
        <v>413035</v>
      </c>
      <c r="Y43" s="116">
        <f t="shared" si="30"/>
        <v>0</v>
      </c>
    </row>
    <row r="44" spans="1:25" s="9" customFormat="1" ht="18.75" x14ac:dyDescent="0.3">
      <c r="A44" s="389" t="s">
        <v>87</v>
      </c>
      <c r="B44" s="389"/>
      <c r="C44" s="389"/>
      <c r="D44" s="389"/>
      <c r="E44" s="120"/>
      <c r="F44" s="180">
        <f t="shared" si="14"/>
        <v>4100770.1889200006</v>
      </c>
      <c r="G44" s="120">
        <f>G45+G46</f>
        <v>685002.44218000001</v>
      </c>
      <c r="H44" s="256">
        <f>H45+H46</f>
        <v>870695.73820000014</v>
      </c>
      <c r="I44" s="543">
        <f>I45+I46</f>
        <v>848357.3361800001</v>
      </c>
      <c r="J44" s="543"/>
      <c r="K44" s="543"/>
      <c r="L44" s="543"/>
      <c r="M44" s="543"/>
      <c r="N44" s="120">
        <f t="shared" ref="N44:O44" si="31">N45+N46</f>
        <v>848357.3361800001</v>
      </c>
      <c r="O44" s="120">
        <f t="shared" si="31"/>
        <v>848357.3361800001</v>
      </c>
      <c r="P44" s="6"/>
      <c r="V44" s="115">
        <v>3616212.9173000003</v>
      </c>
      <c r="W44" s="45">
        <f t="shared" si="29"/>
        <v>484557.27162000025</v>
      </c>
      <c r="X44" s="116">
        <v>685002.44218000001</v>
      </c>
      <c r="Y44" s="116">
        <f t="shared" si="30"/>
        <v>0</v>
      </c>
    </row>
    <row r="45" spans="1:25" s="9" customFormat="1" ht="18.75" x14ac:dyDescent="0.3">
      <c r="A45" s="388" t="s">
        <v>88</v>
      </c>
      <c r="B45" s="388"/>
      <c r="C45" s="388"/>
      <c r="D45" s="388"/>
      <c r="E45" s="107" t="e">
        <f>#REF!+'Подпрограмма 1'!E404+'Подпрограмма 2'!E102</f>
        <v>#REF!</v>
      </c>
      <c r="F45" s="181">
        <f t="shared" si="14"/>
        <v>3978891.0249199998</v>
      </c>
      <c r="G45" s="119">
        <f>'Подпрограмма 1'!G404+'Подпрограмма 2'!G102+'Подпрограмма 3'!G38</f>
        <v>661811.04018000001</v>
      </c>
      <c r="H45" s="254">
        <f>'Подпрограмма 1'!H404+'Подпрограмма 2'!H102+'Подпрограмма 3'!H38</f>
        <v>846169.42820000008</v>
      </c>
      <c r="I45" s="534">
        <f>'Подпрограмма 1'!I404+'Подпрограмма 2'!I102+'Подпрограмма 3'!I38</f>
        <v>823636.85218000005</v>
      </c>
      <c r="J45" s="534"/>
      <c r="K45" s="534"/>
      <c r="L45" s="534"/>
      <c r="M45" s="534"/>
      <c r="N45" s="119">
        <f>'Подпрограмма 1'!N404+'Подпрограмма 2'!N102+'Подпрограмма 3'!N38</f>
        <v>823636.85218000005</v>
      </c>
      <c r="O45" s="119">
        <f>'Подпрограмма 1'!O404+'Подпрограмма 2'!O102+'Подпрограмма 3'!O38</f>
        <v>823636.85218000005</v>
      </c>
      <c r="P45" s="6"/>
      <c r="Q45" s="106" t="e">
        <f>#REF!+'Подпрограмма 1'!F398+'Подпрограмма 2'!F97</f>
        <v>#REF!</v>
      </c>
      <c r="T45" s="8"/>
      <c r="U45" s="8"/>
      <c r="V45" s="115">
        <v>3494139.5792999999</v>
      </c>
      <c r="W45" s="45">
        <f t="shared" si="29"/>
        <v>484751.4456199999</v>
      </c>
      <c r="X45" s="116">
        <v>661811.04018000001</v>
      </c>
      <c r="Y45" s="116">
        <f t="shared" si="30"/>
        <v>0</v>
      </c>
    </row>
    <row r="46" spans="1:25" s="9" customFormat="1" ht="18.75" x14ac:dyDescent="0.3">
      <c r="A46" s="388" t="s">
        <v>89</v>
      </c>
      <c r="B46" s="388"/>
      <c r="C46" s="388"/>
      <c r="D46" s="388"/>
      <c r="E46" s="107" t="e">
        <f>#REF!+'Подпрограмма 1'!E405</f>
        <v>#REF!</v>
      </c>
      <c r="F46" s="181">
        <f t="shared" si="14"/>
        <v>121879.16399999999</v>
      </c>
      <c r="G46" s="119">
        <f>'Подпрограмма 1'!G405</f>
        <v>23191.402000000002</v>
      </c>
      <c r="H46" s="254">
        <f>'Подпрограмма 1'!H405</f>
        <v>24526.31</v>
      </c>
      <c r="I46" s="534">
        <f>'Подпрограмма 1'!I405</f>
        <v>24720.484</v>
      </c>
      <c r="J46" s="534"/>
      <c r="K46" s="534"/>
      <c r="L46" s="534"/>
      <c r="M46" s="534"/>
      <c r="N46" s="119">
        <f>'Подпрограмма 1'!N405</f>
        <v>24720.484</v>
      </c>
      <c r="O46" s="119">
        <f>'Подпрограмма 1'!O405</f>
        <v>24720.484</v>
      </c>
      <c r="P46" s="6"/>
      <c r="Q46" s="106" t="e">
        <f>#REF!+'Подпрограмма 1'!F399</f>
        <v>#REF!</v>
      </c>
      <c r="T46" s="8"/>
      <c r="U46" s="8"/>
      <c r="V46" s="115">
        <v>122073.33799999999</v>
      </c>
      <c r="W46" s="45">
        <f t="shared" si="29"/>
        <v>-194.17399999999907</v>
      </c>
      <c r="X46" s="116">
        <v>23191.402000000002</v>
      </c>
      <c r="Y46" s="116">
        <f t="shared" si="30"/>
        <v>0</v>
      </c>
    </row>
    <row r="47" spans="1:25" s="9" customFormat="1" ht="18.75" x14ac:dyDescent="0.3">
      <c r="A47" s="65"/>
      <c r="B47" s="65"/>
      <c r="C47" s="65"/>
      <c r="D47" s="65"/>
      <c r="E47" s="66"/>
      <c r="F47" s="195"/>
      <c r="G47" s="67"/>
      <c r="H47" s="67"/>
      <c r="I47" s="67"/>
      <c r="J47" s="67"/>
      <c r="K47" s="67"/>
      <c r="L47" s="67"/>
      <c r="M47" s="67"/>
      <c r="N47" s="67"/>
      <c r="O47" s="67"/>
      <c r="P47" s="68"/>
      <c r="Q47" s="106"/>
      <c r="T47" s="8"/>
      <c r="U47" s="8"/>
    </row>
    <row r="48" spans="1:25" s="9" customFormat="1" ht="18" x14ac:dyDescent="0.25">
      <c r="A48" s="20"/>
      <c r="B48" s="20"/>
      <c r="C48" s="20"/>
      <c r="D48" s="20"/>
      <c r="E48" s="20"/>
      <c r="F48" s="196"/>
      <c r="G48" s="21"/>
      <c r="H48" s="257"/>
      <c r="I48" s="540"/>
      <c r="J48" s="540"/>
      <c r="K48" s="540"/>
      <c r="L48" s="540"/>
      <c r="M48" s="21"/>
      <c r="N48" s="21"/>
      <c r="O48" s="21"/>
      <c r="P48" s="22" t="s">
        <v>115</v>
      </c>
      <c r="Q48" s="22"/>
      <c r="U48" s="45">
        <f>U36+'Подпрограмма 2'!Q100+'Подпрограмма 1'!Q401</f>
        <v>5280687.2716300003</v>
      </c>
    </row>
    <row r="49" spans="1:17" s="9" customFormat="1" ht="18.75" x14ac:dyDescent="0.25">
      <c r="A49" s="23"/>
      <c r="B49" s="43" t="s">
        <v>230</v>
      </c>
      <c r="C49" s="23"/>
      <c r="D49" s="23"/>
      <c r="E49" s="23"/>
      <c r="F49" s="23" t="s">
        <v>227</v>
      </c>
      <c r="G49" s="23" t="s">
        <v>231</v>
      </c>
      <c r="H49" s="27"/>
      <c r="I49" s="23"/>
      <c r="J49" s="23"/>
      <c r="K49" s="23"/>
      <c r="L49" s="23"/>
      <c r="M49" s="23"/>
      <c r="N49" s="26"/>
      <c r="O49" s="26"/>
      <c r="P49" s="26"/>
      <c r="Q49" s="23"/>
    </row>
    <row r="50" spans="1:17" s="9" customFormat="1" ht="18.75" x14ac:dyDescent="0.25">
      <c r="A50" s="23"/>
      <c r="B50" s="27"/>
      <c r="C50" s="27"/>
      <c r="D50" s="197"/>
      <c r="E50" s="27"/>
      <c r="F50" s="27"/>
      <c r="G50" s="198"/>
      <c r="H50" s="199"/>
      <c r="I50" s="540"/>
      <c r="J50" s="540"/>
      <c r="K50" s="540"/>
      <c r="L50" s="540"/>
      <c r="M50" s="27"/>
      <c r="N50" s="27"/>
      <c r="O50" s="27"/>
      <c r="P50" s="27"/>
      <c r="Q50" s="27"/>
    </row>
    <row r="51" spans="1:17" s="9" customFormat="1" ht="35.1" customHeight="1" x14ac:dyDescent="0.25">
      <c r="A51" s="20"/>
      <c r="B51" s="20"/>
      <c r="C51" s="197"/>
      <c r="D51" s="197"/>
      <c r="E51" s="197"/>
      <c r="F51" s="197"/>
      <c r="G51" s="43"/>
      <c r="H51" s="43"/>
      <c r="I51" s="540">
        <f>I40+I41+I42</f>
        <v>14236556.833580002</v>
      </c>
      <c r="J51" s="540"/>
      <c r="K51" s="540"/>
      <c r="L51" s="540"/>
      <c r="M51" s="23"/>
      <c r="N51" s="329">
        <f>N40+N41+N42</f>
        <v>13748295.629000001</v>
      </c>
      <c r="O51" s="329">
        <f>O40+O41+O42</f>
        <v>13741493.299000001</v>
      </c>
      <c r="P51" s="20"/>
      <c r="Q51" s="20"/>
    </row>
    <row r="52" spans="1:17" s="9" customFormat="1" ht="18.75" x14ac:dyDescent="0.25">
      <c r="A52" s="20"/>
      <c r="B52" s="23" t="s">
        <v>18</v>
      </c>
      <c r="C52" s="23"/>
      <c r="D52" s="23"/>
      <c r="E52" s="23"/>
      <c r="F52" s="23" t="s">
        <v>227</v>
      </c>
      <c r="G52" s="43" t="s">
        <v>39</v>
      </c>
      <c r="H52" s="43"/>
      <c r="I52" s="23"/>
      <c r="J52" s="23"/>
      <c r="K52" s="23"/>
      <c r="L52" s="23"/>
      <c r="M52" s="23"/>
      <c r="N52" s="43"/>
      <c r="O52" s="43"/>
      <c r="P52" s="20"/>
      <c r="Q52" s="20"/>
    </row>
    <row r="53" spans="1:17" ht="18.75" x14ac:dyDescent="0.25">
      <c r="A53" s="20"/>
      <c r="B53" s="28"/>
      <c r="C53" s="28"/>
      <c r="D53" s="28"/>
      <c r="E53" s="28"/>
      <c r="F53" s="182"/>
      <c r="G53" s="24"/>
      <c r="H53" s="24"/>
      <c r="I53" s="23"/>
      <c r="J53" s="23"/>
      <c r="K53" s="23"/>
      <c r="L53" s="23"/>
      <c r="M53" s="23"/>
      <c r="N53" s="43"/>
      <c r="O53" s="43"/>
      <c r="P53" s="20"/>
      <c r="Q53" s="20"/>
    </row>
    <row r="54" spans="1:17" ht="18.75" x14ac:dyDescent="0.25">
      <c r="A54" s="20"/>
      <c r="B54" s="28"/>
      <c r="C54" s="28"/>
      <c r="D54" s="28"/>
      <c r="E54" s="28"/>
      <c r="F54" s="183"/>
      <c r="G54" s="24"/>
      <c r="H54" s="24"/>
      <c r="I54" s="25"/>
      <c r="J54" s="23"/>
      <c r="K54" s="23"/>
      <c r="L54" s="23"/>
      <c r="M54" s="23"/>
      <c r="N54" s="43"/>
      <c r="O54" s="43"/>
      <c r="P54" s="20"/>
      <c r="Q54" s="20"/>
    </row>
    <row r="55" spans="1:17" ht="18.75" hidden="1" x14ac:dyDescent="0.3">
      <c r="B55" s="523" t="s">
        <v>19</v>
      </c>
      <c r="C55" s="524"/>
      <c r="D55" s="524"/>
      <c r="E55" s="56" t="e">
        <f>#REF!+'Подпрограмма 1'!E408+'Подпрограмма 2'!E106</f>
        <v>#REF!</v>
      </c>
      <c r="F55" s="57">
        <f t="shared" ref="F55:F67" si="32">SUM(I55:O55)</f>
        <v>0</v>
      </c>
      <c r="G55" s="56">
        <f>'Подпрограмма 1'!F407+'Подпрограмма 2'!F105</f>
        <v>0</v>
      </c>
      <c r="H55" s="56" t="e">
        <f>'Подпрограмма 1'!#REF!+'Подпрограмма 2'!#REF!</f>
        <v>#REF!</v>
      </c>
      <c r="I55" s="528">
        <f>'Подпрограмма 1'!I407+'Подпрограмма 2'!I105</f>
        <v>0</v>
      </c>
      <c r="J55" s="529"/>
      <c r="K55" s="529"/>
      <c r="L55" s="529"/>
      <c r="M55" s="530"/>
      <c r="N55" s="56">
        <f>'Подпрограмма 1'!N407+'Подпрограмма 2'!N105</f>
        <v>0</v>
      </c>
      <c r="O55" s="56">
        <f>'Подпрограмма 1'!O407+'Подпрограмма 2'!O105</f>
        <v>0</v>
      </c>
      <c r="P55" s="7"/>
    </row>
    <row r="56" spans="1:17" ht="18.75" hidden="1" x14ac:dyDescent="0.3">
      <c r="B56" s="523" t="s">
        <v>21</v>
      </c>
      <c r="C56" s="524"/>
      <c r="D56" s="524"/>
      <c r="E56" s="56" t="e">
        <f>#REF!+'Подпрограмма 1'!E407</f>
        <v>#REF!</v>
      </c>
      <c r="F56" s="57">
        <f t="shared" si="32"/>
        <v>426113.27789999999</v>
      </c>
      <c r="G56" s="56">
        <f>'Подпрограмма 1'!F408+'Подпрограмма 2'!F106</f>
        <v>426113.27789999999</v>
      </c>
      <c r="H56" s="56" t="e">
        <f>'Подпрограмма 1'!#REF!+'Подпрограмма 2'!#REF!</f>
        <v>#REF!</v>
      </c>
      <c r="I56" s="528">
        <f>'Подпрограмма 1'!I408+'Подпрограмма 2'!I106</f>
        <v>95328.797900000005</v>
      </c>
      <c r="J56" s="529"/>
      <c r="K56" s="529"/>
      <c r="L56" s="529"/>
      <c r="M56" s="530"/>
      <c r="N56" s="56">
        <f>'Подпрограмма 1'!N408+'Подпрограмма 2'!N106</f>
        <v>165392.24</v>
      </c>
      <c r="O56" s="56">
        <f>'Подпрограмма 1'!O408+'Подпрограмма 2'!O106</f>
        <v>165392.24</v>
      </c>
      <c r="P56" s="7"/>
    </row>
    <row r="57" spans="1:17" ht="18.75" hidden="1" x14ac:dyDescent="0.3">
      <c r="B57" s="525" t="s">
        <v>20</v>
      </c>
      <c r="C57" s="526"/>
      <c r="D57" s="526"/>
      <c r="E57" s="58" t="e">
        <f>SUM(E55:E56)</f>
        <v>#REF!</v>
      </c>
      <c r="F57" s="57">
        <f t="shared" si="32"/>
        <v>426113.27789999999</v>
      </c>
      <c r="G57" s="58">
        <f>SUM(G55:G56)</f>
        <v>426113.27789999999</v>
      </c>
      <c r="H57" s="58" t="e">
        <f>SUM(H55:H56)</f>
        <v>#REF!</v>
      </c>
      <c r="I57" s="531">
        <f>SUM(I55:I56)</f>
        <v>95328.797900000005</v>
      </c>
      <c r="J57" s="532"/>
      <c r="K57" s="532"/>
      <c r="L57" s="532"/>
      <c r="M57" s="533"/>
      <c r="N57" s="58">
        <f>SUM(N55:N56)</f>
        <v>165392.24</v>
      </c>
      <c r="O57" s="58">
        <f>SUM(O55:O56)</f>
        <v>165392.24</v>
      </c>
      <c r="P57" s="7"/>
    </row>
    <row r="58" spans="1:17" ht="18.75" hidden="1" x14ac:dyDescent="0.3">
      <c r="B58" s="523" t="s">
        <v>61</v>
      </c>
      <c r="C58" s="524"/>
      <c r="D58" s="524"/>
      <c r="E58" s="56" t="e">
        <f>#REF!+'Подпрограмма 1'!E410</f>
        <v>#REF!</v>
      </c>
      <c r="F58" s="57">
        <f t="shared" si="32"/>
        <v>0</v>
      </c>
      <c r="G58" s="56">
        <f>'Подпрограмма 1'!F410</f>
        <v>0</v>
      </c>
      <c r="H58" s="56" t="e">
        <f>'Подпрограмма 1'!#REF!</f>
        <v>#REF!</v>
      </c>
      <c r="I58" s="528">
        <f>'Подпрограмма 1'!I410</f>
        <v>0</v>
      </c>
      <c r="J58" s="529"/>
      <c r="K58" s="529"/>
      <c r="L58" s="529"/>
      <c r="M58" s="530"/>
      <c r="N58" s="56">
        <f>'Подпрограмма 1'!N410</f>
        <v>0</v>
      </c>
      <c r="O58" s="56">
        <f>'Подпрограмма 1'!O410</f>
        <v>0</v>
      </c>
      <c r="P58" s="7"/>
    </row>
    <row r="59" spans="1:17" ht="18.75" hidden="1" x14ac:dyDescent="0.3">
      <c r="B59" s="523" t="s">
        <v>62</v>
      </c>
      <c r="C59" s="524"/>
      <c r="D59" s="524"/>
      <c r="E59" s="56" t="e">
        <f>#REF!+'Подпрограмма 1'!E411</f>
        <v>#REF!</v>
      </c>
      <c r="F59" s="57">
        <f t="shared" si="32"/>
        <v>20700</v>
      </c>
      <c r="G59" s="56">
        <f>'Подпрограмма 1'!F411</f>
        <v>20700</v>
      </c>
      <c r="H59" s="56" t="e">
        <f>'Подпрограмма 1'!#REF!</f>
        <v>#REF!</v>
      </c>
      <c r="I59" s="528">
        <f>'Подпрограмма 1'!I411</f>
        <v>6900</v>
      </c>
      <c r="J59" s="529"/>
      <c r="K59" s="529"/>
      <c r="L59" s="529"/>
      <c r="M59" s="530"/>
      <c r="N59" s="56">
        <f>'Подпрограмма 1'!N411</f>
        <v>6900</v>
      </c>
      <c r="O59" s="56">
        <f>'Подпрограмма 1'!O411</f>
        <v>6900</v>
      </c>
      <c r="P59" s="7"/>
    </row>
    <row r="60" spans="1:17" ht="18.75" hidden="1" x14ac:dyDescent="0.3">
      <c r="B60" s="525" t="s">
        <v>63</v>
      </c>
      <c r="C60" s="526"/>
      <c r="D60" s="526"/>
      <c r="E60" s="58" t="e">
        <f>SUM(E58:E59)</f>
        <v>#REF!</v>
      </c>
      <c r="F60" s="57">
        <f t="shared" si="32"/>
        <v>20700</v>
      </c>
      <c r="G60" s="58">
        <f>SUM(G58:G59)</f>
        <v>20700</v>
      </c>
      <c r="H60" s="58" t="e">
        <f>SUM(H58:H59)</f>
        <v>#REF!</v>
      </c>
      <c r="I60" s="531">
        <f>SUM(I58:I59)</f>
        <v>6900</v>
      </c>
      <c r="J60" s="532"/>
      <c r="K60" s="532"/>
      <c r="L60" s="532"/>
      <c r="M60" s="533"/>
      <c r="N60" s="58">
        <f>SUM(N58:N59)</f>
        <v>6900</v>
      </c>
      <c r="O60" s="58">
        <f>SUM(O58:O59)</f>
        <v>6900</v>
      </c>
      <c r="P60" s="7"/>
    </row>
    <row r="61" spans="1:17" ht="18.75" hidden="1" x14ac:dyDescent="0.3">
      <c r="B61" s="523" t="s">
        <v>43</v>
      </c>
      <c r="C61" s="524"/>
      <c r="D61" s="524"/>
      <c r="E61" s="47" t="e">
        <f>E40</f>
        <v>#REF!</v>
      </c>
      <c r="F61" s="57">
        <f t="shared" si="32"/>
        <v>1399754.87895</v>
      </c>
      <c r="G61" s="47">
        <f t="shared" ref="G61:H61" si="33">G40</f>
        <v>398561.31916999992</v>
      </c>
      <c r="H61" s="47">
        <f t="shared" si="33"/>
        <v>463676.47893000004</v>
      </c>
      <c r="I61" s="528">
        <f>I40</f>
        <v>483501.89039999997</v>
      </c>
      <c r="J61" s="529"/>
      <c r="K61" s="529"/>
      <c r="L61" s="529"/>
      <c r="M61" s="530"/>
      <c r="N61" s="47">
        <f t="shared" ref="N61:O61" si="34">N40</f>
        <v>463826.77772000001</v>
      </c>
      <c r="O61" s="47">
        <f t="shared" si="34"/>
        <v>452426.21083</v>
      </c>
    </row>
    <row r="62" spans="1:17" ht="18.75" hidden="1" x14ac:dyDescent="0.3">
      <c r="B62" s="523" t="s">
        <v>64</v>
      </c>
      <c r="C62" s="524"/>
      <c r="D62" s="524"/>
      <c r="E62" s="56" t="e">
        <f>E42-E55-E58-#REF!</f>
        <v>#REF!</v>
      </c>
      <c r="F62" s="57">
        <f t="shared" si="32"/>
        <v>25278326.603000004</v>
      </c>
      <c r="G62" s="56">
        <f t="shared" ref="G62:H62" si="35">G41-G55-G59</f>
        <v>7603238.0609600022</v>
      </c>
      <c r="H62" s="56" t="e">
        <f t="shared" si="35"/>
        <v>#REF!</v>
      </c>
      <c r="I62" s="528">
        <f>I41-I55-I59</f>
        <v>8465467.6715500019</v>
      </c>
      <c r="J62" s="529"/>
      <c r="K62" s="529"/>
      <c r="L62" s="529"/>
      <c r="M62" s="530"/>
      <c r="N62" s="56">
        <f t="shared" ref="N62:O62" si="36">N41-N55-N59</f>
        <v>8403809.2822799999</v>
      </c>
      <c r="O62" s="56">
        <f t="shared" si="36"/>
        <v>8409049.6491700001</v>
      </c>
      <c r="P62" s="7"/>
    </row>
    <row r="63" spans="1:17" ht="18.75" hidden="1" x14ac:dyDescent="0.3">
      <c r="B63" s="523" t="s">
        <v>23</v>
      </c>
      <c r="C63" s="524"/>
      <c r="D63" s="524"/>
      <c r="E63" s="56" t="e">
        <f>E41-E56-E59-#REF!</f>
        <v>#REF!</v>
      </c>
      <c r="F63" s="57">
        <f t="shared" si="32"/>
        <v>14601451.001730002</v>
      </c>
      <c r="G63" s="56">
        <f t="shared" ref="G63:H63" si="37">G42-G56-G58</f>
        <v>3669746.3903799998</v>
      </c>
      <c r="H63" s="56" t="e">
        <f t="shared" si="37"/>
        <v>#REF!</v>
      </c>
      <c r="I63" s="528">
        <f>I42-I56-I58</f>
        <v>5185358.4737300007</v>
      </c>
      <c r="J63" s="529"/>
      <c r="K63" s="529"/>
      <c r="L63" s="529"/>
      <c r="M63" s="530"/>
      <c r="N63" s="56">
        <f t="shared" ref="N63:O63" si="38">N42-N56-N58</f>
        <v>4708367.3290000008</v>
      </c>
      <c r="O63" s="56">
        <f t="shared" si="38"/>
        <v>4707725.199000001</v>
      </c>
      <c r="P63" s="7"/>
    </row>
    <row r="64" spans="1:17" ht="18.75" hidden="1" x14ac:dyDescent="0.3">
      <c r="B64" s="523" t="s">
        <v>87</v>
      </c>
      <c r="C64" s="524"/>
      <c r="D64" s="527"/>
      <c r="E64" s="56"/>
      <c r="F64" s="57">
        <f t="shared" si="32"/>
        <v>2545072.0085400003</v>
      </c>
      <c r="G64" s="56">
        <f t="shared" ref="G64:H64" si="39">G65+G66</f>
        <v>685002.44218000001</v>
      </c>
      <c r="H64" s="56">
        <f t="shared" si="39"/>
        <v>870695.73820000014</v>
      </c>
      <c r="I64" s="528">
        <f>I65+I66</f>
        <v>848357.3361800001</v>
      </c>
      <c r="J64" s="529"/>
      <c r="K64" s="529"/>
      <c r="L64" s="529"/>
      <c r="M64" s="530"/>
      <c r="N64" s="56">
        <f t="shared" ref="N64:O64" si="40">N65+N66</f>
        <v>848357.3361800001</v>
      </c>
      <c r="O64" s="56">
        <f t="shared" si="40"/>
        <v>848357.3361800001</v>
      </c>
      <c r="P64" s="7"/>
    </row>
    <row r="65" spans="1:19" ht="18.75" hidden="1" x14ac:dyDescent="0.3">
      <c r="B65" s="553" t="s">
        <v>88</v>
      </c>
      <c r="C65" s="554"/>
      <c r="D65" s="554"/>
      <c r="E65" s="56" t="e">
        <f>E45-#REF!</f>
        <v>#REF!</v>
      </c>
      <c r="F65" s="57">
        <f t="shared" si="32"/>
        <v>2470910.5565400003</v>
      </c>
      <c r="G65" s="56">
        <f t="shared" ref="G65:H65" si="41">G45</f>
        <v>661811.04018000001</v>
      </c>
      <c r="H65" s="56">
        <f t="shared" si="41"/>
        <v>846169.42820000008</v>
      </c>
      <c r="I65" s="528">
        <f>I45</f>
        <v>823636.85218000005</v>
      </c>
      <c r="J65" s="529"/>
      <c r="K65" s="529"/>
      <c r="L65" s="529"/>
      <c r="M65" s="530"/>
      <c r="N65" s="56">
        <f t="shared" ref="N65:O65" si="42">N45</f>
        <v>823636.85218000005</v>
      </c>
      <c r="O65" s="56">
        <f t="shared" si="42"/>
        <v>823636.85218000005</v>
      </c>
      <c r="P65" s="7"/>
    </row>
    <row r="66" spans="1:19" ht="18.75" hidden="1" x14ac:dyDescent="0.3">
      <c r="B66" s="553" t="s">
        <v>89</v>
      </c>
      <c r="C66" s="554"/>
      <c r="D66" s="554"/>
      <c r="E66" s="56" t="e">
        <f>E46</f>
        <v>#REF!</v>
      </c>
      <c r="F66" s="57">
        <f t="shared" si="32"/>
        <v>74161.452000000005</v>
      </c>
      <c r="G66" s="56">
        <f t="shared" ref="G66:H66" si="43">G46</f>
        <v>23191.402000000002</v>
      </c>
      <c r="H66" s="56">
        <f t="shared" si="43"/>
        <v>24526.31</v>
      </c>
      <c r="I66" s="528">
        <f>I46</f>
        <v>24720.484</v>
      </c>
      <c r="J66" s="529"/>
      <c r="K66" s="529"/>
      <c r="L66" s="529"/>
      <c r="M66" s="530"/>
      <c r="N66" s="56">
        <f t="shared" ref="N66:O66" si="44">N46</f>
        <v>24720.484</v>
      </c>
      <c r="O66" s="56">
        <f t="shared" si="44"/>
        <v>24720.484</v>
      </c>
      <c r="P66" s="7"/>
    </row>
    <row r="67" spans="1:19" ht="18.75" hidden="1" x14ac:dyDescent="0.3">
      <c r="B67" s="525" t="s">
        <v>24</v>
      </c>
      <c r="C67" s="526"/>
      <c r="D67" s="526"/>
      <c r="E67" s="58" t="e">
        <f>SUM(E61:E66)</f>
        <v>#REF!</v>
      </c>
      <c r="F67" s="57">
        <f t="shared" si="32"/>
        <v>46369676.500760004</v>
      </c>
      <c r="G67" s="57">
        <f>SUM(G61:G66)</f>
        <v>13041550.654870003</v>
      </c>
      <c r="H67" s="57" t="e">
        <f>SUM(H61:H66)</f>
        <v>#REF!</v>
      </c>
      <c r="I67" s="537">
        <f>SUM(I61:I66)</f>
        <v>15831042.708040003</v>
      </c>
      <c r="J67" s="538"/>
      <c r="K67" s="538"/>
      <c r="L67" s="538"/>
      <c r="M67" s="539"/>
      <c r="N67" s="57">
        <f>SUM(N61:N66)</f>
        <v>15272718.061360002</v>
      </c>
      <c r="O67" s="57">
        <f>SUM(O61:O66)</f>
        <v>15265915.73136</v>
      </c>
      <c r="P67" s="7"/>
    </row>
    <row r="68" spans="1:19" ht="15" hidden="1" customHeight="1" x14ac:dyDescent="0.25">
      <c r="A68" s="15"/>
      <c r="B68" s="15"/>
      <c r="C68" s="16"/>
      <c r="D68" s="16"/>
      <c r="E68" s="16"/>
      <c r="F68" s="184"/>
      <c r="G68" s="42"/>
      <c r="H68" s="51"/>
      <c r="I68" s="17"/>
      <c r="J68" s="17"/>
      <c r="K68" s="17"/>
      <c r="L68" s="17"/>
      <c r="M68" s="17"/>
      <c r="N68" s="18"/>
      <c r="O68" s="18"/>
      <c r="P68" s="15"/>
      <c r="Q68" s="15"/>
      <c r="R68" s="15"/>
      <c r="S68" s="15"/>
    </row>
    <row r="69" spans="1:19" hidden="1" x14ac:dyDescent="0.25">
      <c r="E69" s="4"/>
      <c r="F69" s="171"/>
      <c r="G69" s="4"/>
      <c r="H69" s="4"/>
      <c r="I69" s="4"/>
      <c r="J69" s="4"/>
      <c r="K69" s="4"/>
      <c r="L69" s="4"/>
      <c r="M69" s="4"/>
      <c r="N69" s="4"/>
      <c r="O69" s="4"/>
    </row>
    <row r="70" spans="1:19" ht="15.75" hidden="1" x14ac:dyDescent="0.25">
      <c r="C70" s="7"/>
      <c r="D70" s="7"/>
      <c r="E70" s="7"/>
      <c r="F70" s="185">
        <f>F57+F60+F61+F62+F63</f>
        <v>41726345.761580005</v>
      </c>
      <c r="G70" s="111">
        <f t="shared" ref="G70:H70" si="45">G57+G60+G61+G62+G63</f>
        <v>12118359.048410002</v>
      </c>
      <c r="H70" s="111" t="e">
        <f t="shared" si="45"/>
        <v>#REF!</v>
      </c>
      <c r="I70" s="536">
        <f>I57+I60+I61+I62+I63</f>
        <v>14236556.833580002</v>
      </c>
      <c r="J70" s="536"/>
      <c r="K70" s="536"/>
      <c r="L70" s="536"/>
      <c r="M70" s="536"/>
      <c r="N70" s="111">
        <f t="shared" ref="N70:O70" si="46">N57+N60+N61+N62+N63</f>
        <v>13748295.629000001</v>
      </c>
      <c r="O70" s="111">
        <f t="shared" si="46"/>
        <v>13741493.299000001</v>
      </c>
    </row>
    <row r="71" spans="1:19" ht="21" hidden="1" x14ac:dyDescent="0.35">
      <c r="E71" s="4"/>
      <c r="H71" s="70"/>
      <c r="I71" s="536"/>
      <c r="J71" s="536"/>
      <c r="K71" s="536"/>
      <c r="L71" s="536"/>
      <c r="M71" s="536"/>
      <c r="N71" s="70"/>
      <c r="O71" s="70"/>
    </row>
    <row r="72" spans="1:19" ht="15.75" hidden="1" x14ac:dyDescent="0.25">
      <c r="E72" s="4"/>
      <c r="F72" s="186"/>
      <c r="G72" s="41"/>
      <c r="H72" s="41"/>
      <c r="I72" s="536"/>
      <c r="J72" s="536"/>
      <c r="K72" s="536"/>
      <c r="L72" s="536"/>
      <c r="M72" s="536"/>
      <c r="N72" s="11"/>
      <c r="O72" s="11"/>
    </row>
    <row r="73" spans="1:19" ht="15.75" hidden="1" x14ac:dyDescent="0.25">
      <c r="E73" s="4"/>
      <c r="F73" s="186"/>
      <c r="G73" s="41"/>
      <c r="H73" s="60"/>
      <c r="I73" s="536"/>
      <c r="J73" s="536"/>
      <c r="K73" s="536"/>
      <c r="L73" s="536"/>
      <c r="M73" s="536"/>
      <c r="N73" s="4"/>
      <c r="O73" s="4"/>
    </row>
    <row r="74" spans="1:19" ht="15.75" x14ac:dyDescent="0.25">
      <c r="E74" s="4"/>
      <c r="F74" s="186"/>
      <c r="G74" s="41"/>
      <c r="H74" s="41"/>
      <c r="I74" s="536"/>
      <c r="J74" s="536"/>
      <c r="K74" s="536"/>
      <c r="L74" s="536"/>
      <c r="M74" s="536"/>
      <c r="N74" s="11"/>
      <c r="O74" s="11"/>
    </row>
    <row r="75" spans="1:19" ht="15.75" x14ac:dyDescent="0.25">
      <c r="E75" s="11"/>
      <c r="F75" s="186"/>
      <c r="G75" s="41"/>
      <c r="H75" s="41"/>
      <c r="I75" s="536"/>
      <c r="J75" s="536"/>
      <c r="K75" s="536"/>
      <c r="L75" s="536"/>
      <c r="M75" s="536"/>
      <c r="N75" s="11"/>
      <c r="O75" s="11"/>
    </row>
    <row r="76" spans="1:19" ht="18.75" x14ac:dyDescent="0.3">
      <c r="F76" s="186"/>
      <c r="I76" s="59"/>
      <c r="J76" s="59"/>
      <c r="K76" s="59"/>
      <c r="L76" s="59"/>
      <c r="M76" s="59"/>
    </row>
    <row r="77" spans="1:19" x14ac:dyDescent="0.25">
      <c r="E77" s="11"/>
      <c r="F77" s="186"/>
      <c r="G77" s="41"/>
      <c r="H77" s="41"/>
      <c r="I77" s="11"/>
      <c r="J77" s="11"/>
      <c r="K77" s="11"/>
      <c r="L77" s="11"/>
      <c r="M77" s="11"/>
      <c r="N77" s="41"/>
      <c r="O77" s="11"/>
    </row>
    <row r="78" spans="1:19" ht="18.75" x14ac:dyDescent="0.3">
      <c r="E78" s="11"/>
      <c r="F78" s="186"/>
      <c r="G78" s="41"/>
      <c r="H78" s="41"/>
      <c r="I78" s="59"/>
      <c r="J78" s="59"/>
      <c r="K78" s="59"/>
      <c r="L78" s="59"/>
      <c r="M78" s="59"/>
      <c r="N78" s="11"/>
      <c r="O78" s="11"/>
    </row>
    <row r="79" spans="1:19" ht="18.75" x14ac:dyDescent="0.3">
      <c r="F79" s="186"/>
      <c r="G79" s="41"/>
      <c r="I79" s="59"/>
      <c r="J79" s="59"/>
      <c r="K79" s="59"/>
      <c r="L79" s="59"/>
      <c r="M79" s="59"/>
    </row>
    <row r="80" spans="1:19" ht="18.75" x14ac:dyDescent="0.3">
      <c r="I80" s="61"/>
      <c r="J80" s="61"/>
      <c r="K80" s="61"/>
      <c r="L80" s="61"/>
      <c r="M80" s="61"/>
    </row>
    <row r="81" spans="6:15" x14ac:dyDescent="0.25">
      <c r="F81" s="186"/>
      <c r="G81" s="41"/>
      <c r="H81" s="41"/>
      <c r="I81" s="11"/>
      <c r="J81" s="11"/>
      <c r="K81" s="11"/>
      <c r="L81" s="11"/>
      <c r="M81" s="11"/>
      <c r="N81" s="11"/>
      <c r="O81" s="11"/>
    </row>
    <row r="82" spans="6:15" x14ac:dyDescent="0.25">
      <c r="F82" s="186"/>
      <c r="G82" s="41"/>
      <c r="H82" s="41"/>
      <c r="I82" s="11"/>
      <c r="J82" s="11"/>
      <c r="K82" s="11"/>
      <c r="L82" s="11"/>
      <c r="M82" s="11"/>
      <c r="N82" s="11"/>
      <c r="O82" s="11"/>
    </row>
    <row r="83" spans="6:15" x14ac:dyDescent="0.25">
      <c r="F83" s="171"/>
      <c r="G83" s="39"/>
      <c r="H83" s="39"/>
      <c r="I83" s="4"/>
      <c r="J83" s="4"/>
      <c r="K83" s="4"/>
      <c r="L83" s="4"/>
      <c r="M83" s="4"/>
      <c r="N83" s="4"/>
      <c r="O83" s="4"/>
    </row>
  </sheetData>
  <mergeCells count="130">
    <mergeCell ref="G1:O1"/>
    <mergeCell ref="A39:D39"/>
    <mergeCell ref="A44:D44"/>
    <mergeCell ref="A40:D40"/>
    <mergeCell ref="A41:D41"/>
    <mergeCell ref="I2:M2"/>
    <mergeCell ref="I3:M3"/>
    <mergeCell ref="I10:M10"/>
    <mergeCell ref="I9:M9"/>
    <mergeCell ref="I8:M8"/>
    <mergeCell ref="I7:M7"/>
    <mergeCell ref="I6:M6"/>
    <mergeCell ref="I5:M5"/>
    <mergeCell ref="A4:P4"/>
    <mergeCell ref="F1:F2"/>
    <mergeCell ref="P1:P2"/>
    <mergeCell ref="B5:B10"/>
    <mergeCell ref="C5:C10"/>
    <mergeCell ref="A1:A2"/>
    <mergeCell ref="B1:B2"/>
    <mergeCell ref="C1:C2"/>
    <mergeCell ref="D1:D2"/>
    <mergeCell ref="E1:E2"/>
    <mergeCell ref="A5:A10"/>
    <mergeCell ref="P5:P10"/>
    <mergeCell ref="C30:C32"/>
    <mergeCell ref="D30:D32"/>
    <mergeCell ref="I15:I16"/>
    <mergeCell ref="J15:M15"/>
    <mergeCell ref="I34:M34"/>
    <mergeCell ref="A34:D34"/>
    <mergeCell ref="B65:D65"/>
    <mergeCell ref="B66:D66"/>
    <mergeCell ref="P15:P17"/>
    <mergeCell ref="A11:A17"/>
    <mergeCell ref="A33:D33"/>
    <mergeCell ref="B11:B14"/>
    <mergeCell ref="C11:C14"/>
    <mergeCell ref="P18:P22"/>
    <mergeCell ref="I26:M26"/>
    <mergeCell ref="P11:P14"/>
    <mergeCell ref="I33:M33"/>
    <mergeCell ref="I29:M29"/>
    <mergeCell ref="B18:B22"/>
    <mergeCell ref="I14:M14"/>
    <mergeCell ref="I13:M13"/>
    <mergeCell ref="I12:M12"/>
    <mergeCell ref="I11:M11"/>
    <mergeCell ref="B67:D67"/>
    <mergeCell ref="A38:D38"/>
    <mergeCell ref="B61:D61"/>
    <mergeCell ref="B55:D55"/>
    <mergeCell ref="B64:D64"/>
    <mergeCell ref="B56:D56"/>
    <mergeCell ref="B57:D57"/>
    <mergeCell ref="B58:D58"/>
    <mergeCell ref="B59:D59"/>
    <mergeCell ref="B60:D60"/>
    <mergeCell ref="A42:D42"/>
    <mergeCell ref="A45:D45"/>
    <mergeCell ref="A43:D43"/>
    <mergeCell ref="B62:D62"/>
    <mergeCell ref="B63:D63"/>
    <mergeCell ref="A46:D46"/>
    <mergeCell ref="I22:M22"/>
    <mergeCell ref="F15:F16"/>
    <mergeCell ref="F30:F31"/>
    <mergeCell ref="I30:I31"/>
    <mergeCell ref="J30:M30"/>
    <mergeCell ref="B15:B17"/>
    <mergeCell ref="C15:C17"/>
    <mergeCell ref="D15:D17"/>
    <mergeCell ref="B23:B25"/>
    <mergeCell ref="A37:D37"/>
    <mergeCell ref="P30:P32"/>
    <mergeCell ref="F23:F24"/>
    <mergeCell ref="I23:I24"/>
    <mergeCell ref="J23:M23"/>
    <mergeCell ref="P23:P25"/>
    <mergeCell ref="A18:A25"/>
    <mergeCell ref="I21:M21"/>
    <mergeCell ref="I20:M20"/>
    <mergeCell ref="I19:M19"/>
    <mergeCell ref="I18:M18"/>
    <mergeCell ref="A26:A32"/>
    <mergeCell ref="C18:C22"/>
    <mergeCell ref="P26:P29"/>
    <mergeCell ref="B26:B29"/>
    <mergeCell ref="C26:C29"/>
    <mergeCell ref="I28:M28"/>
    <mergeCell ref="I27:M27"/>
    <mergeCell ref="A36:D36"/>
    <mergeCell ref="I35:M35"/>
    <mergeCell ref="A35:D35"/>
    <mergeCell ref="C23:C25"/>
    <mergeCell ref="D23:D25"/>
    <mergeCell ref="B30:B32"/>
    <mergeCell ref="I41:M41"/>
    <mergeCell ref="I40:M40"/>
    <mergeCell ref="I39:M39"/>
    <mergeCell ref="I46:M46"/>
    <mergeCell ref="I45:M45"/>
    <mergeCell ref="I44:M44"/>
    <mergeCell ref="I43:M43"/>
    <mergeCell ref="I42:M42"/>
    <mergeCell ref="I48:L48"/>
    <mergeCell ref="I71:M71"/>
    <mergeCell ref="I72:M72"/>
    <mergeCell ref="I73:M73"/>
    <mergeCell ref="I74:M74"/>
    <mergeCell ref="I75:M75"/>
    <mergeCell ref="I38:M38"/>
    <mergeCell ref="I37:M37"/>
    <mergeCell ref="I36:M36"/>
    <mergeCell ref="I58:M58"/>
    <mergeCell ref="I57:M57"/>
    <mergeCell ref="I56:M56"/>
    <mergeCell ref="I55:M55"/>
    <mergeCell ref="I63:M63"/>
    <mergeCell ref="I62:M62"/>
    <mergeCell ref="I61:M61"/>
    <mergeCell ref="I60:M60"/>
    <mergeCell ref="I59:M59"/>
    <mergeCell ref="I70:M70"/>
    <mergeCell ref="I67:M67"/>
    <mergeCell ref="I66:M66"/>
    <mergeCell ref="I65:M65"/>
    <mergeCell ref="I64:M64"/>
    <mergeCell ref="I50:L50"/>
    <mergeCell ref="I51:L51"/>
  </mergeCells>
  <pageMargins left="0.19685039370078741" right="0.19685039370078741" top="0.59055118110236227" bottom="0.19685039370078741" header="0.39370078740157483" footer="0"/>
  <pageSetup paperSize="9" scale="45" firstPageNumber="23" orientation="landscape" useFirstPageNumber="1" r:id="rId1"/>
  <headerFooter>
    <oddHeader>&amp;C&amp;"Times New Roman,обычный"&amp;12&amp;K000000&amp;P</oddHeader>
  </headerFooter>
  <rowBreaks count="1" manualBreakCount="1">
    <brk id="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Подпрограмма 1</vt:lpstr>
      <vt:lpstr>Подпрограмма 2</vt:lpstr>
      <vt:lpstr>Подпрограмма 3</vt:lpstr>
      <vt:lpstr>'Подпрограмма 1'!Заголовки_для_печати</vt:lpstr>
      <vt:lpstr>'Подпрограмма 2'!Заголовки_для_печати</vt:lpstr>
      <vt:lpstr>'Подпрограмма 3'!Заголовки_для_печати</vt:lpstr>
      <vt:lpstr>'Подпрограмма 1'!Область_печати</vt:lpstr>
      <vt:lpstr>'Подпрограмма 2'!Область_печати</vt:lpstr>
      <vt:lpstr>'Подпрограмма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Самуйлик Анастасия Михайловна</dc:creator>
  <cp:lastModifiedBy>Губернская Екатерина Геннадьевна</cp:lastModifiedBy>
  <cp:lastPrinted>2025-03-26T13:00:43Z</cp:lastPrinted>
  <dcterms:created xsi:type="dcterms:W3CDTF">2020-11-02T07:16:17Z</dcterms:created>
  <dcterms:modified xsi:type="dcterms:W3CDTF">2025-05-07T14:44:22Z</dcterms:modified>
</cp:coreProperties>
</file>