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НЛ24\Desktop\Работа УО\Программа\после уточнения от 30.05.2025\"/>
    </mc:Choice>
  </mc:AlternateContent>
  <bookViews>
    <workbookView xWindow="0" yWindow="0" windowWidth="14892" windowHeight="12360" tabRatio="733" activeTab="2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1'!$A$13:$U$412</definedName>
    <definedName name="_xlnm._FilterDatabase" localSheetId="1" hidden="1">'Подпрограмма 2'!$A$6:$AA$102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1'!$A$1:$P$412</definedName>
    <definedName name="_xlnm.Print_Area" localSheetId="1">'Подпрограмма 2'!$A$1:$P$102</definedName>
    <definedName name="_xlnm.Print_Area" localSheetId="2">'Подпрограмма 3'!$A$1:$P$52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9" l="1"/>
  <c r="I219" i="2"/>
  <c r="I175" i="2"/>
  <c r="N175" i="2"/>
  <c r="O175" i="2"/>
  <c r="I176" i="2"/>
  <c r="N176" i="2"/>
  <c r="I18" i="2"/>
  <c r="S154" i="2"/>
  <c r="F154" i="2"/>
  <c r="F151" i="2"/>
  <c r="F150" i="2"/>
  <c r="F149" i="2"/>
  <c r="F148" i="2"/>
  <c r="I108" i="2"/>
  <c r="I98" i="2"/>
  <c r="I115" i="2"/>
  <c r="I33" i="2"/>
  <c r="F57" i="3" l="1"/>
  <c r="F397" i="2" l="1"/>
  <c r="F183" i="2" l="1"/>
  <c r="I20" i="9" l="1"/>
  <c r="I68" i="3"/>
  <c r="I34" i="3"/>
  <c r="I26" i="3"/>
  <c r="I136" i="2"/>
  <c r="O98" i="2"/>
  <c r="N98" i="2"/>
  <c r="I91" i="2"/>
  <c r="I82" i="2"/>
  <c r="I46" i="2"/>
  <c r="O385" i="2"/>
  <c r="O384" i="2"/>
  <c r="N385" i="2"/>
  <c r="N384" i="2"/>
  <c r="I385" i="2"/>
  <c r="I384" i="2"/>
  <c r="O174" i="2"/>
  <c r="N174" i="2"/>
  <c r="I174" i="2"/>
  <c r="I374" i="2"/>
  <c r="I373" i="2"/>
  <c r="I372" i="2"/>
  <c r="H17" i="2"/>
  <c r="G19" i="2"/>
  <c r="G258" i="2"/>
  <c r="I23" i="3" l="1"/>
  <c r="N23" i="3"/>
  <c r="O23" i="3"/>
  <c r="N63" i="3" l="1"/>
  <c r="O63" i="3"/>
  <c r="N64" i="3"/>
  <c r="O64" i="3"/>
  <c r="N65" i="3"/>
  <c r="O65" i="3"/>
  <c r="O62" i="3"/>
  <c r="N62" i="3"/>
  <c r="I63" i="3"/>
  <c r="I64" i="3"/>
  <c r="I65" i="3"/>
  <c r="I62" i="3"/>
  <c r="G63" i="3"/>
  <c r="H63" i="3"/>
  <c r="G64" i="3"/>
  <c r="H64" i="3"/>
  <c r="G65" i="3"/>
  <c r="H65" i="3"/>
  <c r="H62" i="3"/>
  <c r="G62" i="3"/>
  <c r="N20" i="3"/>
  <c r="O20" i="3"/>
  <c r="O19" i="3"/>
  <c r="N19" i="3"/>
  <c r="I20" i="3"/>
  <c r="I21" i="3"/>
  <c r="I19" i="3"/>
  <c r="G20" i="3"/>
  <c r="H20" i="3"/>
  <c r="G21" i="3"/>
  <c r="H21" i="3"/>
  <c r="H19" i="3"/>
  <c r="G19" i="3"/>
  <c r="O257" i="2"/>
  <c r="O258" i="2"/>
  <c r="N259" i="2"/>
  <c r="O259" i="2"/>
  <c r="O256" i="2"/>
  <c r="N256" i="2"/>
  <c r="I259" i="2"/>
  <c r="I256" i="2"/>
  <c r="G259" i="2"/>
  <c r="H259" i="2"/>
  <c r="G257" i="2"/>
  <c r="H257" i="2"/>
  <c r="H258" i="2"/>
  <c r="H256" i="2"/>
  <c r="G256" i="2"/>
  <c r="G246" i="2"/>
  <c r="H246" i="2"/>
  <c r="H245" i="2"/>
  <c r="G245" i="2"/>
  <c r="O20" i="2" l="1"/>
  <c r="N20" i="2"/>
  <c r="O18" i="2"/>
  <c r="N18" i="2"/>
  <c r="O17" i="2"/>
  <c r="N17" i="2"/>
  <c r="I17" i="2"/>
  <c r="H20" i="2"/>
  <c r="G18" i="2"/>
  <c r="H18" i="2"/>
  <c r="H19" i="2"/>
  <c r="G17" i="2"/>
  <c r="G157" i="2"/>
  <c r="I84" i="2"/>
  <c r="H84" i="2"/>
  <c r="H21" i="2" s="1"/>
  <c r="H23" i="3"/>
  <c r="G23" i="3"/>
  <c r="F45" i="3"/>
  <c r="N381" i="2" l="1"/>
  <c r="O381" i="2"/>
  <c r="N382" i="2"/>
  <c r="O382" i="2"/>
  <c r="N383" i="2"/>
  <c r="O383" i="2"/>
  <c r="O380" i="2"/>
  <c r="N380" i="2"/>
  <c r="F32" i="9"/>
  <c r="I380" i="2"/>
  <c r="F76" i="2"/>
  <c r="F75" i="2"/>
  <c r="F74" i="2"/>
  <c r="F73" i="2"/>
  <c r="F404" i="2" l="1"/>
  <c r="F378" i="2"/>
  <c r="N357" i="2" l="1"/>
  <c r="O357" i="2"/>
  <c r="N358" i="2"/>
  <c r="O358" i="2"/>
  <c r="N359" i="2"/>
  <c r="O359" i="2"/>
  <c r="O356" i="2"/>
  <c r="N356" i="2"/>
  <c r="I357" i="2"/>
  <c r="I358" i="2"/>
  <c r="I359" i="2"/>
  <c r="I356" i="2"/>
  <c r="G357" i="2"/>
  <c r="H357" i="2"/>
  <c r="G358" i="2"/>
  <c r="H358" i="2"/>
  <c r="G359" i="2"/>
  <c r="H359" i="2"/>
  <c r="H356" i="2"/>
  <c r="G356" i="2"/>
  <c r="N331" i="2"/>
  <c r="O331" i="2"/>
  <c r="N332" i="2"/>
  <c r="O332" i="2"/>
  <c r="N333" i="2"/>
  <c r="O333" i="2"/>
  <c r="O330" i="2"/>
  <c r="N330" i="2"/>
  <c r="I331" i="2"/>
  <c r="I332" i="2"/>
  <c r="I333" i="2"/>
  <c r="I330" i="2"/>
  <c r="G332" i="2"/>
  <c r="H332" i="2"/>
  <c r="G333" i="2"/>
  <c r="H333" i="2"/>
  <c r="H330" i="2"/>
  <c r="H331" i="2"/>
  <c r="G331" i="2"/>
  <c r="G330" i="2"/>
  <c r="I156" i="2" l="1"/>
  <c r="I157" i="2"/>
  <c r="I159" i="2"/>
  <c r="I158" i="2"/>
  <c r="R406" i="2" s="1"/>
  <c r="F147" i="2"/>
  <c r="S155" i="2" l="1"/>
  <c r="S147" i="2"/>
  <c r="N22" i="9" l="1"/>
  <c r="I22" i="9" s="1"/>
  <c r="H21" i="9"/>
  <c r="H59" i="9"/>
  <c r="H58" i="9"/>
  <c r="H60" i="9" s="1"/>
  <c r="H56" i="9"/>
  <c r="H55" i="9"/>
  <c r="H57" i="9" s="1"/>
  <c r="H10" i="9"/>
  <c r="H38" i="9" s="1"/>
  <c r="H9" i="9"/>
  <c r="H8" i="9"/>
  <c r="H36" i="9" s="1"/>
  <c r="H7" i="9"/>
  <c r="H35" i="9" s="1"/>
  <c r="H6" i="9"/>
  <c r="H34" i="9" s="1"/>
  <c r="F84" i="3"/>
  <c r="F17" i="3"/>
  <c r="H27" i="3"/>
  <c r="H22" i="3" s="1"/>
  <c r="H107" i="3"/>
  <c r="H90" i="3"/>
  <c r="H89" i="3"/>
  <c r="H88" i="3"/>
  <c r="H87" i="3"/>
  <c r="H86" i="3"/>
  <c r="H77" i="3"/>
  <c r="H76" i="3"/>
  <c r="H75" i="3"/>
  <c r="H74" i="3"/>
  <c r="H49" i="3"/>
  <c r="H48" i="3"/>
  <c r="H50" i="3"/>
  <c r="H47" i="3"/>
  <c r="H102" i="3"/>
  <c r="H112" i="3" s="1"/>
  <c r="H111" i="3" s="1"/>
  <c r="H10" i="3"/>
  <c r="H101" i="3" s="1"/>
  <c r="H9" i="3"/>
  <c r="H8" i="3"/>
  <c r="H7" i="3"/>
  <c r="H98" i="3" s="1"/>
  <c r="F396" i="2"/>
  <c r="F395" i="2"/>
  <c r="F394" i="2"/>
  <c r="F393" i="2"/>
  <c r="F392" i="2"/>
  <c r="F391" i="2"/>
  <c r="F390" i="2"/>
  <c r="I369" i="2"/>
  <c r="I370" i="2"/>
  <c r="R407" i="2" s="1"/>
  <c r="I371" i="2"/>
  <c r="I368" i="2"/>
  <c r="O371" i="2"/>
  <c r="N371" i="2"/>
  <c r="O370" i="2"/>
  <c r="N370" i="2"/>
  <c r="O369" i="2"/>
  <c r="N369" i="2"/>
  <c r="O368" i="2"/>
  <c r="N368" i="2"/>
  <c r="G369" i="2"/>
  <c r="H369" i="2"/>
  <c r="G370" i="2"/>
  <c r="H370" i="2"/>
  <c r="G371" i="2"/>
  <c r="H371" i="2"/>
  <c r="H368" i="2"/>
  <c r="G368" i="2"/>
  <c r="F377" i="2"/>
  <c r="F376" i="2"/>
  <c r="F375" i="2"/>
  <c r="F374" i="2"/>
  <c r="F373" i="2"/>
  <c r="F372" i="2"/>
  <c r="E369" i="2"/>
  <c r="E368" i="2"/>
  <c r="F354" i="2"/>
  <c r="F347" i="2"/>
  <c r="F340" i="2"/>
  <c r="F316" i="2"/>
  <c r="F403" i="2"/>
  <c r="F402" i="2"/>
  <c r="F401" i="2"/>
  <c r="F400" i="2"/>
  <c r="F399" i="2"/>
  <c r="F398" i="2"/>
  <c r="F389" i="2"/>
  <c r="F388" i="2"/>
  <c r="F387" i="2"/>
  <c r="F386" i="2"/>
  <c r="F385" i="2"/>
  <c r="F384" i="2"/>
  <c r="F363" i="2"/>
  <c r="F360" i="2"/>
  <c r="F351" i="2"/>
  <c r="F350" i="2"/>
  <c r="F349" i="2"/>
  <c r="F348" i="2"/>
  <c r="F344" i="2"/>
  <c r="F343" i="2"/>
  <c r="F342" i="2"/>
  <c r="F341" i="2"/>
  <c r="F336" i="2"/>
  <c r="F335" i="2"/>
  <c r="F334" i="2"/>
  <c r="F325" i="2"/>
  <c r="F324" i="2"/>
  <c r="F323" i="2"/>
  <c r="F322" i="2"/>
  <c r="F313" i="2"/>
  <c r="F312" i="2"/>
  <c r="F311" i="2"/>
  <c r="F310" i="2"/>
  <c r="F263" i="2"/>
  <c r="F260" i="2"/>
  <c r="F251" i="2"/>
  <c r="F248" i="2"/>
  <c r="F239" i="2"/>
  <c r="F238" i="2"/>
  <c r="F237" i="2"/>
  <c r="F236" i="2"/>
  <c r="F227" i="2"/>
  <c r="F226" i="2"/>
  <c r="F225" i="2"/>
  <c r="F224" i="2"/>
  <c r="F220" i="2"/>
  <c r="F219" i="2"/>
  <c r="F218" i="2"/>
  <c r="F217" i="2"/>
  <c r="F208" i="2"/>
  <c r="F207" i="2"/>
  <c r="F206" i="2"/>
  <c r="F205" i="2"/>
  <c r="F201" i="2"/>
  <c r="F200" i="2"/>
  <c r="F199" i="2"/>
  <c r="F198" i="2"/>
  <c r="F194" i="2"/>
  <c r="F193" i="2"/>
  <c r="F192" i="2"/>
  <c r="F191" i="2"/>
  <c r="F187" i="2"/>
  <c r="F186" i="2"/>
  <c r="F184" i="2"/>
  <c r="F175" i="2"/>
  <c r="F176" i="2"/>
  <c r="F177" i="2"/>
  <c r="F174" i="2"/>
  <c r="F168" i="2"/>
  <c r="F169" i="2"/>
  <c r="F170" i="2"/>
  <c r="F160" i="2"/>
  <c r="F162" i="2"/>
  <c r="F163" i="2"/>
  <c r="F144" i="2"/>
  <c r="F143" i="2"/>
  <c r="F142" i="2"/>
  <c r="F141" i="2"/>
  <c r="F137" i="2"/>
  <c r="F136" i="2"/>
  <c r="F135" i="2"/>
  <c r="F134" i="2"/>
  <c r="F130" i="2"/>
  <c r="F129" i="2"/>
  <c r="F128" i="2"/>
  <c r="F127" i="2"/>
  <c r="F123" i="2"/>
  <c r="F122" i="2"/>
  <c r="F121" i="2"/>
  <c r="F120" i="2"/>
  <c r="F112" i="2"/>
  <c r="F116" i="2"/>
  <c r="F114" i="2"/>
  <c r="F113" i="2"/>
  <c r="F109" i="2"/>
  <c r="F108" i="2"/>
  <c r="F107" i="2"/>
  <c r="F106" i="2"/>
  <c r="F102" i="2"/>
  <c r="F101" i="2"/>
  <c r="F99" i="2"/>
  <c r="F98" i="2"/>
  <c r="F96" i="2"/>
  <c r="F92" i="2"/>
  <c r="F90" i="2"/>
  <c r="F89" i="2"/>
  <c r="F85" i="2"/>
  <c r="F83" i="2"/>
  <c r="F81" i="2"/>
  <c r="F80" i="2"/>
  <c r="F69" i="2"/>
  <c r="F68" i="2"/>
  <c r="F67" i="2"/>
  <c r="F66" i="2"/>
  <c r="F62" i="2"/>
  <c r="F61" i="2"/>
  <c r="F60" i="2"/>
  <c r="F59" i="2"/>
  <c r="F55" i="2"/>
  <c r="F54" i="2"/>
  <c r="F53" i="2"/>
  <c r="F52" i="2"/>
  <c r="F48" i="2"/>
  <c r="F47" i="2"/>
  <c r="F46" i="2"/>
  <c r="F45" i="2"/>
  <c r="F44" i="2"/>
  <c r="F40" i="2"/>
  <c r="F41" i="2"/>
  <c r="F38" i="2"/>
  <c r="F39" i="2"/>
  <c r="F34" i="2"/>
  <c r="F33" i="2"/>
  <c r="F32" i="2"/>
  <c r="F31" i="2"/>
  <c r="F27" i="2"/>
  <c r="F25" i="2"/>
  <c r="F24" i="2"/>
  <c r="F304" i="2"/>
  <c r="F298" i="2"/>
  <c r="F270" i="2"/>
  <c r="F277" i="2"/>
  <c r="F284" i="2"/>
  <c r="F294" i="2"/>
  <c r="F292" i="2"/>
  <c r="F291" i="2"/>
  <c r="F293" i="2"/>
  <c r="F297" i="2"/>
  <c r="F290" i="2"/>
  <c r="F283" i="2"/>
  <c r="F276" i="2"/>
  <c r="F269" i="2"/>
  <c r="F266" i="2"/>
  <c r="F173" i="2"/>
  <c r="H99" i="3" l="1"/>
  <c r="H109" i="3" s="1"/>
  <c r="H6" i="3"/>
  <c r="H100" i="3"/>
  <c r="H85" i="3"/>
  <c r="F17" i="2"/>
  <c r="H108" i="3"/>
  <c r="H110" i="3"/>
  <c r="H46" i="3"/>
  <c r="F371" i="2"/>
  <c r="H5" i="9"/>
  <c r="H37" i="9"/>
  <c r="H33" i="9" s="1"/>
  <c r="H18" i="3"/>
  <c r="H73" i="3"/>
  <c r="H61" i="3"/>
  <c r="F369" i="2"/>
  <c r="F368" i="2"/>
  <c r="I367" i="2"/>
  <c r="N367" i="2"/>
  <c r="H367" i="2"/>
  <c r="G367" i="2"/>
  <c r="O367" i="2"/>
  <c r="F370" i="2"/>
  <c r="I20" i="2"/>
  <c r="F30" i="2"/>
  <c r="H97" i="3" l="1"/>
  <c r="H113" i="3"/>
  <c r="F367" i="2"/>
  <c r="O100" i="2" l="1"/>
  <c r="N100" i="2"/>
  <c r="I100" i="2"/>
  <c r="I21" i="2" s="1"/>
  <c r="G419" i="2" l="1"/>
  <c r="G415" i="2"/>
  <c r="G416" i="2" s="1"/>
  <c r="G383" i="2"/>
  <c r="G382" i="2"/>
  <c r="G381" i="2"/>
  <c r="G380" i="2"/>
  <c r="F333" i="2"/>
  <c r="G321" i="2"/>
  <c r="G320" i="2"/>
  <c r="G319" i="2"/>
  <c r="G318" i="2"/>
  <c r="G309" i="2"/>
  <c r="G308" i="2"/>
  <c r="G307" i="2"/>
  <c r="G306" i="2"/>
  <c r="G247" i="2"/>
  <c r="G244" i="2"/>
  <c r="G235" i="2"/>
  <c r="G234" i="2"/>
  <c r="G233" i="2"/>
  <c r="G232" i="2"/>
  <c r="G216" i="2"/>
  <c r="G215" i="2"/>
  <c r="G214" i="2"/>
  <c r="G213" i="2"/>
  <c r="G159" i="2"/>
  <c r="G158" i="2"/>
  <c r="G156" i="2"/>
  <c r="G100" i="2"/>
  <c r="G84" i="2"/>
  <c r="G23" i="2"/>
  <c r="G22" i="2"/>
  <c r="G20" i="2"/>
  <c r="G408" i="2" l="1"/>
  <c r="G406" i="2"/>
  <c r="G407" i="2"/>
  <c r="F100" i="2"/>
  <c r="G21" i="2"/>
  <c r="G410" i="2" s="1"/>
  <c r="G420" i="2"/>
  <c r="G421" i="2"/>
  <c r="G409" i="2"/>
  <c r="G43" i="9" s="1"/>
  <c r="G411" i="2"/>
  <c r="G317" i="2"/>
  <c r="G412" i="2"/>
  <c r="G46" i="9" s="1"/>
  <c r="G355" i="2"/>
  <c r="G231" i="2"/>
  <c r="G255" i="2"/>
  <c r="G155" i="2"/>
  <c r="G243" i="2"/>
  <c r="G212" i="2"/>
  <c r="G329" i="2"/>
  <c r="G305" i="2"/>
  <c r="G379" i="2"/>
  <c r="O20" i="9"/>
  <c r="N20" i="9"/>
  <c r="O34" i="3"/>
  <c r="O21" i="3" s="1"/>
  <c r="N34" i="3"/>
  <c r="N21" i="3" s="1"/>
  <c r="O115" i="2"/>
  <c r="N115" i="2"/>
  <c r="O91" i="2"/>
  <c r="N91" i="2"/>
  <c r="F91" i="2" l="1"/>
  <c r="G422" i="2"/>
  <c r="G16" i="2"/>
  <c r="G405" i="2"/>
  <c r="F115" i="2"/>
  <c r="G425" i="2"/>
  <c r="G424" i="2"/>
  <c r="G423" i="2" l="1"/>
  <c r="G426" i="2" s="1"/>
  <c r="N82" i="2"/>
  <c r="O82" i="2"/>
  <c r="I383" i="2"/>
  <c r="H383" i="2"/>
  <c r="I382" i="2"/>
  <c r="H382" i="2"/>
  <c r="E382" i="2"/>
  <c r="H381" i="2"/>
  <c r="E381" i="2"/>
  <c r="H380" i="2"/>
  <c r="E380" i="2"/>
  <c r="F380" i="2" l="1"/>
  <c r="F382" i="2"/>
  <c r="F383" i="2"/>
  <c r="F82" i="2"/>
  <c r="E379" i="2"/>
  <c r="N379" i="2"/>
  <c r="O379" i="2"/>
  <c r="I381" i="2"/>
  <c r="I379" i="2" s="1"/>
  <c r="H379" i="2"/>
  <c r="F379" i="2" l="1"/>
  <c r="F381" i="2"/>
  <c r="F362" i="2"/>
  <c r="F361" i="2" l="1"/>
  <c r="F52" i="3"/>
  <c r="O22" i="9" l="1"/>
  <c r="I26" i="2" l="1"/>
  <c r="I19" i="2" l="1"/>
  <c r="Q406" i="2" s="1"/>
  <c r="H157" i="2"/>
  <c r="I250" i="2" l="1"/>
  <c r="I249" i="2"/>
  <c r="I262" i="2"/>
  <c r="I261" i="2"/>
  <c r="I257" i="2" s="1"/>
  <c r="I272" i="2"/>
  <c r="I271" i="2"/>
  <c r="I278" i="2"/>
  <c r="I279" i="2"/>
  <c r="I286" i="2"/>
  <c r="I285" i="2"/>
  <c r="I300" i="2"/>
  <c r="F300" i="2" s="1"/>
  <c r="I299" i="2"/>
  <c r="F299" i="2" s="1"/>
  <c r="I258" i="2" l="1"/>
  <c r="F249" i="2"/>
  <c r="I245" i="2"/>
  <c r="F250" i="2"/>
  <c r="I246" i="2"/>
  <c r="I215" i="2"/>
  <c r="Q407" i="2" s="1"/>
  <c r="I214" i="2"/>
  <c r="F337" i="2"/>
  <c r="F301" i="2"/>
  <c r="F287" i="2"/>
  <c r="F280" i="2"/>
  <c r="F273" i="2"/>
  <c r="H419" i="2"/>
  <c r="H415" i="2"/>
  <c r="H416" i="2" s="1"/>
  <c r="H321" i="2"/>
  <c r="H320" i="2"/>
  <c r="H319" i="2"/>
  <c r="H318" i="2"/>
  <c r="H307" i="2"/>
  <c r="H309" i="2"/>
  <c r="H308" i="2"/>
  <c r="H306" i="2"/>
  <c r="H247" i="2"/>
  <c r="H244" i="2"/>
  <c r="H235" i="2"/>
  <c r="H234" i="2"/>
  <c r="H233" i="2"/>
  <c r="H232" i="2"/>
  <c r="H215" i="2"/>
  <c r="H216" i="2"/>
  <c r="H214" i="2"/>
  <c r="H213" i="2"/>
  <c r="H158" i="2"/>
  <c r="H159" i="2"/>
  <c r="H156" i="2"/>
  <c r="H23" i="2"/>
  <c r="H22" i="2"/>
  <c r="F91" i="3"/>
  <c r="F92" i="3"/>
  <c r="F93" i="3"/>
  <c r="F79" i="3"/>
  <c r="F80" i="3"/>
  <c r="F81" i="3"/>
  <c r="F67" i="3"/>
  <c r="F69" i="3"/>
  <c r="F66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07" i="3"/>
  <c r="G88" i="3"/>
  <c r="G89" i="3"/>
  <c r="G87" i="3"/>
  <c r="G86" i="3"/>
  <c r="G77" i="3"/>
  <c r="G76" i="3"/>
  <c r="G75" i="3"/>
  <c r="G74" i="3"/>
  <c r="G49" i="3"/>
  <c r="G48" i="3"/>
  <c r="G50" i="3"/>
  <c r="G47" i="3"/>
  <c r="G27" i="3"/>
  <c r="G22" i="3" s="1"/>
  <c r="G102" i="3"/>
  <c r="G10" i="3"/>
  <c r="G9" i="3"/>
  <c r="G8" i="3"/>
  <c r="G7" i="3"/>
  <c r="G98" i="3" s="1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I6" i="9"/>
  <c r="G7" i="9"/>
  <c r="G35" i="9" s="1"/>
  <c r="I7" i="9"/>
  <c r="G8" i="9"/>
  <c r="I8" i="9"/>
  <c r="G10" i="9"/>
  <c r="G38" i="9" s="1"/>
  <c r="I10" i="9"/>
  <c r="G34" i="9"/>
  <c r="H406" i="2" l="1"/>
  <c r="H407" i="2"/>
  <c r="H41" i="9" s="1"/>
  <c r="G6" i="3"/>
  <c r="G100" i="3"/>
  <c r="G99" i="3"/>
  <c r="G41" i="9" s="1"/>
  <c r="H410" i="2"/>
  <c r="H408" i="2"/>
  <c r="H42" i="9" s="1"/>
  <c r="G101" i="3"/>
  <c r="G40" i="9"/>
  <c r="H40" i="9"/>
  <c r="G45" i="9"/>
  <c r="H409" i="2"/>
  <c r="H411" i="2"/>
  <c r="H45" i="9" s="1"/>
  <c r="H412" i="2"/>
  <c r="H46" i="9" s="1"/>
  <c r="H231" i="2"/>
  <c r="Y46" i="9"/>
  <c r="G36" i="9"/>
  <c r="G33" i="9" s="1"/>
  <c r="G112" i="3"/>
  <c r="G111" i="3" s="1"/>
  <c r="G61" i="3"/>
  <c r="G46" i="3"/>
  <c r="H305" i="2"/>
  <c r="H317" i="2"/>
  <c r="H355" i="2"/>
  <c r="H329" i="2"/>
  <c r="H255" i="2"/>
  <c r="H155" i="2"/>
  <c r="H212" i="2"/>
  <c r="H243" i="2"/>
  <c r="G85" i="3"/>
  <c r="G73" i="3"/>
  <c r="G18" i="3"/>
  <c r="G5" i="9"/>
  <c r="G109" i="3" l="1"/>
  <c r="Y43" i="9"/>
  <c r="H43" i="9"/>
  <c r="G42" i="9"/>
  <c r="Y42" i="9" s="1"/>
  <c r="H425" i="2"/>
  <c r="H424" i="2"/>
  <c r="Y45" i="9"/>
  <c r="G44" i="9"/>
  <c r="G108" i="3"/>
  <c r="G110" i="3"/>
  <c r="H421" i="2"/>
  <c r="Y41" i="9"/>
  <c r="H422" i="2"/>
  <c r="H16" i="2"/>
  <c r="Y40" i="9"/>
  <c r="G97" i="3"/>
  <c r="H423" i="2" l="1"/>
  <c r="G113" i="3"/>
  <c r="Y44" i="9"/>
  <c r="G39" i="9"/>
  <c r="H405" i="2"/>
  <c r="H420" i="2"/>
  <c r="H426" i="2" s="1"/>
  <c r="F20" i="9" l="1"/>
  <c r="N285" i="2" l="1"/>
  <c r="F285" i="2" s="1"/>
  <c r="N278" i="2"/>
  <c r="F278" i="2" s="1"/>
  <c r="N271" i="2"/>
  <c r="F271" i="2" s="1"/>
  <c r="N261" i="2"/>
  <c r="N286" i="2"/>
  <c r="F286" i="2" s="1"/>
  <c r="F261" i="2" l="1"/>
  <c r="N257" i="2"/>
  <c r="N279" i="2"/>
  <c r="F279" i="2" s="1"/>
  <c r="N272" i="2" l="1"/>
  <c r="F272" i="2" s="1"/>
  <c r="N262" i="2"/>
  <c r="N214" i="2"/>
  <c r="O214" i="2"/>
  <c r="F262" i="2" l="1"/>
  <c r="N258" i="2"/>
  <c r="F214" i="2"/>
  <c r="F68" i="3" l="1"/>
  <c r="N21" i="9"/>
  <c r="O21" i="9"/>
  <c r="F26" i="3" l="1"/>
  <c r="F64" i="3"/>
  <c r="O185" i="2"/>
  <c r="N185" i="2"/>
  <c r="O156" i="2"/>
  <c r="O161" i="2"/>
  <c r="N161" i="2"/>
  <c r="F161" i="2" s="1"/>
  <c r="F185" i="2" l="1"/>
  <c r="O158" i="2"/>
  <c r="N157" i="2"/>
  <c r="N158" i="2"/>
  <c r="O157" i="2"/>
  <c r="F157" i="2" l="1"/>
  <c r="O26" i="2"/>
  <c r="O19" i="2" s="1"/>
  <c r="N26" i="2"/>
  <c r="F26" i="2" l="1"/>
  <c r="F19" i="2" s="1"/>
  <c r="N19" i="2"/>
  <c r="O255" i="2" l="1"/>
  <c r="N255" i="2"/>
  <c r="I21" i="9" l="1"/>
  <c r="I9" i="9" l="1"/>
  <c r="F21" i="9"/>
  <c r="I5" i="9" l="1"/>
  <c r="I47" i="3"/>
  <c r="N47" i="3"/>
  <c r="O47" i="3"/>
  <c r="N50" i="3"/>
  <c r="O50" i="3"/>
  <c r="I50" i="3"/>
  <c r="F258" i="2"/>
  <c r="I97" i="2"/>
  <c r="F97" i="2" l="1"/>
  <c r="F18" i="2" s="1"/>
  <c r="F54" i="3"/>
  <c r="F53" i="3"/>
  <c r="F51" i="3"/>
  <c r="F50" i="3"/>
  <c r="E49" i="3"/>
  <c r="E48" i="3"/>
  <c r="F47" i="3"/>
  <c r="E46" i="3" l="1"/>
  <c r="O235" i="2"/>
  <c r="N235" i="2"/>
  <c r="I235" i="2"/>
  <c r="O234" i="2"/>
  <c r="N234" i="2"/>
  <c r="E234" i="2"/>
  <c r="E231" i="2" s="1"/>
  <c r="O233" i="2"/>
  <c r="N233" i="2"/>
  <c r="I233" i="2"/>
  <c r="O232" i="2"/>
  <c r="N232" i="2"/>
  <c r="I232" i="2"/>
  <c r="F235" i="2" l="1"/>
  <c r="F233" i="2"/>
  <c r="F232" i="2"/>
  <c r="O231" i="2"/>
  <c r="N231" i="2"/>
  <c r="I234" i="2"/>
  <c r="F234" i="2" l="1"/>
  <c r="I231" i="2"/>
  <c r="F231" i="2" s="1"/>
  <c r="F158" i="2" l="1"/>
  <c r="O321" i="2" l="1"/>
  <c r="N321" i="2"/>
  <c r="I321" i="2"/>
  <c r="O320" i="2"/>
  <c r="N320" i="2"/>
  <c r="I320" i="2"/>
  <c r="E320" i="2"/>
  <c r="O319" i="2"/>
  <c r="N319" i="2"/>
  <c r="I319" i="2"/>
  <c r="E319" i="2"/>
  <c r="O318" i="2"/>
  <c r="N318" i="2"/>
  <c r="I318" i="2"/>
  <c r="E318" i="2"/>
  <c r="F257" i="2"/>
  <c r="F321" i="2" l="1"/>
  <c r="F318" i="2"/>
  <c r="F319" i="2"/>
  <c r="F320" i="2"/>
  <c r="I317" i="2"/>
  <c r="E317" i="2"/>
  <c r="N317" i="2"/>
  <c r="O317" i="2"/>
  <c r="F317" i="2" l="1"/>
  <c r="N23" i="2"/>
  <c r="N412" i="2" s="1"/>
  <c r="O23" i="2"/>
  <c r="O412" i="2" s="1"/>
  <c r="I23" i="2"/>
  <c r="F23" i="2" l="1"/>
  <c r="I412" i="2"/>
  <c r="F418" i="2"/>
  <c r="G59" i="9" s="1"/>
  <c r="F412" i="2" l="1"/>
  <c r="H66" i="9"/>
  <c r="N58" i="9"/>
  <c r="O58" i="9"/>
  <c r="N59" i="9"/>
  <c r="O59" i="9"/>
  <c r="N55" i="9"/>
  <c r="O55" i="9"/>
  <c r="I59" i="9"/>
  <c r="I58" i="9"/>
  <c r="I56" i="9"/>
  <c r="I55" i="9"/>
  <c r="O56" i="9" l="1"/>
  <c r="N56" i="9"/>
  <c r="I425" i="2" l="1"/>
  <c r="F332" i="2" l="1"/>
  <c r="F256" i="2"/>
  <c r="N46" i="9" l="1"/>
  <c r="N66" i="9" s="1"/>
  <c r="O46" i="9"/>
  <c r="O66" i="9" s="1"/>
  <c r="I38" i="9"/>
  <c r="O9" i="9"/>
  <c r="O37" i="9" s="1"/>
  <c r="I34" i="9"/>
  <c r="N6" i="9"/>
  <c r="N34" i="9" s="1"/>
  <c r="O6" i="9"/>
  <c r="O34" i="9" s="1"/>
  <c r="N7" i="9"/>
  <c r="N35" i="9" s="1"/>
  <c r="O7" i="9"/>
  <c r="O35" i="9" s="1"/>
  <c r="N8" i="9"/>
  <c r="N36" i="9" s="1"/>
  <c r="O8" i="9"/>
  <c r="O36" i="9" s="1"/>
  <c r="N9" i="9"/>
  <c r="N37" i="9" s="1"/>
  <c r="N10" i="9"/>
  <c r="N38" i="9" s="1"/>
  <c r="O10" i="9"/>
  <c r="I36" i="9"/>
  <c r="U36" i="9" s="1"/>
  <c r="I35" i="9"/>
  <c r="F6" i="9" l="1"/>
  <c r="F34" i="9"/>
  <c r="F35" i="9"/>
  <c r="F7" i="9"/>
  <c r="F8" i="9"/>
  <c r="F10" i="9"/>
  <c r="F9" i="9"/>
  <c r="O38" i="9"/>
  <c r="N33" i="9"/>
  <c r="O33" i="9"/>
  <c r="N5" i="9"/>
  <c r="O5" i="9"/>
  <c r="O77" i="3"/>
  <c r="N77" i="3"/>
  <c r="I77" i="3"/>
  <c r="O76" i="3"/>
  <c r="N76" i="3"/>
  <c r="I76" i="3"/>
  <c r="E76" i="3"/>
  <c r="O75" i="3"/>
  <c r="N75" i="3"/>
  <c r="I75" i="3"/>
  <c r="E75" i="3"/>
  <c r="O74" i="3"/>
  <c r="N74" i="3"/>
  <c r="I74" i="3"/>
  <c r="E74" i="3"/>
  <c r="F90" i="3"/>
  <c r="O89" i="3"/>
  <c r="N89" i="3"/>
  <c r="I89" i="3"/>
  <c r="O88" i="3"/>
  <c r="N88" i="3"/>
  <c r="I88" i="3"/>
  <c r="O87" i="3"/>
  <c r="N87" i="3"/>
  <c r="I87" i="3"/>
  <c r="E87" i="3"/>
  <c r="O86" i="3"/>
  <c r="N86" i="3"/>
  <c r="I86" i="3"/>
  <c r="E86" i="3"/>
  <c r="F76" i="3" l="1"/>
  <c r="F77" i="3"/>
  <c r="F38" i="9"/>
  <c r="F87" i="3"/>
  <c r="F36" i="9"/>
  <c r="F65" i="3"/>
  <c r="F75" i="3"/>
  <c r="F5" i="9"/>
  <c r="N73" i="3"/>
  <c r="F88" i="3"/>
  <c r="F74" i="3"/>
  <c r="F78" i="3"/>
  <c r="I48" i="3"/>
  <c r="F62" i="3"/>
  <c r="F89" i="3"/>
  <c r="I49" i="3"/>
  <c r="F63" i="3"/>
  <c r="N49" i="3"/>
  <c r="O48" i="3"/>
  <c r="O49" i="3"/>
  <c r="N48" i="3"/>
  <c r="N85" i="3"/>
  <c r="I73" i="3"/>
  <c r="E73" i="3"/>
  <c r="I85" i="3"/>
  <c r="I37" i="9"/>
  <c r="O73" i="3"/>
  <c r="O85" i="3"/>
  <c r="O61" i="3"/>
  <c r="N61" i="3"/>
  <c r="I61" i="3"/>
  <c r="F48" i="3" l="1"/>
  <c r="I33" i="9"/>
  <c r="F33" i="9" s="1"/>
  <c r="F37" i="9"/>
  <c r="F86" i="3"/>
  <c r="F61" i="3"/>
  <c r="I46" i="3"/>
  <c r="F85" i="3"/>
  <c r="F73" i="3"/>
  <c r="O46" i="3"/>
  <c r="N46" i="3"/>
  <c r="F49" i="3"/>
  <c r="N102" i="3"/>
  <c r="O102" i="3"/>
  <c r="F46" i="3" l="1"/>
  <c r="I102" i="3"/>
  <c r="F102" i="3" s="1"/>
  <c r="F23" i="3"/>
  <c r="F19" i="3"/>
  <c r="F20" i="3"/>
  <c r="F21" i="3"/>
  <c r="O112" i="3"/>
  <c r="O111" i="3" s="1"/>
  <c r="N112" i="3"/>
  <c r="N111" i="3" s="1"/>
  <c r="I112" i="3" l="1"/>
  <c r="I111" i="3" s="1"/>
  <c r="N27" i="3"/>
  <c r="N22" i="3" s="1"/>
  <c r="O27" i="3"/>
  <c r="O22" i="3" s="1"/>
  <c r="I27" i="3"/>
  <c r="I22" i="3" s="1"/>
  <c r="I101" i="3" s="1"/>
  <c r="N7" i="3"/>
  <c r="N98" i="3" s="1"/>
  <c r="O7" i="3"/>
  <c r="O98" i="3" s="1"/>
  <c r="N8" i="3"/>
  <c r="N99" i="3" s="1"/>
  <c r="O8" i="3"/>
  <c r="O99" i="3" s="1"/>
  <c r="N9" i="3"/>
  <c r="N100" i="3" s="1"/>
  <c r="O9" i="3"/>
  <c r="O100" i="3" s="1"/>
  <c r="N10" i="3"/>
  <c r="O10" i="3"/>
  <c r="I10" i="3"/>
  <c r="I9" i="3"/>
  <c r="I8" i="3"/>
  <c r="I99" i="3" s="1"/>
  <c r="I7" i="3"/>
  <c r="I98" i="3" s="1"/>
  <c r="O101" i="3" l="1"/>
  <c r="N101" i="3"/>
  <c r="I100" i="3"/>
  <c r="Q100" i="3" s="1"/>
  <c r="N18" i="3"/>
  <c r="O18" i="3"/>
  <c r="F10" i="3"/>
  <c r="F7" i="3"/>
  <c r="I108" i="3"/>
  <c r="F8" i="3"/>
  <c r="F27" i="3"/>
  <c r="F9" i="3"/>
  <c r="N108" i="3"/>
  <c r="N110" i="3"/>
  <c r="O110" i="3"/>
  <c r="O109" i="3"/>
  <c r="F98" i="3" l="1"/>
  <c r="F101" i="3"/>
  <c r="F99" i="3"/>
  <c r="I110" i="3"/>
  <c r="F100" i="3"/>
  <c r="I18" i="3"/>
  <c r="F18" i="3" s="1"/>
  <c r="F22" i="3"/>
  <c r="N97" i="3"/>
  <c r="O97" i="3"/>
  <c r="I109" i="3"/>
  <c r="N109" i="3"/>
  <c r="N113" i="3" s="1"/>
  <c r="O108" i="3"/>
  <c r="O113" i="3" s="1"/>
  <c r="I97" i="3"/>
  <c r="F359" i="2"/>
  <c r="F331" i="2"/>
  <c r="F330" i="2"/>
  <c r="N306" i="2"/>
  <c r="O306" i="2"/>
  <c r="N307" i="2"/>
  <c r="O307" i="2"/>
  <c r="N308" i="2"/>
  <c r="O308" i="2"/>
  <c r="N309" i="2"/>
  <c r="O309" i="2"/>
  <c r="I309" i="2"/>
  <c r="I308" i="2"/>
  <c r="I408" i="2" s="1"/>
  <c r="I307" i="2"/>
  <c r="I407" i="2" s="1"/>
  <c r="I306" i="2"/>
  <c r="E308" i="2"/>
  <c r="E305" i="2" s="1"/>
  <c r="F259" i="2"/>
  <c r="F308" i="2" l="1"/>
  <c r="F307" i="2"/>
  <c r="F309" i="2"/>
  <c r="F356" i="2"/>
  <c r="F357" i="2"/>
  <c r="F306" i="2"/>
  <c r="F358" i="2"/>
  <c r="I113" i="3"/>
  <c r="I255" i="2"/>
  <c r="F255" i="2" s="1"/>
  <c r="F97" i="3"/>
  <c r="I329" i="2"/>
  <c r="N355" i="2"/>
  <c r="O355" i="2"/>
  <c r="I355" i="2"/>
  <c r="O329" i="2"/>
  <c r="N329" i="2"/>
  <c r="I305" i="2"/>
  <c r="N305" i="2"/>
  <c r="O305" i="2"/>
  <c r="F305" i="2" l="1"/>
  <c r="F329" i="2"/>
  <c r="F355" i="2"/>
  <c r="N244" i="2"/>
  <c r="O244" i="2"/>
  <c r="N245" i="2"/>
  <c r="N407" i="2" s="1"/>
  <c r="O245" i="2"/>
  <c r="O407" i="2" s="1"/>
  <c r="N246" i="2"/>
  <c r="O246" i="2"/>
  <c r="N247" i="2"/>
  <c r="O247" i="2"/>
  <c r="I247" i="2"/>
  <c r="I244" i="2"/>
  <c r="N213" i="2"/>
  <c r="O213" i="2"/>
  <c r="O406" i="2" s="1"/>
  <c r="N215" i="2"/>
  <c r="N408" i="2" s="1"/>
  <c r="O215" i="2"/>
  <c r="O408" i="2" s="1"/>
  <c r="N216" i="2"/>
  <c r="O216" i="2"/>
  <c r="I216" i="2"/>
  <c r="I410" i="2" s="1"/>
  <c r="I213" i="2"/>
  <c r="I406" i="2" s="1"/>
  <c r="H62" i="9"/>
  <c r="E246" i="2"/>
  <c r="E243" i="2" s="1"/>
  <c r="O159" i="2"/>
  <c r="N159" i="2"/>
  <c r="N167" i="2"/>
  <c r="N409" i="2"/>
  <c r="N22" i="2"/>
  <c r="N411" i="2" s="1"/>
  <c r="N45" i="9" s="1"/>
  <c r="O22" i="2"/>
  <c r="O411" i="2" s="1"/>
  <c r="O45" i="9" s="1"/>
  <c r="I409" i="2"/>
  <c r="O409" i="2" l="1"/>
  <c r="O43" i="9" s="1"/>
  <c r="H61" i="9"/>
  <c r="H67" i="9" s="1"/>
  <c r="O41" i="9"/>
  <c r="O62" i="9" s="1"/>
  <c r="F244" i="2"/>
  <c r="F213" i="2"/>
  <c r="F159" i="2"/>
  <c r="F216" i="2"/>
  <c r="F247" i="2"/>
  <c r="N43" i="9"/>
  <c r="F20" i="2"/>
  <c r="N156" i="2"/>
  <c r="N406" i="2" s="1"/>
  <c r="F167" i="2"/>
  <c r="F215" i="2"/>
  <c r="F246" i="2"/>
  <c r="F245" i="2"/>
  <c r="O40" i="9"/>
  <c r="O65" i="9"/>
  <c r="O64" i="9" s="1"/>
  <c r="O44" i="9"/>
  <c r="N65" i="9"/>
  <c r="N64" i="9" s="1"/>
  <c r="N44" i="9"/>
  <c r="I43" i="9"/>
  <c r="I243" i="2"/>
  <c r="I212" i="2"/>
  <c r="O212" i="2"/>
  <c r="O155" i="2"/>
  <c r="N212" i="2"/>
  <c r="O243" i="2"/>
  <c r="N243" i="2"/>
  <c r="I155" i="2"/>
  <c r="N84" i="2"/>
  <c r="N21" i="2" s="1"/>
  <c r="N410" i="2" s="1"/>
  <c r="O84" i="2"/>
  <c r="O21" i="2" s="1"/>
  <c r="O410" i="2" s="1"/>
  <c r="E81" i="2"/>
  <c r="H63" i="9" l="1"/>
  <c r="Q408" i="2"/>
  <c r="U48" i="9" s="1"/>
  <c r="O61" i="9"/>
  <c r="F156" i="2"/>
  <c r="N40" i="9"/>
  <c r="H70" i="9"/>
  <c r="F407" i="2"/>
  <c r="F84" i="2"/>
  <c r="F21" i="2" s="1"/>
  <c r="F16" i="2" s="1"/>
  <c r="F212" i="2"/>
  <c r="F243" i="2"/>
  <c r="F409" i="2"/>
  <c r="F43" i="9"/>
  <c r="W43" i="9" s="1"/>
  <c r="I42" i="9"/>
  <c r="I41" i="9"/>
  <c r="N61" i="9" l="1"/>
  <c r="F408" i="2"/>
  <c r="F406" i="2"/>
  <c r="I16" i="2"/>
  <c r="O42" i="9"/>
  <c r="I63" i="9"/>
  <c r="I62" i="9"/>
  <c r="N16" i="2"/>
  <c r="O16" i="2"/>
  <c r="O63" i="9" l="1"/>
  <c r="F410" i="2"/>
  <c r="O39" i="9"/>
  <c r="O405" i="2"/>
  <c r="I107" i="3" l="1"/>
  <c r="I419" i="2"/>
  <c r="I416" i="2" l="1"/>
  <c r="E38" i="9" l="1"/>
  <c r="E258" i="2" l="1"/>
  <c r="E257" i="2"/>
  <c r="E255" i="2" l="1"/>
  <c r="E35" i="9" l="1"/>
  <c r="N42" i="9" l="1"/>
  <c r="N63" i="9" s="1"/>
  <c r="N41" i="9"/>
  <c r="N155" i="2"/>
  <c r="F155" i="2" s="1"/>
  <c r="F42" i="9" l="1"/>
  <c r="W42" i="9" s="1"/>
  <c r="N405" i="2"/>
  <c r="N39" i="9"/>
  <c r="N62" i="9"/>
  <c r="F41" i="9" l="1"/>
  <c r="W41" i="9" s="1"/>
  <c r="E158" i="2"/>
  <c r="E157" i="2"/>
  <c r="E156" i="2" l="1"/>
  <c r="E409" i="2" l="1"/>
  <c r="E64" i="3" l="1"/>
  <c r="E21" i="3"/>
  <c r="E155" i="2" l="1"/>
  <c r="E18" i="2"/>
  <c r="E17" i="2"/>
  <c r="E20" i="2" l="1"/>
  <c r="E63" i="3" l="1"/>
  <c r="E61" i="3" s="1"/>
  <c r="E331" i="2"/>
  <c r="E330" i="2"/>
  <c r="E98" i="3" l="1"/>
  <c r="E108" i="3" s="1"/>
  <c r="F105" i="3" l="1"/>
  <c r="E59" i="9" l="1"/>
  <c r="E58" i="9"/>
  <c r="N107" i="3"/>
  <c r="O107" i="3"/>
  <c r="E107" i="3"/>
  <c r="O419" i="2"/>
  <c r="N419" i="2"/>
  <c r="E419" i="2"/>
  <c r="E370" i="2" s="1"/>
  <c r="E367" i="2" s="1"/>
  <c r="F417" i="2"/>
  <c r="G58" i="9" s="1"/>
  <c r="G60" i="9" s="1"/>
  <c r="E415" i="2"/>
  <c r="E55" i="9" s="1"/>
  <c r="E414" i="2"/>
  <c r="F419" i="2" l="1"/>
  <c r="I60" i="9"/>
  <c r="F58" i="9"/>
  <c r="F59" i="9"/>
  <c r="N57" i="9"/>
  <c r="F107" i="3"/>
  <c r="F106" i="3"/>
  <c r="O416" i="2"/>
  <c r="E416" i="2"/>
  <c r="F414" i="2"/>
  <c r="G55" i="9" s="1"/>
  <c r="G62" i="9" s="1"/>
  <c r="F415" i="2"/>
  <c r="E56" i="9"/>
  <c r="E57" i="9" s="1"/>
  <c r="N416" i="2"/>
  <c r="O57" i="9"/>
  <c r="E60" i="9"/>
  <c r="O60" i="9"/>
  <c r="N60" i="9"/>
  <c r="G56" i="9" l="1"/>
  <c r="G63" i="9" s="1"/>
  <c r="N70" i="9"/>
  <c r="O70" i="9"/>
  <c r="F56" i="9"/>
  <c r="F55" i="9"/>
  <c r="I57" i="9"/>
  <c r="F60" i="9"/>
  <c r="F416" i="2"/>
  <c r="G57" i="9" l="1"/>
  <c r="F57" i="9"/>
  <c r="E98" i="2" l="1"/>
  <c r="E19" i="2" s="1"/>
  <c r="E215" i="2" l="1"/>
  <c r="I22" i="2"/>
  <c r="F22" i="2" s="1"/>
  <c r="E23" i="2"/>
  <c r="E22" i="2"/>
  <c r="Q38" i="9"/>
  <c r="I411" i="2" l="1"/>
  <c r="G65" i="9"/>
  <c r="I46" i="9"/>
  <c r="F46" i="9" s="1"/>
  <c r="W46" i="9" s="1"/>
  <c r="E212" i="2"/>
  <c r="E43" i="9"/>
  <c r="F411" i="2" l="1"/>
  <c r="I45" i="9"/>
  <c r="I424" i="2"/>
  <c r="I423" i="2" s="1"/>
  <c r="G66" i="9"/>
  <c r="G64" i="9" s="1"/>
  <c r="I66" i="9"/>
  <c r="Q40" i="9"/>
  <c r="F45" i="9" l="1"/>
  <c r="W45" i="9" s="1"/>
  <c r="H44" i="9"/>
  <c r="H39" i="9" s="1"/>
  <c r="H65" i="9"/>
  <c r="H64" i="9" s="1"/>
  <c r="I65" i="9"/>
  <c r="I64" i="9" s="1"/>
  <c r="F64" i="9" s="1"/>
  <c r="I44" i="9"/>
  <c r="E23" i="3"/>
  <c r="E102" i="3" s="1"/>
  <c r="N425" i="2"/>
  <c r="E332" i="2"/>
  <c r="E406" i="2"/>
  <c r="E357" i="2" s="1"/>
  <c r="O425" i="2"/>
  <c r="E16" i="2"/>
  <c r="F44" i="9" l="1"/>
  <c r="W44" i="9" s="1"/>
  <c r="F425" i="2"/>
  <c r="E112" i="3"/>
  <c r="F111" i="3"/>
  <c r="O424" i="2"/>
  <c r="O423" i="2" s="1"/>
  <c r="N424" i="2"/>
  <c r="N423" i="2" s="1"/>
  <c r="F108" i="3"/>
  <c r="O420" i="2"/>
  <c r="N420" i="2"/>
  <c r="E420" i="2"/>
  <c r="E408" i="2"/>
  <c r="E422" i="2" s="1"/>
  <c r="E329" i="2"/>
  <c r="E18" i="3"/>
  <c r="F424" i="2" l="1"/>
  <c r="F423" i="2"/>
  <c r="F112" i="3"/>
  <c r="E8" i="9" l="1"/>
  <c r="E5" i="9" s="1"/>
  <c r="E36" i="9" l="1"/>
  <c r="E33" i="9" s="1"/>
  <c r="S28" i="9" l="1"/>
  <c r="Q20" i="9"/>
  <c r="S20" i="9" s="1"/>
  <c r="Q13" i="9"/>
  <c r="S13" i="9" s="1"/>
  <c r="T98" i="3"/>
  <c r="E40" i="9" l="1"/>
  <c r="E61" i="9" s="1"/>
  <c r="E99" i="3"/>
  <c r="E9" i="3"/>
  <c r="E100" i="3" s="1"/>
  <c r="E109" i="3" l="1"/>
  <c r="E88" i="3" s="1"/>
  <c r="E85" i="3" s="1"/>
  <c r="I422" i="2"/>
  <c r="I421" i="2"/>
  <c r="N422" i="2"/>
  <c r="O421" i="2"/>
  <c r="N421" i="2"/>
  <c r="E97" i="3"/>
  <c r="E110" i="3"/>
  <c r="E113" i="3" s="1"/>
  <c r="Q42" i="9"/>
  <c r="N426" i="2" l="1"/>
  <c r="F421" i="2"/>
  <c r="O422" i="2"/>
  <c r="O426" i="2" s="1"/>
  <c r="F109" i="3"/>
  <c r="F422" i="2" l="1"/>
  <c r="E407" i="2"/>
  <c r="E421" i="2" l="1"/>
  <c r="E358" i="2"/>
  <c r="Q41" i="9"/>
  <c r="E6" i="3" l="1"/>
  <c r="N6" i="3" l="1"/>
  <c r="O6" i="3"/>
  <c r="I6" i="3"/>
  <c r="F6" i="3" l="1"/>
  <c r="F110" i="3"/>
  <c r="F113" i="3" l="1"/>
  <c r="E42" i="9"/>
  <c r="E62" i="9" s="1"/>
  <c r="N67" i="9" l="1"/>
  <c r="O67" i="9"/>
  <c r="F65" i="9"/>
  <c r="F66" i="9"/>
  <c r="F62" i="9" l="1"/>
  <c r="E41" i="9"/>
  <c r="E63" i="9" s="1"/>
  <c r="E412" i="2"/>
  <c r="E425" i="2" s="1"/>
  <c r="F63" i="9" l="1"/>
  <c r="E411" i="2"/>
  <c r="E405" i="2" l="1"/>
  <c r="E356" i="2" s="1"/>
  <c r="E355" i="2" s="1"/>
  <c r="E424" i="2"/>
  <c r="E46" i="9" l="1"/>
  <c r="E66" i="9" s="1"/>
  <c r="E45" i="9" l="1"/>
  <c r="E39" i="9" l="1"/>
  <c r="E65" i="9"/>
  <c r="E67" i="9" s="1"/>
  <c r="T102" i="3"/>
  <c r="T99" i="3"/>
  <c r="T100" i="3" l="1"/>
  <c r="E426" i="2" l="1"/>
  <c r="I40" i="9" l="1"/>
  <c r="I405" i="2"/>
  <c r="F405" i="2" s="1"/>
  <c r="I420" i="2"/>
  <c r="F40" i="9" l="1"/>
  <c r="W40" i="9" s="1"/>
  <c r="Q45" i="9"/>
  <c r="Q46" i="9"/>
  <c r="F420" i="2"/>
  <c r="I426" i="2"/>
  <c r="F426" i="2" s="1"/>
  <c r="I39" i="9"/>
  <c r="F39" i="9" s="1"/>
  <c r="W39" i="9" s="1"/>
  <c r="I61" i="9"/>
  <c r="I70" i="9" s="1"/>
  <c r="G61" i="9" l="1"/>
  <c r="F61" i="9"/>
  <c r="F70" i="9" s="1"/>
  <c r="I67" i="9"/>
  <c r="F67" i="9" s="1"/>
  <c r="G70" i="9" l="1"/>
  <c r="G67" i="9"/>
</calcChain>
</file>

<file path=xl/comments1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<sst xmlns="http://schemas.openxmlformats.org/spreadsheetml/2006/main" count="1669" uniqueCount="279">
  <si>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</si>
  <si>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</si>
  <si>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</si>
  <si>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</si>
  <si>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</si>
  <si>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</si>
  <si>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</si>
  <si>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</si>
  <si>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</si>
  <si>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</si>
  <si>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</si>
  <si>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</si>
  <si>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</si>
  <si>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</si>
  <si>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</si>
  <si>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</si>
  <si>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</si>
  <si>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</si>
  <si>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</si>
  <si>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</si>
  <si>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</si>
  <si>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</si>
  <si>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</si>
  <si>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</si>
  <si>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</si>
  <si>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</si>
  <si>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</si>
  <si>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</si>
  <si>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</si>
  <si>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</si>
  <si>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</si>
  <si>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</si>
  <si>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</si>
  <si>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</si>
  <si>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</si>
  <si>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</si>
  <si>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</si>
  <si>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</si>
  <si>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</si>
  <si>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</si>
  <si>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</si>
  <si>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</si>
  <si>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</si>
  <si>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</si>
  <si>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</si>
  <si>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</si>
  <si>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</si>
  <si>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</si>
  <si>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</si>
  <si>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</si>
  <si>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</si>
  <si>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</si>
  <si>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</si>
  <si>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</si>
  <si>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</si>
  <si>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</si>
  <si>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</si>
  <si>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</si>
  <si>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</si>
  <si>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</si>
  <si>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</si>
  <si>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</si>
  <si>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</si>
  <si>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</si>
  <si>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</si>
  <si>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</si>
  <si>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</si>
  <si>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</si>
  <si>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</si>
  <si>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</si>
  <si>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</si>
  <si>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</si>
  <si>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</si>
  <si>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</si>
  <si>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</si>
  <si>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</si>
  <si>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</si>
  <si>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</si>
  <si>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</si>
  <si>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</si>
  <si>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</si>
  <si>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</si>
  <si>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</si>
  <si>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</si>
  <si>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</si>
  <si>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</si>
  <si>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</si>
  <si>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</si>
  <si>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</si>
  <si>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</si>
  <si>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</si>
  <si>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</si>
  <si>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</si>
  <si>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</si>
  <si>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</si>
  <si>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</si>
  <si>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</si>
  <si>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</si>
  <si>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</si>
  <si>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</si>
  <si>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</si>
  <si>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</si>
  <si>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</si>
  <si>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</si>
  <si>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</si>
  <si>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</si>
  <si>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</si>
  <si>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</si>
  <si>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</si>
  <si>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</si>
  <si>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</si>
  <si>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</si>
  <si>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</si>
  <si>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</si>
  <si>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</si>
  <si>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</si>
  <si>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</si>
  <si>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</si>
  <si>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</si>
  <si>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</si>
  <si>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</si>
  <si>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</si>
  <si>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</si>
  <si>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</si>
  <si>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</si>
  <si>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</si>
  <si>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</si>
  <si>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</si>
  <si>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</si>
  <si>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</si>
  <si>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</si>
  <si>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</si>
  <si>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</si>
  <si>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</si>
  <si>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</si>
  <si>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</si>
  <si>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</si>
  <si>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</si>
  <si>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</si>
  <si>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</si>
  <si>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</si>
  <si>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</si>
  <si>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</si>
  <si>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</si>
  <si>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</si>
  <si>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</si>
  <si>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</si>
  <si>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</si>
  <si>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</si>
  <si>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</si>
  <si>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</si>
  <si>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</si>
  <si>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</si>
  <si>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</si>
  <si>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</si>
  <si>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Обеспечено финансирование муниципальных организаций - дошкольные образовательные организации, шт.</t>
  </si>
  <si>
    <t xml:space="preserve">Обеспечение  дошкольных образовательных учреждений  услугой по охране объектов и имущества, % 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</si>
  <si>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</si>
  <si>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</si>
  <si>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</si>
  <si>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</si>
  <si>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</si>
  <si>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 капитальный ремонт дошкольных образовательных организаций, шт.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</si>
  <si>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</si>
  <si>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</si>
  <si>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</si>
  <si>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</si>
  <si>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</si>
  <si>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</si>
  <si>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</si>
  <si>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</si>
  <si>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</si>
  <si>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</si>
  <si>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</si>
  <si>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</si>
  <si>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Обеспечение  дополнительного образования  услугой по охране объектов и имущества, %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</si>
  <si>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</si>
  <si>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Созданы детские технопарки «Кванториум», шт.</t>
  </si>
  <si>
    <t>Обеспечение 100% эффективной деятельности аппарата управления,%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</si>
  <si>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</si>
  <si>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</si>
  <si>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</si>
  <si>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</si>
  <si>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</si>
  <si>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</si>
  <si>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</si>
  <si>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</si>
  <si>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</si>
  <si>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</si>
  <si>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</si>
  <si>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</si>
  <si>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</si>
  <si>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</si>
  <si>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</si>
  <si>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</si>
  <si>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</si>
  <si>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</si>
  <si>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</si>
  <si>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4.2</t>
  </si>
  <si>
    <t xml:space="preserve"> </t>
  </si>
  <si>
    <t>МКУ ХЭС</t>
  </si>
  <si>
    <t>2024-2027 годы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</si>
  <si>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</si>
  <si>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</si>
  <si>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</si>
  <si>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</si>
  <si>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</si>
  <si>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</si>
  <si>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</si>
  <si>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</si>
  <si>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</si>
  <si>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</si>
  <si>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</si>
  <si>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</si>
  <si>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>2023</t>
  </si>
  <si>
    <t>2024</t>
  </si>
  <si>
    <t>2.7</t>
  </si>
  <si>
    <t>_______________</t>
  </si>
  <si>
    <t>Основное мероприятие 03. "Обеспечение развития инновационной инфраструктуры общего образования"</t>
  </si>
  <si>
    <t xml:space="preserve">Начальник Управления образования                                                                   </t>
  </si>
  <si>
    <t>О.А. Ткачева</t>
  </si>
  <si>
    <t>Мероприятие 01.23.  Профессиональная физическая охрана муниципальных учреждений в сфере общеобразовательных организаций</t>
  </si>
  <si>
    <t>Мероприятие 01.27.                                                                                                               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</si>
  <si>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 шт. </t>
  </si>
  <si>
    <t>Мероприятие 01.28.                                                                                                                Обеспечение выплат ежемесячных доплат за напряженный труд работникам муниципальных дошкольных и общеобразовательных организаций</t>
  </si>
  <si>
    <t>Мероприятие 01.29.                                                                                                                 Организация питания обучающихся в муниципальных общеобразовательных организациях в Московской области</t>
  </si>
  <si>
    <t>Мероприятие 01.30.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</si>
  <si>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Ю6.02.                                                                             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</si>
  <si>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Ю6.04. 
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</si>
  <si>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Мероприятие 01.08.                                                                            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</si>
  <si>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>Основное мероприятие Ю6. Федеральный проект "Педагоги и наставники"</t>
  </si>
  <si>
    <t>Основное мероприятие Е1. Федеральный проект "Современная школа"</t>
  </si>
  <si>
    <t xml:space="preserve">Основное мероприятие Р2. Федеральный проект "Содействие занятости" </t>
  </si>
  <si>
    <t>Обеспечениы выплаты ежемесячного денежного вознаграждения  советникам директоров по воспитанию и взаимодействию с детскими общественными объединениями, ед.</t>
  </si>
  <si>
    <t>Итого 2023</t>
  </si>
  <si>
    <t>Итого 2024</t>
  </si>
  <si>
    <t>Ответственный за выполнение мероприятия программы</t>
  </si>
  <si>
    <t>Доля педагогических работников муниципальных дошкольных и общеобразовательных организаций – молодых работников и специалистов, получивших выплату и пособие, в общем числе обратившихся за выплатой и пособием, %</t>
  </si>
  <si>
    <t>Основное мероприятие Ю4: 
Все лучшее детям</t>
  </si>
  <si>
    <t>Мероприятие Ю4.01
Оснащение предметных кабинетов общеобразовательных организаций средствами обучения и воспитания</t>
  </si>
  <si>
    <t>Оснащены предметные кабинеты общеобразовательных организаций средствами обучения и воспитания, ед.</t>
  </si>
  <si>
    <t>Мероприятие  Ю6.07.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</si>
  <si>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ед.</t>
  </si>
  <si>
    <t>Мероприятие 01.15.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</si>
  <si>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Мероприятие 02.07.                                                                                             Сохранение достигнутого уровня заработной платы педагогических работников организаций дополнительного образования сферы образования</t>
  </si>
  <si>
    <t xml:space="preserve"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учителей, %                        </t>
  </si>
  <si>
    <t>Управление образования, МКУ "Централизованная бухгалтерия"</t>
  </si>
  <si>
    <t>от «___» __________ 2025 № ______</t>
  </si>
  <si>
    <t>2025-2027 годы</t>
  </si>
  <si>
    <t>2023год</t>
  </si>
  <si>
    <t>2023-2024 годы</t>
  </si>
  <si>
    <t>Мероприятие 01.01.        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</si>
  <si>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01.02.    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</si>
  <si>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Доля 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общей численности работников такой категории, %</t>
  </si>
  <si>
    <t>Доля работников муниципальных дошкольных образовательных организаций, и  муниципальных общеобразовательных организаций, получивших ежемесячную доплату за напряженный труд, в общей численности работников такой категории, процентзовательных организаций, получивших ежемесячную доплату за напряженный труд, в общей численности работников такой категории, %</t>
  </si>
  <si>
    <t xml:space="preserve">Мероприятие 01.11.                                                                                          Выплата пособия и ежемесячных выплат педагогическим работникам муниципальных дошкольных и общеобразовательных организаций - молодым работникам и специалистам                                                                                                      </t>
  </si>
  <si>
    <t xml:space="preserve">Обеспечение бесплатным горячим питанием обучающихся, получающих начальное общее образование в муниципальных образовательных организациях, человек.
</t>
  </si>
  <si>
    <t>23789</t>
  </si>
  <si>
    <t xml:space="preserve"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%
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</si>
  <si>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ед.</t>
  </si>
  <si>
    <t>Количество проведенных мероприятий в сфере образования, шт</t>
  </si>
  <si>
    <t xml:space="preserve">В государственных и муниципальных общеобразовательных организациях и их структурных подразделениях реализованы 
мероприятия по обеспечению деятельности советников директора по воспитанию и взаимодействию с детскими общественными объединениями
</t>
  </si>
  <si>
    <t>-</t>
  </si>
  <si>
    <t>Приложение 1</t>
  </si>
  <si>
    <r>
      <t xml:space="preserve">Обеспечены выплаты денежного вознаграждения за классное руководство, предоставляемые педагогическим работникам </t>
    </r>
    <r>
      <rPr>
        <sz val="14"/>
        <rFont val="Times New Roman"/>
        <family val="1"/>
      </rPr>
      <t>муниципальных</t>
    </r>
    <r>
      <rPr>
        <sz val="14"/>
        <rFont val="Times New Roman"/>
        <family val="1"/>
        <charset val="204"/>
      </rPr>
      <t xml:space="preserve"> образовательных организаций, ежемесячно, ед.</t>
    </r>
  </si>
  <si>
    <t>1.18</t>
  </si>
  <si>
    <t>Мероприятие 01.31. 
Обеспечение выплат работникам муниципальных общеобразовательных организаций – образовательных комплексов, реализующих основные общеобразовательные программы</t>
  </si>
  <si>
    <t>3.2</t>
  </si>
  <si>
    <t>5.2</t>
  </si>
  <si>
    <t>5.3</t>
  </si>
  <si>
    <t>5.4</t>
  </si>
  <si>
    <t>5.5</t>
  </si>
  <si>
    <t>5.6</t>
  </si>
  <si>
    <t>8.2</t>
  </si>
  <si>
    <t>8.3</t>
  </si>
  <si>
    <t>11.1</t>
  </si>
  <si>
    <t>11.2</t>
  </si>
  <si>
    <t>11.3</t>
  </si>
  <si>
    <t>Обеспечены выплаты работникам муниципальных общеобразовательных организаций – образовательных комплексов, реализующих основные общеобразовательные программы,%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</si>
</sst>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4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6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3.5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.5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463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7" fillId="3" borderId="0" xfId="0" applyFont="1" applyFill="1"/>
    <xf numFmtId="4" fontId="27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167" fontId="9" fillId="6" borderId="2" xfId="4" applyNumberFormat="1" applyFont="1" applyFill="1" applyBorder="1" applyAlignment="1" applyProtection="1">
      <alignment horizontal="center" vertical="center"/>
    </xf>
    <xf numFmtId="0" fontId="32" fillId="3" borderId="0" xfId="7" applyNumberFormat="1" applyFont="1" applyFill="1" applyBorder="1" applyAlignment="1" applyProtection="1">
      <alignment horizontal="center" vertical="center"/>
    </xf>
    <xf numFmtId="167" fontId="8" fillId="0" borderId="0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 wrapText="1"/>
    </xf>
    <xf numFmtId="165" fontId="9" fillId="0" borderId="0" xfId="5" applyNumberFormat="1" applyFont="1" applyFill="1" applyBorder="1" applyAlignment="1" applyProtection="1">
      <alignment horizontal="center" vertical="top"/>
    </xf>
    <xf numFmtId="167" fontId="9" fillId="0" borderId="0" xfId="5" applyNumberFormat="1" applyFont="1" applyFill="1" applyBorder="1" applyAlignment="1" applyProtection="1">
      <alignment horizontal="center" vertical="top"/>
    </xf>
    <xf numFmtId="0" fontId="18" fillId="3" borderId="0" xfId="7" applyNumberFormat="1" applyFont="1" applyFill="1" applyBorder="1" applyAlignment="1" applyProtection="1">
      <alignment horizontal="center" vertical="center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0" fontId="36" fillId="3" borderId="0" xfId="7" applyNumberFormat="1" applyFont="1" applyFill="1" applyBorder="1" applyAlignment="1" applyProtection="1">
      <alignment vertical="top"/>
    </xf>
    <xf numFmtId="0" fontId="35" fillId="3" borderId="0" xfId="7" applyNumberFormat="1" applyFont="1" applyFill="1" applyBorder="1" applyAlignment="1" applyProtection="1">
      <alignment vertical="top"/>
    </xf>
    <xf numFmtId="0" fontId="37" fillId="3" borderId="0" xfId="7" applyNumberFormat="1" applyFont="1" applyFill="1" applyBorder="1" applyAlignment="1" applyProtection="1">
      <alignment vertical="top"/>
    </xf>
    <xf numFmtId="49" fontId="36" fillId="0" borderId="2" xfId="4" applyNumberFormat="1" applyFont="1" applyFill="1" applyBorder="1" applyAlignment="1" applyProtection="1">
      <alignment horizontal="center" vertical="top"/>
    </xf>
    <xf numFmtId="49" fontId="36" fillId="6" borderId="2" xfId="4" applyNumberFormat="1" applyFont="1" applyFill="1" applyBorder="1" applyAlignment="1" applyProtection="1">
      <alignment horizontal="center" vertical="center" wrapText="1"/>
    </xf>
    <xf numFmtId="0" fontId="36" fillId="6" borderId="2" xfId="7" applyNumberFormat="1" applyFont="1" applyFill="1" applyBorder="1" applyAlignment="1" applyProtection="1">
      <alignment horizontal="center" vertical="center" wrapText="1"/>
    </xf>
    <xf numFmtId="2" fontId="36" fillId="0" borderId="2" xfId="1" applyNumberFormat="1" applyFont="1" applyFill="1" applyBorder="1" applyAlignment="1" applyProtection="1">
      <alignment horizontal="center" vertical="center" wrapText="1"/>
    </xf>
    <xf numFmtId="49" fontId="36" fillId="0" borderId="2" xfId="4" applyNumberFormat="1" applyFont="1" applyFill="1" applyBorder="1" applyAlignment="1" applyProtection="1">
      <alignment horizontal="center" vertical="center" wrapText="1"/>
    </xf>
    <xf numFmtId="0" fontId="36" fillId="0" borderId="2" xfId="1" applyFont="1" applyFill="1" applyBorder="1" applyAlignment="1">
      <alignment horizontal="center" vertical="center" wrapText="1"/>
    </xf>
    <xf numFmtId="49" fontId="36" fillId="6" borderId="2" xfId="2" applyNumberFormat="1" applyFont="1" applyFill="1" applyBorder="1" applyAlignment="1" applyProtection="1">
      <alignment horizontal="center" vertical="center" wrapText="1"/>
    </xf>
    <xf numFmtId="49" fontId="36" fillId="0" borderId="2" xfId="2" applyNumberFormat="1" applyFont="1" applyFill="1" applyBorder="1" applyAlignment="1" applyProtection="1">
      <alignment horizontal="center" vertical="center" wrapText="1"/>
    </xf>
    <xf numFmtId="0" fontId="36" fillId="6" borderId="2" xfId="1" applyFont="1" applyFill="1" applyBorder="1" applyAlignment="1">
      <alignment horizontal="center" vertical="center"/>
    </xf>
    <xf numFmtId="0" fontId="36" fillId="6" borderId="2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right" vertical="center"/>
    </xf>
    <xf numFmtId="0" fontId="39" fillId="0" borderId="0" xfId="0" applyFont="1"/>
    <xf numFmtId="167" fontId="9" fillId="6" borderId="2" xfId="4" applyNumberFormat="1" applyFont="1" applyFill="1" applyBorder="1" applyAlignment="1" applyProtection="1">
      <alignment horizontal="center" vertical="center"/>
    </xf>
    <xf numFmtId="167" fontId="40" fillId="0" borderId="0" xfId="5" applyNumberFormat="1" applyFont="1" applyFill="1" applyBorder="1" applyAlignment="1" applyProtection="1">
      <alignment vertical="top"/>
    </xf>
    <xf numFmtId="4" fontId="9" fillId="0" borderId="2" xfId="1" applyNumberFormat="1" applyFont="1" applyFill="1" applyBorder="1" applyAlignment="1">
      <alignment horizontal="center" vertical="center"/>
    </xf>
    <xf numFmtId="2" fontId="9" fillId="5" borderId="2" xfId="1" applyNumberFormat="1" applyFont="1" applyFill="1" applyBorder="1" applyAlignment="1">
      <alignment horizontal="center" vertical="center"/>
    </xf>
    <xf numFmtId="167" fontId="21" fillId="0" borderId="0" xfId="0" applyNumberFormat="1" applyFont="1"/>
    <xf numFmtId="167" fontId="41" fillId="0" borderId="0" xfId="4" applyNumberFormat="1" applyFont="1" applyFill="1" applyBorder="1" applyAlignment="1" applyProtection="1">
      <alignment vertical="top"/>
    </xf>
    <xf numFmtId="0" fontId="36" fillId="7" borderId="2" xfId="1" applyFont="1" applyFill="1" applyBorder="1" applyAlignment="1">
      <alignment horizontal="center" vertical="center" wrapText="1"/>
    </xf>
    <xf numFmtId="0" fontId="6" fillId="7" borderId="0" xfId="0" applyFont="1" applyFill="1"/>
    <xf numFmtId="167" fontId="9" fillId="7" borderId="2" xfId="1" applyNumberFormat="1" applyFont="1" applyFill="1" applyBorder="1" applyAlignment="1" applyProtection="1">
      <alignment horizontal="center" vertical="center" wrapText="1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4" fontId="6" fillId="7" borderId="0" xfId="0" applyNumberFormat="1" applyFont="1" applyFill="1"/>
    <xf numFmtId="3" fontId="9" fillId="7" borderId="2" xfId="1" applyNumberFormat="1" applyFont="1" applyFill="1" applyBorder="1" applyAlignment="1">
      <alignment horizontal="center" vertical="center"/>
    </xf>
    <xf numFmtId="167" fontId="8" fillId="7" borderId="2" xfId="4" applyNumberFormat="1" applyFont="1" applyFill="1" applyBorder="1" applyAlignment="1" applyProtection="1">
      <alignment horizontal="center" vertical="center"/>
    </xf>
    <xf numFmtId="167" fontId="6" fillId="7" borderId="0" xfId="0" applyNumberFormat="1" applyFont="1" applyFill="1"/>
    <xf numFmtId="49" fontId="36" fillId="7" borderId="2" xfId="2" applyNumberFormat="1" applyFont="1" applyFill="1" applyBorder="1" applyAlignment="1" applyProtection="1">
      <alignment horizontal="center" vertical="center" wrapText="1"/>
    </xf>
    <xf numFmtId="167" fontId="8" fillId="7" borderId="2" xfId="5" applyNumberFormat="1" applyFont="1" applyFill="1" applyBorder="1" applyAlignment="1" applyProtection="1">
      <alignment horizontal="center" vertical="center"/>
    </xf>
    <xf numFmtId="167" fontId="9" fillId="7" borderId="2" xfId="5" applyNumberFormat="1" applyFont="1" applyFill="1" applyBorder="1" applyAlignment="1" applyProtection="1">
      <alignment horizontal="center" vertical="center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167" fontId="1" fillId="0" borderId="0" xfId="0" applyNumberFormat="1" applyFont="1" applyFill="1"/>
    <xf numFmtId="17" fontId="1" fillId="0" borderId="0" xfId="0" applyNumberFormat="1" applyFont="1" applyFill="1"/>
    <xf numFmtId="4" fontId="42" fillId="3" borderId="0" xfId="0" applyNumberFormat="1" applyFont="1" applyFill="1"/>
    <xf numFmtId="0" fontId="42" fillId="3" borderId="0" xfId="0" applyFont="1" applyFill="1"/>
    <xf numFmtId="0" fontId="43" fillId="6" borderId="2" xfId="7" applyNumberFormat="1" applyFont="1" applyFill="1" applyBorder="1" applyAlignment="1" applyProtection="1">
      <alignment horizontal="center" vertical="center" wrapText="1"/>
    </xf>
    <xf numFmtId="167" fontId="9" fillId="0" borderId="0" xfId="5" applyNumberFormat="1" applyFont="1" applyFill="1" applyBorder="1" applyAlignment="1" applyProtection="1">
      <alignment horizontal="left" vertical="top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36" fillId="0" borderId="2" xfId="7" applyNumberFormat="1" applyFont="1" applyFill="1" applyBorder="1" applyAlignment="1" applyProtection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167" fontId="44" fillId="0" borderId="2" xfId="1" applyNumberFormat="1" applyFont="1" applyFill="1" applyBorder="1" applyAlignment="1" applyProtection="1">
      <alignment horizontal="center" vertical="center" wrapText="1"/>
    </xf>
    <xf numFmtId="167" fontId="8" fillId="5" borderId="2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0" fontId="47" fillId="0" borderId="2" xfId="1" applyFont="1" applyFill="1" applyBorder="1" applyAlignment="1">
      <alignment horizontal="center" vertical="center" wrapText="1"/>
    </xf>
    <xf numFmtId="167" fontId="48" fillId="0" borderId="2" xfId="1" applyNumberFormat="1" applyFont="1" applyFill="1" applyBorder="1" applyAlignment="1">
      <alignment horizontal="center" vertical="center" wrapText="1"/>
    </xf>
    <xf numFmtId="167" fontId="46" fillId="0" borderId="2" xfId="4" applyNumberFormat="1" applyFont="1" applyFill="1" applyBorder="1" applyAlignment="1" applyProtection="1">
      <alignment horizontal="center" vertical="center"/>
    </xf>
    <xf numFmtId="167" fontId="46" fillId="0" borderId="2" xfId="1" applyNumberFormat="1" applyFont="1" applyFill="1" applyBorder="1" applyAlignment="1">
      <alignment horizontal="center" vertical="center" wrapText="1"/>
    </xf>
    <xf numFmtId="2" fontId="47" fillId="0" borderId="2" xfId="1" applyNumberFormat="1" applyFont="1" applyFill="1" applyBorder="1" applyAlignment="1" applyProtection="1">
      <alignment horizontal="center" vertical="center" wrapText="1"/>
    </xf>
    <xf numFmtId="167" fontId="46" fillId="0" borderId="2" xfId="1" applyNumberFormat="1" applyFont="1" applyFill="1" applyBorder="1" applyAlignment="1" applyProtection="1">
      <alignment horizontal="center" vertical="center" wrapText="1"/>
    </xf>
    <xf numFmtId="167" fontId="48" fillId="0" borderId="2" xfId="1" applyNumberFormat="1" applyFont="1" applyFill="1" applyBorder="1" applyAlignment="1" applyProtection="1">
      <alignment horizontal="center" vertical="center" wrapText="1"/>
    </xf>
    <xf numFmtId="49" fontId="48" fillId="0" borderId="2" xfId="1" applyNumberFormat="1" applyFont="1" applyFill="1" applyBorder="1" applyAlignment="1" applyProtection="1">
      <alignment horizontal="center" vertical="center" wrapText="1"/>
    </xf>
    <xf numFmtId="3" fontId="48" fillId="0" borderId="2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49" fontId="46" fillId="0" borderId="2" xfId="7" applyNumberFormat="1" applyFont="1" applyFill="1" applyBorder="1" applyAlignment="1" applyProtection="1">
      <alignment horizontal="center" vertical="top" wrapText="1"/>
    </xf>
    <xf numFmtId="0" fontId="47" fillId="0" borderId="2" xfId="1" applyNumberFormat="1" applyFont="1" applyFill="1" applyBorder="1" applyAlignment="1" applyProtection="1">
      <alignment horizontal="left" vertical="top" wrapText="1"/>
    </xf>
    <xf numFmtId="2" fontId="46" fillId="0" borderId="2" xfId="1" applyNumberFormat="1" applyFont="1" applyFill="1" applyBorder="1" applyAlignment="1" applyProtection="1">
      <alignment horizontal="center" vertical="center" wrapText="1"/>
    </xf>
    <xf numFmtId="167" fontId="46" fillId="0" borderId="2" xfId="1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167" fontId="46" fillId="0" borderId="2" xfId="1" applyNumberFormat="1" applyFont="1" applyFill="1" applyBorder="1" applyAlignment="1" applyProtection="1">
      <alignment horizontal="center" vertical="center" wrapText="1"/>
    </xf>
    <xf numFmtId="0" fontId="48" fillId="0" borderId="2" xfId="1" applyNumberFormat="1" applyFont="1" applyFill="1" applyBorder="1" applyAlignment="1" applyProtection="1">
      <alignment horizontal="left" vertical="top" wrapText="1"/>
    </xf>
    <xf numFmtId="2" fontId="48" fillId="0" borderId="2" xfId="1" applyNumberFormat="1" applyFont="1" applyFill="1" applyBorder="1" applyAlignment="1" applyProtection="1">
      <alignment horizontal="center" vertical="center" wrapText="1"/>
    </xf>
    <xf numFmtId="2" fontId="49" fillId="0" borderId="2" xfId="1" applyNumberFormat="1" applyFont="1" applyFill="1" applyBorder="1" applyAlignment="1" applyProtection="1">
      <alignment horizontal="center" vertical="center" wrapText="1"/>
    </xf>
    <xf numFmtId="167" fontId="48" fillId="0" borderId="2" xfId="1" applyNumberFormat="1" applyFont="1" applyFill="1" applyBorder="1" applyAlignment="1">
      <alignment horizontal="center" vertical="center"/>
    </xf>
    <xf numFmtId="49" fontId="48" fillId="0" borderId="2" xfId="1" applyNumberFormat="1" applyFont="1" applyFill="1" applyBorder="1" applyAlignment="1" applyProtection="1">
      <alignment horizontal="center" vertical="center" wrapText="1"/>
    </xf>
    <xf numFmtId="167" fontId="48" fillId="0" borderId="2" xfId="1" applyNumberFormat="1" applyFont="1" applyFill="1" applyBorder="1" applyAlignment="1" applyProtection="1">
      <alignment horizontal="center" vertical="center" wrapText="1"/>
    </xf>
    <xf numFmtId="49" fontId="48" fillId="0" borderId="2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top" wrapText="1"/>
    </xf>
    <xf numFmtId="0" fontId="9" fillId="3" borderId="2" xfId="1" applyNumberFormat="1" applyFont="1" applyFill="1" applyBorder="1" applyAlignment="1" applyProtection="1">
      <alignment horizontal="left" vertical="top" wrapText="1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2" fontId="35" fillId="0" borderId="2" xfId="1" applyNumberFormat="1" applyFont="1" applyFill="1" applyBorder="1" applyAlignment="1" applyProtection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167" fontId="9" fillId="7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49" fontId="9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44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167" fontId="8" fillId="6" borderId="2" xfId="4" applyNumberFormat="1" applyFont="1" applyFill="1" applyBorder="1" applyAlignment="1" applyProtection="1">
      <alignment horizontal="center" vertical="center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7" fontId="8" fillId="7" borderId="2" xfId="5" applyNumberFormat="1" applyFont="1" applyFill="1" applyBorder="1" applyAlignment="1" applyProtection="1">
      <alignment horizontal="center" vertical="center"/>
    </xf>
    <xf numFmtId="167" fontId="46" fillId="0" borderId="2" xfId="3" applyNumberFormat="1" applyFont="1" applyFill="1" applyBorder="1" applyAlignment="1" applyProtection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49" fontId="9" fillId="7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0" fontId="8" fillId="3" borderId="2" xfId="1" applyNumberFormat="1" applyFont="1" applyFill="1" applyBorder="1" applyAlignment="1" applyProtection="1">
      <alignment horizontal="left" vertical="top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3" xfId="4" applyNumberFormat="1" applyFont="1" applyFill="1" applyBorder="1" applyAlignment="1" applyProtection="1">
      <alignment horizontal="center" vertical="center"/>
    </xf>
    <xf numFmtId="167" fontId="9" fillId="6" borderId="4" xfId="4" applyNumberFormat="1" applyFont="1" applyFill="1" applyBorder="1" applyAlignment="1" applyProtection="1">
      <alignment horizontal="center" vertical="center"/>
    </xf>
    <xf numFmtId="167" fontId="9" fillId="6" borderId="5" xfId="4" applyNumberFormat="1" applyFont="1" applyFill="1" applyBorder="1" applyAlignment="1" applyProtection="1">
      <alignment horizontal="center" vertical="center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167" fontId="46" fillId="0" borderId="2" xfId="4" applyNumberFormat="1" applyFont="1" applyFill="1" applyBorder="1" applyAlignment="1" applyProtection="1">
      <alignment horizontal="center" vertical="center"/>
    </xf>
    <xf numFmtId="167" fontId="46" fillId="0" borderId="2" xfId="7" applyNumberFormat="1" applyFont="1" applyFill="1" applyBorder="1" applyAlignment="1" applyProtection="1">
      <alignment horizontal="center" vertical="center" wrapTex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8" fillId="6" borderId="2" xfId="4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8" fillId="0" borderId="2" xfId="4" applyNumberFormat="1" applyFont="1" applyFill="1" applyBorder="1" applyAlignment="1" applyProtection="1">
      <alignment horizontal="right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6" borderId="2" xfId="7" applyNumberFormat="1" applyFont="1" applyFill="1" applyBorder="1" applyAlignment="1" applyProtection="1">
      <alignment horizontal="center" vertical="top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0" fontId="35" fillId="0" borderId="2" xfId="1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0" fontId="8" fillId="7" borderId="2" xfId="3" applyNumberFormat="1" applyFont="1" applyFill="1" applyBorder="1" applyAlignment="1" applyProtection="1">
      <alignment horizontal="center" vertical="center" wrapText="1"/>
    </xf>
    <xf numFmtId="2" fontId="9" fillId="7" borderId="2" xfId="1" applyNumberFormat="1" applyFont="1" applyFill="1" applyBorder="1" applyAlignment="1" applyProtection="1">
      <alignment horizontal="center" vertical="center" wrapText="1"/>
    </xf>
    <xf numFmtId="2" fontId="35" fillId="7" borderId="2" xfId="1" applyNumberFormat="1" applyFont="1" applyFill="1" applyBorder="1" applyAlignment="1" applyProtection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167" fontId="29" fillId="6" borderId="3" xfId="4" applyNumberFormat="1" applyFont="1" applyFill="1" applyBorder="1" applyAlignment="1" applyProtection="1">
      <alignment horizontal="center" vertical="center"/>
    </xf>
    <xf numFmtId="167" fontId="29" fillId="6" borderId="4" xfId="4" applyNumberFormat="1" applyFont="1" applyFill="1" applyBorder="1" applyAlignment="1" applyProtection="1">
      <alignment horizontal="center" vertical="center"/>
    </xf>
    <xf numFmtId="167" fontId="29" fillId="6" borderId="5" xfId="4" applyNumberFormat="1" applyFont="1" applyFill="1" applyBorder="1" applyAlignment="1" applyProtection="1">
      <alignment horizontal="center" vertical="center"/>
    </xf>
    <xf numFmtId="0" fontId="28" fillId="0" borderId="2" xfId="7" applyNumberFormat="1" applyFont="1" applyFill="1" applyBorder="1" applyAlignment="1" applyProtection="1">
      <alignment horizontal="center" vertical="center" wrapText="1"/>
    </xf>
    <xf numFmtId="167" fontId="29" fillId="6" borderId="2" xfId="4" applyNumberFormat="1" applyFont="1" applyFill="1" applyBorder="1" applyAlignment="1" applyProtection="1">
      <alignment horizontal="center" vertical="center"/>
    </xf>
    <xf numFmtId="167" fontId="28" fillId="6" borderId="2" xfId="4" applyNumberFormat="1" applyFont="1" applyFill="1" applyBorder="1" applyAlignment="1" applyProtection="1">
      <alignment horizontal="center" vertical="center"/>
    </xf>
    <xf numFmtId="49" fontId="28" fillId="0" borderId="2" xfId="4" applyNumberFormat="1" applyFont="1" applyFill="1" applyBorder="1" applyAlignment="1" applyProtection="1">
      <alignment horizontal="center" vertical="top"/>
    </xf>
    <xf numFmtId="167" fontId="29" fillId="6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0" fontId="8" fillId="0" borderId="9" xfId="4" applyNumberFormat="1" applyFont="1" applyFill="1" applyBorder="1" applyAlignment="1" applyProtection="1">
      <alignment horizontal="center" vertical="center" wrapText="1"/>
    </xf>
    <xf numFmtId="0" fontId="8" fillId="0" borderId="10" xfId="4" applyNumberFormat="1" applyFont="1" applyFill="1" applyBorder="1" applyAlignment="1" applyProtection="1">
      <alignment horizontal="center" vertical="center" wrapText="1"/>
    </xf>
    <xf numFmtId="0" fontId="8" fillId="0" borderId="11" xfId="4" applyNumberFormat="1" applyFont="1" applyFill="1" applyBorder="1" applyAlignment="1" applyProtection="1">
      <alignment horizontal="center" vertical="center" wrapText="1"/>
    </xf>
    <xf numFmtId="0" fontId="8" fillId="0" borderId="12" xfId="4" applyNumberFormat="1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8" fillId="0" borderId="13" xfId="4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 shrinkToFit="1"/>
    </xf>
    <xf numFmtId="0" fontId="44" fillId="0" borderId="2" xfId="4" applyNumberFormat="1" applyFont="1" applyFill="1" applyBorder="1" applyAlignment="1" applyProtection="1">
      <alignment vertical="top" wrapText="1"/>
    </xf>
    <xf numFmtId="49" fontId="8" fillId="0" borderId="2" xfId="4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 wrapText="1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0" fontId="36" fillId="0" borderId="2" xfId="4" applyNumberFormat="1" applyFont="1" applyFill="1" applyBorder="1" applyAlignment="1" applyProtection="1">
      <alignment vertical="top" wrapText="1"/>
    </xf>
    <xf numFmtId="0" fontId="8" fillId="7" borderId="2" xfId="3" applyNumberFormat="1" applyFont="1" applyFill="1" applyBorder="1" applyAlignment="1" applyProtection="1">
      <alignment horizontal="left" vertical="top" wrapText="1"/>
    </xf>
    <xf numFmtId="0" fontId="9" fillId="7" borderId="2" xfId="1" applyNumberFormat="1" applyFont="1" applyFill="1" applyBorder="1" applyAlignment="1" applyProtection="1">
      <alignment horizontal="left" vertical="top" wrapText="1"/>
    </xf>
    <xf numFmtId="49" fontId="8" fillId="7" borderId="2" xfId="3" applyNumberFormat="1" applyFont="1" applyFill="1" applyBorder="1" applyAlignment="1" applyProtection="1">
      <alignment horizontal="center" vertical="top" wrapText="1"/>
    </xf>
    <xf numFmtId="49" fontId="8" fillId="7" borderId="2" xfId="5" applyNumberFormat="1" applyFont="1" applyFill="1" applyBorder="1" applyAlignment="1" applyProtection="1">
      <alignment horizontal="center" vertical="top"/>
    </xf>
    <xf numFmtId="49" fontId="8" fillId="6" borderId="2" xfId="5" applyNumberFormat="1" applyFont="1" applyFill="1" applyBorder="1" applyAlignment="1" applyProtection="1">
      <alignment horizontal="center" vertical="top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167" fontId="9" fillId="7" borderId="2" xfId="1" applyNumberFormat="1" applyFont="1" applyFill="1" applyBorder="1" applyAlignment="1">
      <alignment horizontal="center" vertical="center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167" fontId="9" fillId="7" borderId="2" xfId="1" applyNumberFormat="1" applyFont="1" applyFill="1" applyBorder="1" applyAlignment="1" applyProtection="1">
      <alignment horizontal="center" vertical="center" wrapText="1"/>
    </xf>
    <xf numFmtId="167" fontId="9" fillId="0" borderId="2" xfId="4" applyNumberFormat="1" applyFont="1" applyFill="1" applyBorder="1" applyAlignment="1" applyProtection="1">
      <alignment horizontal="center" vertical="center"/>
    </xf>
    <xf numFmtId="49" fontId="8" fillId="0" borderId="7" xfId="7" applyNumberFormat="1" applyFont="1" applyFill="1" applyBorder="1" applyAlignment="1" applyProtection="1">
      <alignment horizontal="center" vertical="top" wrapText="1"/>
    </xf>
    <xf numFmtId="49" fontId="8" fillId="0" borderId="8" xfId="7" applyNumberFormat="1" applyFont="1" applyFill="1" applyBorder="1" applyAlignment="1" applyProtection="1">
      <alignment horizontal="center" vertical="top" wrapText="1"/>
    </xf>
    <xf numFmtId="49" fontId="8" fillId="0" borderId="6" xfId="7" applyNumberFormat="1" applyFont="1" applyFill="1" applyBorder="1" applyAlignment="1" applyProtection="1">
      <alignment horizontal="center" vertical="top" wrapText="1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top"/>
    </xf>
    <xf numFmtId="0" fontId="45" fillId="0" borderId="2" xfId="1" applyNumberFormat="1" applyFont="1" applyFill="1" applyBorder="1" applyAlignment="1" applyProtection="1">
      <alignment horizontal="left" vertical="top" wrapText="1"/>
    </xf>
    <xf numFmtId="0" fontId="36" fillId="0" borderId="2" xfId="1" applyNumberFormat="1" applyFont="1" applyFill="1" applyBorder="1" applyAlignment="1" applyProtection="1">
      <alignment horizontal="left" vertical="top" wrapText="1"/>
    </xf>
    <xf numFmtId="0" fontId="8" fillId="0" borderId="2" xfId="4" applyNumberFormat="1" applyFont="1" applyFill="1" applyBorder="1" applyAlignment="1" applyProtection="1">
      <alignment vertical="top" wrapText="1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34" fillId="0" borderId="2" xfId="1" applyNumberFormat="1" applyFont="1" applyFill="1" applyBorder="1" applyAlignment="1" applyProtection="1">
      <alignment horizontal="left" vertical="top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167" fontId="9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horizontal="center" vertical="top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00FF00"/>
      <color rgb="FFFFFFCC"/>
      <color rgb="FFCCFFCC"/>
      <color rgb="FFCCFFFF"/>
      <color rgb="FFCCECFF"/>
      <color rgb="FF99CCFF"/>
      <color rgb="FF00FFFF"/>
      <color rgb="FF99FF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4\&#1086;&#1073;&#1097;&#1072;&#1103;\192.168.10.4\192.168.10.4\192.168.10.10\&#1086;&#1073;&#1097;&#1072;&#1103;\2018%20&#1075;&#1086;&#1076;\4%20&#1074;&#1072;&#1088;&#1080;&#1072;&#1085;&#1090;%20&#1086;&#1090;%2024.07.2018%20&#8470;3423\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U437"/>
  <sheetViews>
    <sheetView view="pageBreakPreview" topLeftCell="A330" zoomScale="60" zoomScaleNormal="80" workbookViewId="0">
      <selection activeCell="I115" sqref="I115:M115"/>
    </sheetView>
  </sheetViews>
  <sheetFormatPr defaultColWidth="9.109375" defaultRowHeight="18" x14ac:dyDescent="0.35"/>
  <cols>
    <col min="1" max="1" width="9.109375" style="79"/>
    <col min="2" max="2" width="75.44140625" style="79" customWidth="1"/>
    <col min="3" max="3" width="16" style="79" customWidth="1"/>
    <col min="4" max="4" width="30.88671875" style="191" customWidth="1"/>
    <col min="5" max="5" width="20.44140625" style="79" hidden="1" customWidth="1"/>
    <col min="6" max="6" width="22.109375" style="142" customWidth="1"/>
    <col min="7" max="8" width="22.6640625" style="84" customWidth="1"/>
    <col min="9" max="13" width="8" style="79" customWidth="1"/>
    <col min="14" max="14" width="22.44140625" style="79" customWidth="1"/>
    <col min="15" max="15" width="23.33203125" style="79" customWidth="1"/>
    <col min="16" max="16" width="22.109375" style="79" customWidth="1"/>
    <col min="17" max="17" width="24.33203125" style="1" customWidth="1"/>
    <col min="18" max="18" width="17.6640625" style="1" customWidth="1"/>
    <col min="19" max="19" width="13" style="1" customWidth="1"/>
    <col min="20" max="20" width="14.6640625" style="1" customWidth="1"/>
    <col min="21" max="16384" width="9.109375" style="1"/>
  </cols>
  <sheetData>
    <row r="1" spans="1:21" x14ac:dyDescent="0.3">
      <c r="A1" s="2"/>
      <c r="B1" s="62"/>
      <c r="C1" s="62"/>
      <c r="D1" s="177"/>
      <c r="E1" s="62"/>
      <c r="F1" s="62"/>
      <c r="G1" s="62"/>
      <c r="H1" s="62"/>
      <c r="I1" s="143"/>
      <c r="J1" s="143"/>
      <c r="K1" s="143"/>
      <c r="L1" s="143"/>
      <c r="M1" s="143"/>
      <c r="N1" s="62"/>
      <c r="O1" s="49"/>
      <c r="P1" s="69" t="s">
        <v>263</v>
      </c>
    </row>
    <row r="2" spans="1:21" x14ac:dyDescent="0.3">
      <c r="A2" s="2"/>
      <c r="B2" s="62"/>
      <c r="C2" s="62"/>
      <c r="D2" s="177"/>
      <c r="E2" s="62"/>
      <c r="F2" s="62"/>
      <c r="G2" s="62"/>
      <c r="H2" s="62"/>
      <c r="I2" s="143"/>
      <c r="J2" s="143"/>
      <c r="K2" s="143"/>
      <c r="L2" s="143"/>
      <c r="M2" s="143"/>
      <c r="N2" s="62"/>
      <c r="O2" s="49"/>
      <c r="P2" s="69" t="s">
        <v>66</v>
      </c>
    </row>
    <row r="3" spans="1:21" x14ac:dyDescent="0.3">
      <c r="A3" s="2"/>
      <c r="B3" s="40"/>
      <c r="C3" s="62"/>
      <c r="D3" s="177"/>
      <c r="E3" s="62"/>
      <c r="F3" s="62"/>
      <c r="G3" s="62"/>
      <c r="H3" s="62"/>
      <c r="I3" s="143"/>
      <c r="J3" s="143"/>
      <c r="K3" s="143"/>
      <c r="L3" s="143"/>
      <c r="M3" s="143"/>
      <c r="N3" s="62"/>
      <c r="O3" s="49"/>
      <c r="P3" s="69" t="s">
        <v>67</v>
      </c>
    </row>
    <row r="4" spans="1:21" x14ac:dyDescent="0.3">
      <c r="A4" s="2"/>
      <c r="B4" s="62"/>
      <c r="C4" s="62"/>
      <c r="D4" s="177"/>
      <c r="E4" s="62"/>
      <c r="F4" s="62" t="s">
        <v>199</v>
      </c>
      <c r="G4" s="62"/>
      <c r="H4" s="62"/>
      <c r="I4" s="143"/>
      <c r="J4" s="143"/>
      <c r="K4" s="143"/>
      <c r="L4" s="143"/>
      <c r="M4" s="143"/>
      <c r="N4" s="62"/>
      <c r="O4" s="49"/>
      <c r="P4" s="69" t="s">
        <v>247</v>
      </c>
    </row>
    <row r="5" spans="1:21" ht="17.399999999999999" x14ac:dyDescent="0.3">
      <c r="A5" s="2"/>
      <c r="B5" s="62"/>
      <c r="C5" s="62"/>
      <c r="D5" s="177"/>
      <c r="E5" s="62"/>
      <c r="F5" s="62"/>
      <c r="G5" s="62"/>
      <c r="H5" s="62"/>
      <c r="I5" s="143"/>
      <c r="J5" s="143"/>
      <c r="K5" s="143"/>
      <c r="L5" s="143"/>
      <c r="M5" s="143"/>
      <c r="N5" s="62"/>
      <c r="O5" s="49"/>
      <c r="P5" s="49"/>
    </row>
    <row r="6" spans="1:21" ht="18" customHeight="1" x14ac:dyDescent="0.3">
      <c r="A6" s="36"/>
      <c r="B6" s="62"/>
      <c r="C6" s="63"/>
      <c r="D6" s="178"/>
      <c r="E6" s="359"/>
      <c r="F6" s="359"/>
      <c r="G6" s="359"/>
      <c r="H6" s="359"/>
      <c r="I6" s="359"/>
      <c r="J6" s="359"/>
      <c r="K6" s="359"/>
      <c r="L6" s="359"/>
      <c r="M6" s="359"/>
      <c r="N6" s="362" t="s">
        <v>186</v>
      </c>
      <c r="O6" s="362"/>
      <c r="P6" s="362"/>
    </row>
    <row r="7" spans="1:21" ht="18" customHeight="1" x14ac:dyDescent="0.3">
      <c r="A7" s="36"/>
      <c r="B7" s="62"/>
      <c r="C7" s="63"/>
      <c r="D7" s="178"/>
      <c r="E7" s="119"/>
      <c r="F7" s="119"/>
      <c r="G7" s="171"/>
      <c r="H7" s="119"/>
      <c r="I7" s="165"/>
      <c r="J7" s="165"/>
      <c r="K7" s="165"/>
      <c r="L7" s="165"/>
      <c r="M7" s="165"/>
      <c r="N7" s="38"/>
      <c r="O7" s="90"/>
      <c r="P7" s="90"/>
    </row>
    <row r="8" spans="1:21" ht="18" customHeight="1" x14ac:dyDescent="0.3">
      <c r="A8" s="64"/>
      <c r="B8" s="62"/>
      <c r="C8" s="63"/>
      <c r="D8" s="178"/>
      <c r="E8" s="119"/>
      <c r="F8" s="119"/>
      <c r="G8" s="171"/>
      <c r="H8" s="119"/>
      <c r="I8" s="165"/>
      <c r="J8" s="165"/>
      <c r="K8" s="165"/>
      <c r="L8" s="165"/>
      <c r="M8" s="165"/>
      <c r="N8" s="38"/>
      <c r="O8" s="90"/>
      <c r="P8" s="90"/>
    </row>
    <row r="9" spans="1:21" ht="40.5" customHeight="1" x14ac:dyDescent="0.3">
      <c r="A9" s="3"/>
      <c r="B9" s="363" t="s">
        <v>85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110"/>
    </row>
    <row r="10" spans="1:21" ht="15.75" customHeight="1" x14ac:dyDescent="0.3">
      <c r="A10" s="72"/>
      <c r="B10" s="143"/>
      <c r="C10" s="144"/>
      <c r="D10" s="179"/>
      <c r="E10" s="145"/>
      <c r="F10" s="145"/>
      <c r="G10" s="73"/>
      <c r="H10" s="73"/>
      <c r="I10" s="73"/>
      <c r="J10" s="73"/>
      <c r="K10" s="73"/>
      <c r="L10" s="73"/>
      <c r="M10" s="73"/>
      <c r="N10" s="73"/>
      <c r="O10" s="73"/>
      <c r="P10" s="146"/>
    </row>
    <row r="11" spans="1:21" ht="15" customHeight="1" x14ac:dyDescent="0.3">
      <c r="A11" s="361" t="s">
        <v>4</v>
      </c>
      <c r="B11" s="361" t="s">
        <v>138</v>
      </c>
      <c r="C11" s="361" t="s">
        <v>50</v>
      </c>
      <c r="D11" s="361" t="s">
        <v>6</v>
      </c>
      <c r="E11" s="361" t="s">
        <v>44</v>
      </c>
      <c r="F11" s="373" t="s">
        <v>7</v>
      </c>
      <c r="G11" s="375" t="s">
        <v>16</v>
      </c>
      <c r="H11" s="376"/>
      <c r="I11" s="376"/>
      <c r="J11" s="376"/>
      <c r="K11" s="376"/>
      <c r="L11" s="376"/>
      <c r="M11" s="376"/>
      <c r="N11" s="376"/>
      <c r="O11" s="377"/>
      <c r="P11" s="360" t="s">
        <v>236</v>
      </c>
    </row>
    <row r="12" spans="1:21" ht="15" customHeight="1" x14ac:dyDescent="0.3">
      <c r="A12" s="361"/>
      <c r="B12" s="361"/>
      <c r="C12" s="361"/>
      <c r="D12" s="361"/>
      <c r="E12" s="361"/>
      <c r="F12" s="373"/>
      <c r="G12" s="378"/>
      <c r="H12" s="379"/>
      <c r="I12" s="379"/>
      <c r="J12" s="379"/>
      <c r="K12" s="379"/>
      <c r="L12" s="379"/>
      <c r="M12" s="379"/>
      <c r="N12" s="379"/>
      <c r="O12" s="380"/>
      <c r="P12" s="360"/>
    </row>
    <row r="13" spans="1:21" ht="45.75" customHeight="1" x14ac:dyDescent="0.3">
      <c r="A13" s="361"/>
      <c r="B13" s="361"/>
      <c r="C13" s="361"/>
      <c r="D13" s="361"/>
      <c r="E13" s="361"/>
      <c r="F13" s="373"/>
      <c r="G13" s="176" t="s">
        <v>45</v>
      </c>
      <c r="H13" s="118" t="s">
        <v>46</v>
      </c>
      <c r="I13" s="367" t="s">
        <v>82</v>
      </c>
      <c r="J13" s="367"/>
      <c r="K13" s="367"/>
      <c r="L13" s="367"/>
      <c r="M13" s="367"/>
      <c r="N13" s="118" t="s">
        <v>83</v>
      </c>
      <c r="O13" s="118" t="s">
        <v>84</v>
      </c>
      <c r="P13" s="360"/>
    </row>
    <row r="14" spans="1:21" ht="17.25" customHeight="1" x14ac:dyDescent="0.3">
      <c r="A14" s="117" t="s">
        <v>13</v>
      </c>
      <c r="B14" s="117">
        <v>2</v>
      </c>
      <c r="C14" s="117" t="s">
        <v>8</v>
      </c>
      <c r="D14" s="180" t="s">
        <v>37</v>
      </c>
      <c r="E14" s="117" t="s">
        <v>9</v>
      </c>
      <c r="F14" s="134" t="s">
        <v>9</v>
      </c>
      <c r="G14" s="172" t="s">
        <v>35</v>
      </c>
      <c r="H14" s="117" t="s">
        <v>10</v>
      </c>
      <c r="I14" s="370" t="s">
        <v>36</v>
      </c>
      <c r="J14" s="370"/>
      <c r="K14" s="370"/>
      <c r="L14" s="370"/>
      <c r="M14" s="370"/>
      <c r="N14" s="117" t="s">
        <v>11</v>
      </c>
      <c r="O14" s="117" t="s">
        <v>12</v>
      </c>
      <c r="P14" s="117" t="s">
        <v>14</v>
      </c>
    </row>
    <row r="15" spans="1:21" s="10" customFormat="1" ht="25.5" customHeight="1" x14ac:dyDescent="0.3">
      <c r="A15" s="372" t="s">
        <v>144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</row>
    <row r="16" spans="1:21" s="9" customFormat="1" ht="17.399999999999999" x14ac:dyDescent="0.3">
      <c r="A16" s="374" t="s">
        <v>13</v>
      </c>
      <c r="B16" s="351" t="s">
        <v>75</v>
      </c>
      <c r="C16" s="351" t="s">
        <v>86</v>
      </c>
      <c r="D16" s="181" t="s">
        <v>2</v>
      </c>
      <c r="E16" s="127" t="e">
        <f>SUM(E18:E23)</f>
        <v>#REF!</v>
      </c>
      <c r="F16" s="135">
        <f>F17+F18+F19+F21</f>
        <v>62351242.253480002</v>
      </c>
      <c r="G16" s="174">
        <f>G17+G18+G19+G21</f>
        <v>10467394.842740001</v>
      </c>
      <c r="H16" s="127">
        <f>H17+H18+H19+H21</f>
        <v>11716606.47274</v>
      </c>
      <c r="I16" s="369">
        <f>I17+I18+I19+I21</f>
        <v>13697833.05548</v>
      </c>
      <c r="J16" s="369"/>
      <c r="K16" s="369"/>
      <c r="L16" s="369"/>
      <c r="M16" s="369"/>
      <c r="N16" s="127">
        <f t="shared" ref="N16:O16" si="0">N17+N18+N19+N21</f>
        <v>13239714.10568</v>
      </c>
      <c r="O16" s="127">
        <f t="shared" si="0"/>
        <v>13239714.10568</v>
      </c>
      <c r="P16" s="305"/>
      <c r="T16" s="45"/>
      <c r="U16" s="45"/>
    </row>
    <row r="17" spans="1:21" s="9" customFormat="1" ht="39" customHeight="1" x14ac:dyDescent="0.3">
      <c r="A17" s="374"/>
      <c r="B17" s="351"/>
      <c r="C17" s="351"/>
      <c r="D17" s="181" t="s">
        <v>40</v>
      </c>
      <c r="E17" s="128" t="e">
        <f>#REF!</f>
        <v>#REF!</v>
      </c>
      <c r="F17" s="135">
        <f>F24+F31+F45+F52+F59+F96+F106+F113+F80+F89+F66+F120+F127+F134+F141</f>
        <v>393751</v>
      </c>
      <c r="G17" s="192">
        <f>G24+G31+G45+G52+G59+G96+G106+G113+G80+G89+G66+G120+G127+G134+G141</f>
        <v>155511</v>
      </c>
      <c r="H17" s="211">
        <f>H24+H31+H45+H52+H59+H96+H106+H113+H80+H89+H66+H120+H127+H134+H141+H73</f>
        <v>239255.56</v>
      </c>
      <c r="I17" s="364">
        <f>I24+I31+I45+I52+I59+I96+I106+I113+I80+I89++I66+I120+I127+I134+I141</f>
        <v>0</v>
      </c>
      <c r="J17" s="365"/>
      <c r="K17" s="365"/>
      <c r="L17" s="365"/>
      <c r="M17" s="366"/>
      <c r="N17" s="164">
        <f t="shared" ref="N17:O17" si="1">N24+N31+N45+N52+N59+N96+N106+N113+N80+N89+N66+N120+N127+N134+N141</f>
        <v>0</v>
      </c>
      <c r="O17" s="164">
        <f t="shared" si="1"/>
        <v>0</v>
      </c>
      <c r="P17" s="305"/>
      <c r="T17" s="45"/>
      <c r="U17" s="45"/>
    </row>
    <row r="18" spans="1:21" s="9" customFormat="1" ht="39.75" customHeight="1" x14ac:dyDescent="0.3">
      <c r="A18" s="374"/>
      <c r="B18" s="351"/>
      <c r="C18" s="351"/>
      <c r="D18" s="181" t="s">
        <v>1</v>
      </c>
      <c r="E18" s="128" t="e">
        <f>E45+E53+#REF!+#REF!</f>
        <v>#REF!</v>
      </c>
      <c r="F18" s="135">
        <f t="shared" ref="F18" si="2">F25+F32+F46+F53+F60+F97+F107+F114+F81+F90+F67+F121+F128+F135+F142</f>
        <v>38770156.900820002</v>
      </c>
      <c r="G18" s="211">
        <f t="shared" ref="G18:H18" si="3">G25+G32+G46+G53+G60+G97+G107+G114+G81+G90+G67+G121+G128+G135+G142</f>
        <v>6836602.4489599997</v>
      </c>
      <c r="H18" s="211">
        <f t="shared" si="3"/>
        <v>7390098.6499100002</v>
      </c>
      <c r="I18" s="364">
        <f>I25+I32+I46+I53+I60+I97+I107+I114+I81+I90++I67+I121+I128+I135+I142+I149</f>
        <v>8192479.8019500002</v>
      </c>
      <c r="J18" s="365"/>
      <c r="K18" s="365"/>
      <c r="L18" s="365"/>
      <c r="M18" s="366"/>
      <c r="N18" s="164">
        <f t="shared" ref="N18:O18" si="4">N25+N32+N46+N53+N60+N97+N107+N114+N81+N90+N67+N121+N128+N135+N142</f>
        <v>8175905</v>
      </c>
      <c r="O18" s="164">
        <f t="shared" si="4"/>
        <v>8175905</v>
      </c>
      <c r="P18" s="305"/>
      <c r="T18" s="45"/>
      <c r="U18" s="45"/>
    </row>
    <row r="19" spans="1:21" s="9" customFormat="1" ht="58.5" customHeight="1" x14ac:dyDescent="0.3">
      <c r="A19" s="374"/>
      <c r="B19" s="351"/>
      <c r="C19" s="351"/>
      <c r="D19" s="181" t="s">
        <v>48</v>
      </c>
      <c r="E19" s="128" t="e">
        <f>E98+E108+E115+#REF!+#REF!+#REF!+#REF!+#REF!</f>
        <v>#REF!</v>
      </c>
      <c r="F19" s="135">
        <f t="shared" ref="F19" si="5">F26+F33+F47+F54+F61+F98+F108+F115+F82+F91+F68+F122+F129+F136+F143</f>
        <v>20163288.486040004</v>
      </c>
      <c r="G19" s="211">
        <f>G26+G33+G47+G54+G61+G98+G108+G115+G82+G91+G68+G122+G129+G136+G143+G40</f>
        <v>2982149.6351000001</v>
      </c>
      <c r="H19" s="211">
        <f t="shared" ref="H19:H20" si="6">H26+H33+H47+H54+H61+H98+H108+H115+H82+H91+H68+H122+H129+H136+H143</f>
        <v>3437604.9343299996</v>
      </c>
      <c r="I19" s="364">
        <f>I26+I33+I47+I54+I61+I98+I108+I115+I82+I91++I68+I122+I129+I136+I143</f>
        <v>4878264.3270500004</v>
      </c>
      <c r="J19" s="365"/>
      <c r="K19" s="365"/>
      <c r="L19" s="365"/>
      <c r="M19" s="366"/>
      <c r="N19" s="164">
        <f t="shared" ref="N19:O19" si="7">N26+N33+N47+N54+N61+N98+N108+N115+N82+N91+N68+N122+N129+N136+N143</f>
        <v>4436720.1792000001</v>
      </c>
      <c r="O19" s="164">
        <f t="shared" si="7"/>
        <v>4436720.1792000001</v>
      </c>
      <c r="P19" s="305"/>
      <c r="T19" s="45"/>
      <c r="U19" s="45"/>
    </row>
    <row r="20" spans="1:21" s="9" customFormat="1" ht="77.25" customHeight="1" x14ac:dyDescent="0.3">
      <c r="A20" s="374"/>
      <c r="B20" s="351"/>
      <c r="C20" s="351"/>
      <c r="D20" s="181" t="s">
        <v>59</v>
      </c>
      <c r="E20" s="128">
        <f>E99</f>
        <v>0</v>
      </c>
      <c r="F20" s="135">
        <f t="shared" ref="F20:F27" si="8">SUM(G20:O20)</f>
        <v>2798298</v>
      </c>
      <c r="G20" s="173">
        <f>G99+G83</f>
        <v>413035</v>
      </c>
      <c r="H20" s="211">
        <f t="shared" si="6"/>
        <v>493052</v>
      </c>
      <c r="I20" s="364">
        <f>I99+I83</f>
        <v>630737</v>
      </c>
      <c r="J20" s="365"/>
      <c r="K20" s="365"/>
      <c r="L20" s="365"/>
      <c r="M20" s="366"/>
      <c r="N20" s="128">
        <f t="shared" ref="N20:O20" si="9">N27+N34+N48+N55+N62+N99+N109+N116+N83+N92+N69+N123+N130+N137+N144</f>
        <v>630737</v>
      </c>
      <c r="O20" s="128">
        <f t="shared" si="9"/>
        <v>630737</v>
      </c>
      <c r="P20" s="305"/>
      <c r="T20" s="45"/>
      <c r="U20" s="45"/>
    </row>
    <row r="21" spans="1:21" s="9" customFormat="1" ht="30.9" customHeight="1" x14ac:dyDescent="0.3">
      <c r="A21" s="374"/>
      <c r="B21" s="351"/>
      <c r="C21" s="351"/>
      <c r="D21" s="181" t="s">
        <v>87</v>
      </c>
      <c r="E21" s="128"/>
      <c r="F21" s="135">
        <f>F27+F34+F48+F55+F62+F100+F109+F116+F84+F92</f>
        <v>3024045.86662</v>
      </c>
      <c r="G21" s="211">
        <f>G27+G34+G48+G55+G62+G100+G109+G116+G84+G92</f>
        <v>493131.75868000003</v>
      </c>
      <c r="H21" s="128">
        <f>H27+H34+H48+H55+H62+H100+H109+H116+H84+H92</f>
        <v>649647.32850000006</v>
      </c>
      <c r="I21" s="368">
        <f>I27+I34+I48+I55+I62+I100+I109+I116+I84+I92+I123+I130+I137+I144</f>
        <v>627088.92647999991</v>
      </c>
      <c r="J21" s="368"/>
      <c r="K21" s="368"/>
      <c r="L21" s="368"/>
      <c r="M21" s="368"/>
      <c r="N21" s="128">
        <f t="shared" ref="N21:O21" si="10">N27+N34+N48+N55+N62+N100+N109+N116+N84+N92</f>
        <v>627088.92647999991</v>
      </c>
      <c r="O21" s="128">
        <f t="shared" si="10"/>
        <v>627088.92647999991</v>
      </c>
      <c r="P21" s="305"/>
      <c r="T21" s="45"/>
      <c r="U21" s="45"/>
    </row>
    <row r="22" spans="1:21" s="9" customFormat="1" ht="84" x14ac:dyDescent="0.3">
      <c r="A22" s="374"/>
      <c r="B22" s="351"/>
      <c r="C22" s="351"/>
      <c r="D22" s="218" t="s">
        <v>88</v>
      </c>
      <c r="E22" s="129">
        <f>E101</f>
        <v>262352.43170000002</v>
      </c>
      <c r="F22" s="135">
        <f t="shared" si="8"/>
        <v>2902166.7026199996</v>
      </c>
      <c r="G22" s="175">
        <f>G101</f>
        <v>469940.35668000003</v>
      </c>
      <c r="H22" s="129">
        <f>H101</f>
        <v>625121.01850000001</v>
      </c>
      <c r="I22" s="371">
        <f>I101</f>
        <v>602368.44247999997</v>
      </c>
      <c r="J22" s="371"/>
      <c r="K22" s="371"/>
      <c r="L22" s="371"/>
      <c r="M22" s="371"/>
      <c r="N22" s="129">
        <f>N101</f>
        <v>602368.44247999997</v>
      </c>
      <c r="O22" s="129">
        <f>O101</f>
        <v>602368.44247999997</v>
      </c>
      <c r="P22" s="305"/>
      <c r="T22" s="45"/>
      <c r="U22" s="45"/>
    </row>
    <row r="23" spans="1:21" s="9" customFormat="1" ht="69.599999999999994" x14ac:dyDescent="0.3">
      <c r="A23" s="374"/>
      <c r="B23" s="351"/>
      <c r="C23" s="351"/>
      <c r="D23" s="182" t="s">
        <v>89</v>
      </c>
      <c r="E23" s="129">
        <f>E102</f>
        <v>8751.5480000000007</v>
      </c>
      <c r="F23" s="135">
        <f t="shared" si="8"/>
        <v>121879.16399999999</v>
      </c>
      <c r="G23" s="175">
        <f>G102+G85</f>
        <v>23191.402000000002</v>
      </c>
      <c r="H23" s="129">
        <f>H102+H85</f>
        <v>24526.31</v>
      </c>
      <c r="I23" s="371">
        <f>I102+I85</f>
        <v>24720.484</v>
      </c>
      <c r="J23" s="371"/>
      <c r="K23" s="371"/>
      <c r="L23" s="371"/>
      <c r="M23" s="371"/>
      <c r="N23" s="129">
        <f>N102+N85</f>
        <v>24720.484</v>
      </c>
      <c r="O23" s="129">
        <f>O102+O85</f>
        <v>24720.484</v>
      </c>
      <c r="P23" s="305"/>
      <c r="T23" s="45"/>
      <c r="U23" s="45"/>
    </row>
    <row r="24" spans="1:21" s="212" customFormat="1" ht="36.75" customHeight="1" x14ac:dyDescent="0.3">
      <c r="A24" s="316" t="s">
        <v>26</v>
      </c>
      <c r="B24" s="349" t="s">
        <v>126</v>
      </c>
      <c r="C24" s="318" t="s">
        <v>45</v>
      </c>
      <c r="D24" s="183" t="s">
        <v>40</v>
      </c>
      <c r="E24" s="120">
        <v>0</v>
      </c>
      <c r="F24" s="231">
        <f t="shared" si="8"/>
        <v>0</v>
      </c>
      <c r="G24" s="120">
        <v>0</v>
      </c>
      <c r="H24" s="120">
        <v>0</v>
      </c>
      <c r="I24" s="281">
        <v>0</v>
      </c>
      <c r="J24" s="281"/>
      <c r="K24" s="281"/>
      <c r="L24" s="281"/>
      <c r="M24" s="281"/>
      <c r="N24" s="120">
        <v>0</v>
      </c>
      <c r="O24" s="120">
        <v>0</v>
      </c>
      <c r="P24" s="295" t="s">
        <v>200</v>
      </c>
    </row>
    <row r="25" spans="1:21" s="212" customFormat="1" ht="34.799999999999997" x14ac:dyDescent="0.3">
      <c r="A25" s="316"/>
      <c r="B25" s="349"/>
      <c r="C25" s="318"/>
      <c r="D25" s="183" t="s">
        <v>1</v>
      </c>
      <c r="E25" s="120"/>
      <c r="F25" s="231">
        <f t="shared" si="8"/>
        <v>0</v>
      </c>
      <c r="G25" s="120">
        <v>0</v>
      </c>
      <c r="H25" s="120">
        <v>0</v>
      </c>
      <c r="I25" s="281">
        <v>0</v>
      </c>
      <c r="J25" s="281"/>
      <c r="K25" s="281"/>
      <c r="L25" s="281"/>
      <c r="M25" s="281"/>
      <c r="N25" s="120">
        <v>0</v>
      </c>
      <c r="O25" s="120">
        <v>0</v>
      </c>
      <c r="P25" s="295"/>
    </row>
    <row r="26" spans="1:21" s="212" customFormat="1" ht="54" customHeight="1" x14ac:dyDescent="0.3">
      <c r="A26" s="316"/>
      <c r="B26" s="349"/>
      <c r="C26" s="318"/>
      <c r="D26" s="183" t="s">
        <v>48</v>
      </c>
      <c r="E26" s="120">
        <v>0</v>
      </c>
      <c r="F26" s="231">
        <f t="shared" si="8"/>
        <v>201567.54709000001</v>
      </c>
      <c r="G26" s="120">
        <v>201567.54709000001</v>
      </c>
      <c r="H26" s="120">
        <v>0</v>
      </c>
      <c r="I26" s="281">
        <f>4921.09299-4921.09299</f>
        <v>0</v>
      </c>
      <c r="J26" s="281"/>
      <c r="K26" s="281"/>
      <c r="L26" s="281"/>
      <c r="M26" s="281"/>
      <c r="N26" s="120">
        <f>200000-200000</f>
        <v>0</v>
      </c>
      <c r="O26" s="120">
        <f>200000-200000</f>
        <v>0</v>
      </c>
      <c r="P26" s="295"/>
      <c r="Q26" s="213"/>
    </row>
    <row r="27" spans="1:21" s="212" customFormat="1" ht="33.75" customHeight="1" x14ac:dyDescent="0.3">
      <c r="A27" s="316"/>
      <c r="B27" s="349"/>
      <c r="C27" s="318"/>
      <c r="D27" s="183" t="s">
        <v>87</v>
      </c>
      <c r="E27" s="120"/>
      <c r="F27" s="231">
        <f t="shared" si="8"/>
        <v>0</v>
      </c>
      <c r="G27" s="120">
        <v>0</v>
      </c>
      <c r="H27" s="120">
        <v>0</v>
      </c>
      <c r="I27" s="281">
        <v>0</v>
      </c>
      <c r="J27" s="281"/>
      <c r="K27" s="281"/>
      <c r="L27" s="281"/>
      <c r="M27" s="281"/>
      <c r="N27" s="120">
        <v>0</v>
      </c>
      <c r="O27" s="120">
        <v>0</v>
      </c>
      <c r="P27" s="295"/>
      <c r="Q27" s="213"/>
    </row>
    <row r="28" spans="1:21" s="212" customFormat="1" ht="26.25" customHeight="1" x14ac:dyDescent="0.3">
      <c r="A28" s="316"/>
      <c r="B28" s="286" t="s">
        <v>187</v>
      </c>
      <c r="C28" s="288" t="s">
        <v>116</v>
      </c>
      <c r="D28" s="289" t="s">
        <v>116</v>
      </c>
      <c r="E28" s="228"/>
      <c r="F28" s="323" t="s">
        <v>117</v>
      </c>
      <c r="G28" s="227" t="s">
        <v>234</v>
      </c>
      <c r="H28" s="227" t="s">
        <v>235</v>
      </c>
      <c r="I28" s="283" t="s">
        <v>123</v>
      </c>
      <c r="J28" s="284" t="s">
        <v>118</v>
      </c>
      <c r="K28" s="284"/>
      <c r="L28" s="284"/>
      <c r="M28" s="284"/>
      <c r="N28" s="227" t="s">
        <v>124</v>
      </c>
      <c r="O28" s="227" t="s">
        <v>125</v>
      </c>
      <c r="P28" s="295" t="s">
        <v>116</v>
      </c>
      <c r="Q28" s="213"/>
    </row>
    <row r="29" spans="1:21" s="212" customFormat="1" ht="24" customHeight="1" x14ac:dyDescent="0.3">
      <c r="A29" s="316"/>
      <c r="B29" s="286"/>
      <c r="C29" s="288"/>
      <c r="D29" s="289"/>
      <c r="E29" s="228"/>
      <c r="F29" s="323"/>
      <c r="G29" s="228"/>
      <c r="H29" s="228"/>
      <c r="I29" s="283"/>
      <c r="J29" s="228" t="s">
        <v>119</v>
      </c>
      <c r="K29" s="228" t="s">
        <v>120</v>
      </c>
      <c r="L29" s="228" t="s">
        <v>121</v>
      </c>
      <c r="M29" s="228" t="s">
        <v>122</v>
      </c>
      <c r="N29" s="228"/>
      <c r="O29" s="228"/>
      <c r="P29" s="295"/>
      <c r="Q29" s="213"/>
    </row>
    <row r="30" spans="1:21" s="212" customFormat="1" ht="25.5" customHeight="1" x14ac:dyDescent="0.3">
      <c r="A30" s="316"/>
      <c r="B30" s="286"/>
      <c r="C30" s="288"/>
      <c r="D30" s="289"/>
      <c r="E30" s="228"/>
      <c r="F30" s="121">
        <f>I30+H30+N30+O30+G30</f>
        <v>1</v>
      </c>
      <c r="G30" s="249">
        <v>1</v>
      </c>
      <c r="H30" s="249">
        <v>0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95"/>
      <c r="Q30" s="213"/>
    </row>
    <row r="31" spans="1:21" s="212" customFormat="1" ht="36.75" customHeight="1" x14ac:dyDescent="0.3">
      <c r="A31" s="354" t="s">
        <v>27</v>
      </c>
      <c r="B31" s="386" t="s">
        <v>127</v>
      </c>
      <c r="C31" s="350" t="s">
        <v>86</v>
      </c>
      <c r="D31" s="184" t="s">
        <v>40</v>
      </c>
      <c r="E31" s="231">
        <v>750</v>
      </c>
      <c r="F31" s="231">
        <f t="shared" ref="F31:F34" si="11">SUM(G31:O31)</f>
        <v>0</v>
      </c>
      <c r="G31" s="231">
        <v>0</v>
      </c>
      <c r="H31" s="231">
        <v>0</v>
      </c>
      <c r="I31" s="285">
        <v>0</v>
      </c>
      <c r="J31" s="285"/>
      <c r="K31" s="285"/>
      <c r="L31" s="285"/>
      <c r="M31" s="285"/>
      <c r="N31" s="231">
        <v>0</v>
      </c>
      <c r="O31" s="231">
        <v>0</v>
      </c>
      <c r="P31" s="303" t="s">
        <v>199</v>
      </c>
    </row>
    <row r="32" spans="1:21" s="212" customFormat="1" ht="34.799999999999997" x14ac:dyDescent="0.3">
      <c r="A32" s="354"/>
      <c r="B32" s="386"/>
      <c r="C32" s="350"/>
      <c r="D32" s="184" t="s">
        <v>1</v>
      </c>
      <c r="E32" s="231"/>
      <c r="F32" s="231">
        <f t="shared" si="11"/>
        <v>0</v>
      </c>
      <c r="G32" s="231">
        <v>0</v>
      </c>
      <c r="H32" s="231">
        <v>0</v>
      </c>
      <c r="I32" s="285">
        <v>0</v>
      </c>
      <c r="J32" s="285"/>
      <c r="K32" s="285"/>
      <c r="L32" s="285"/>
      <c r="M32" s="285"/>
      <c r="N32" s="231">
        <v>0</v>
      </c>
      <c r="O32" s="231">
        <v>0</v>
      </c>
      <c r="P32" s="303"/>
    </row>
    <row r="33" spans="1:17" s="212" customFormat="1" ht="50.25" customHeight="1" x14ac:dyDescent="0.3">
      <c r="A33" s="354"/>
      <c r="B33" s="386"/>
      <c r="C33" s="350"/>
      <c r="D33" s="184" t="s">
        <v>48</v>
      </c>
      <c r="E33" s="231">
        <v>7541.03</v>
      </c>
      <c r="F33" s="231">
        <f t="shared" si="11"/>
        <v>1541371.23804</v>
      </c>
      <c r="G33" s="231">
        <v>286365.54175999999</v>
      </c>
      <c r="H33" s="231">
        <v>288191.69627999997</v>
      </c>
      <c r="I33" s="331">
        <f>322346-224</f>
        <v>322122</v>
      </c>
      <c r="J33" s="331"/>
      <c r="K33" s="331"/>
      <c r="L33" s="331"/>
      <c r="M33" s="331"/>
      <c r="N33" s="231">
        <v>322346</v>
      </c>
      <c r="O33" s="231">
        <v>322346</v>
      </c>
      <c r="P33" s="303"/>
    </row>
    <row r="34" spans="1:17" s="212" customFormat="1" ht="33" customHeight="1" x14ac:dyDescent="0.3">
      <c r="A34" s="354"/>
      <c r="B34" s="386"/>
      <c r="C34" s="350"/>
      <c r="D34" s="184" t="s">
        <v>87</v>
      </c>
      <c r="E34" s="231"/>
      <c r="F34" s="231">
        <f t="shared" si="11"/>
        <v>0</v>
      </c>
      <c r="G34" s="231">
        <v>0</v>
      </c>
      <c r="H34" s="231">
        <v>0</v>
      </c>
      <c r="I34" s="285">
        <v>0</v>
      </c>
      <c r="J34" s="285"/>
      <c r="K34" s="285"/>
      <c r="L34" s="285"/>
      <c r="M34" s="285"/>
      <c r="N34" s="231">
        <v>0</v>
      </c>
      <c r="O34" s="231">
        <v>0</v>
      </c>
      <c r="P34" s="303"/>
    </row>
    <row r="35" spans="1:17" s="212" customFormat="1" ht="26.25" customHeight="1" x14ac:dyDescent="0.3">
      <c r="A35" s="354"/>
      <c r="B35" s="286" t="s">
        <v>179</v>
      </c>
      <c r="C35" s="288" t="s">
        <v>116</v>
      </c>
      <c r="D35" s="289" t="s">
        <v>116</v>
      </c>
      <c r="E35" s="228"/>
      <c r="F35" s="323" t="s">
        <v>117</v>
      </c>
      <c r="G35" s="227" t="s">
        <v>234</v>
      </c>
      <c r="H35" s="227" t="s">
        <v>235</v>
      </c>
      <c r="I35" s="283" t="s">
        <v>123</v>
      </c>
      <c r="J35" s="284" t="s">
        <v>118</v>
      </c>
      <c r="K35" s="284"/>
      <c r="L35" s="284"/>
      <c r="M35" s="284"/>
      <c r="N35" s="227" t="s">
        <v>124</v>
      </c>
      <c r="O35" s="227" t="s">
        <v>125</v>
      </c>
      <c r="P35" s="295" t="s">
        <v>116</v>
      </c>
      <c r="Q35" s="213"/>
    </row>
    <row r="36" spans="1:17" s="212" customFormat="1" ht="17.25" customHeight="1" x14ac:dyDescent="0.3">
      <c r="A36" s="354"/>
      <c r="B36" s="286"/>
      <c r="C36" s="288"/>
      <c r="D36" s="289"/>
      <c r="E36" s="228"/>
      <c r="F36" s="323"/>
      <c r="G36" s="228"/>
      <c r="H36" s="228"/>
      <c r="I36" s="283"/>
      <c r="J36" s="228" t="s">
        <v>119</v>
      </c>
      <c r="K36" s="228" t="s">
        <v>120</v>
      </c>
      <c r="L36" s="228" t="s">
        <v>121</v>
      </c>
      <c r="M36" s="228" t="s">
        <v>122</v>
      </c>
      <c r="N36" s="228"/>
      <c r="O36" s="228"/>
      <c r="P36" s="295"/>
      <c r="Q36" s="213"/>
    </row>
    <row r="37" spans="1:17" s="212" customFormat="1" ht="30" customHeight="1" x14ac:dyDescent="0.3">
      <c r="A37" s="354"/>
      <c r="B37" s="286"/>
      <c r="C37" s="288"/>
      <c r="D37" s="289"/>
      <c r="E37" s="228"/>
      <c r="F37" s="121">
        <v>100</v>
      </c>
      <c r="G37" s="249">
        <v>100</v>
      </c>
      <c r="H37" s="249">
        <v>100</v>
      </c>
      <c r="I37" s="249">
        <v>100</v>
      </c>
      <c r="J37" s="249">
        <v>100</v>
      </c>
      <c r="K37" s="249">
        <v>100</v>
      </c>
      <c r="L37" s="249">
        <v>100</v>
      </c>
      <c r="M37" s="249">
        <v>100</v>
      </c>
      <c r="N37" s="249">
        <v>100</v>
      </c>
      <c r="O37" s="249">
        <v>100</v>
      </c>
      <c r="P37" s="295"/>
      <c r="Q37" s="213"/>
    </row>
    <row r="38" spans="1:17" s="212" customFormat="1" ht="36.75" customHeight="1" x14ac:dyDescent="0.3">
      <c r="A38" s="354" t="s">
        <v>28</v>
      </c>
      <c r="B38" s="386" t="s">
        <v>191</v>
      </c>
      <c r="C38" s="350" t="s">
        <v>45</v>
      </c>
      <c r="D38" s="184" t="s">
        <v>40</v>
      </c>
      <c r="E38" s="231">
        <v>750</v>
      </c>
      <c r="F38" s="231">
        <f>SUM(G38:O38)</f>
        <v>0</v>
      </c>
      <c r="G38" s="231">
        <v>0</v>
      </c>
      <c r="H38" s="231">
        <v>0</v>
      </c>
      <c r="I38" s="285">
        <v>0</v>
      </c>
      <c r="J38" s="285"/>
      <c r="K38" s="285"/>
      <c r="L38" s="285"/>
      <c r="M38" s="285"/>
      <c r="N38" s="231">
        <v>0</v>
      </c>
      <c r="O38" s="231">
        <v>0</v>
      </c>
      <c r="P38" s="303" t="s">
        <v>3</v>
      </c>
    </row>
    <row r="39" spans="1:17" s="212" customFormat="1" ht="34.799999999999997" x14ac:dyDescent="0.3">
      <c r="A39" s="354"/>
      <c r="B39" s="386"/>
      <c r="C39" s="350"/>
      <c r="D39" s="184" t="s">
        <v>1</v>
      </c>
      <c r="E39" s="231"/>
      <c r="F39" s="231">
        <f>SUM(G39:O39)</f>
        <v>0</v>
      </c>
      <c r="G39" s="231">
        <v>0</v>
      </c>
      <c r="H39" s="231">
        <v>0</v>
      </c>
      <c r="I39" s="285">
        <v>0</v>
      </c>
      <c r="J39" s="285"/>
      <c r="K39" s="285"/>
      <c r="L39" s="285"/>
      <c r="M39" s="285"/>
      <c r="N39" s="231">
        <v>0</v>
      </c>
      <c r="O39" s="231">
        <v>0</v>
      </c>
      <c r="P39" s="303"/>
    </row>
    <row r="40" spans="1:17" s="212" customFormat="1" ht="55.5" customHeight="1" x14ac:dyDescent="0.3">
      <c r="A40" s="354"/>
      <c r="B40" s="386"/>
      <c r="C40" s="350"/>
      <c r="D40" s="184" t="s">
        <v>48</v>
      </c>
      <c r="E40" s="231">
        <v>7541.03</v>
      </c>
      <c r="F40" s="231">
        <f>SUM(G40:O40)</f>
        <v>8170.7688399999997</v>
      </c>
      <c r="G40" s="231">
        <v>8170.7688399999997</v>
      </c>
      <c r="H40" s="231">
        <v>0</v>
      </c>
      <c r="I40" s="285">
        <v>0</v>
      </c>
      <c r="J40" s="285"/>
      <c r="K40" s="285"/>
      <c r="L40" s="285"/>
      <c r="M40" s="285"/>
      <c r="N40" s="231">
        <v>0</v>
      </c>
      <c r="O40" s="231">
        <v>0</v>
      </c>
      <c r="P40" s="303"/>
    </row>
    <row r="41" spans="1:17" s="212" customFormat="1" ht="43.5" customHeight="1" x14ac:dyDescent="0.3">
      <c r="A41" s="354"/>
      <c r="B41" s="386"/>
      <c r="C41" s="350"/>
      <c r="D41" s="184" t="s">
        <v>87</v>
      </c>
      <c r="E41" s="231"/>
      <c r="F41" s="231">
        <f>SUM(G41:O41)</f>
        <v>0</v>
      </c>
      <c r="G41" s="231">
        <v>0</v>
      </c>
      <c r="H41" s="231">
        <v>0</v>
      </c>
      <c r="I41" s="285">
        <v>0</v>
      </c>
      <c r="J41" s="285"/>
      <c r="K41" s="285"/>
      <c r="L41" s="285"/>
      <c r="M41" s="285"/>
      <c r="N41" s="231">
        <v>0</v>
      </c>
      <c r="O41" s="231">
        <v>0</v>
      </c>
      <c r="P41" s="303"/>
    </row>
    <row r="42" spans="1:17" s="212" customFormat="1" ht="31.5" customHeight="1" x14ac:dyDescent="0.3">
      <c r="A42" s="354"/>
      <c r="B42" s="286" t="s">
        <v>193</v>
      </c>
      <c r="C42" s="288" t="s">
        <v>116</v>
      </c>
      <c r="D42" s="289" t="s">
        <v>116</v>
      </c>
      <c r="E42" s="228"/>
      <c r="F42" s="323" t="s">
        <v>117</v>
      </c>
      <c r="G42" s="227" t="s">
        <v>234</v>
      </c>
      <c r="H42" s="227" t="s">
        <v>235</v>
      </c>
      <c r="I42" s="283" t="s">
        <v>123</v>
      </c>
      <c r="J42" s="284" t="s">
        <v>118</v>
      </c>
      <c r="K42" s="284"/>
      <c r="L42" s="284"/>
      <c r="M42" s="284"/>
      <c r="N42" s="227" t="s">
        <v>124</v>
      </c>
      <c r="O42" s="227" t="s">
        <v>125</v>
      </c>
      <c r="P42" s="295" t="s">
        <v>116</v>
      </c>
      <c r="Q42" s="213"/>
    </row>
    <row r="43" spans="1:17" s="212" customFormat="1" ht="27" customHeight="1" x14ac:dyDescent="0.3">
      <c r="A43" s="354"/>
      <c r="B43" s="286"/>
      <c r="C43" s="288"/>
      <c r="D43" s="289"/>
      <c r="E43" s="228"/>
      <c r="F43" s="323"/>
      <c r="G43" s="228"/>
      <c r="H43" s="228"/>
      <c r="I43" s="283"/>
      <c r="J43" s="228" t="s">
        <v>119</v>
      </c>
      <c r="K43" s="228" t="s">
        <v>120</v>
      </c>
      <c r="L43" s="228" t="s">
        <v>121</v>
      </c>
      <c r="M43" s="228" t="s">
        <v>122</v>
      </c>
      <c r="N43" s="228"/>
      <c r="O43" s="228"/>
      <c r="P43" s="295"/>
      <c r="Q43" s="213"/>
    </row>
    <row r="44" spans="1:17" s="212" customFormat="1" ht="37.799999999999997" customHeight="1" x14ac:dyDescent="0.3">
      <c r="A44" s="354"/>
      <c r="B44" s="286"/>
      <c r="C44" s="288"/>
      <c r="D44" s="289"/>
      <c r="E44" s="228"/>
      <c r="F44" s="121">
        <f>I44+H44+G44+N44+O44</f>
        <v>5</v>
      </c>
      <c r="G44" s="249">
        <v>5</v>
      </c>
      <c r="H44" s="249">
        <v>0</v>
      </c>
      <c r="I44" s="249">
        <v>0</v>
      </c>
      <c r="J44" s="249">
        <v>0</v>
      </c>
      <c r="K44" s="249">
        <v>0</v>
      </c>
      <c r="L44" s="249">
        <v>0</v>
      </c>
      <c r="M44" s="249">
        <v>0</v>
      </c>
      <c r="N44" s="249">
        <v>0</v>
      </c>
      <c r="O44" s="249">
        <v>0</v>
      </c>
      <c r="P44" s="295"/>
      <c r="Q44" s="213"/>
    </row>
    <row r="45" spans="1:17" s="212" customFormat="1" ht="58.8" customHeight="1" x14ac:dyDescent="0.3">
      <c r="A45" s="388" t="s">
        <v>29</v>
      </c>
      <c r="B45" s="352" t="s">
        <v>128</v>
      </c>
      <c r="C45" s="350" t="s">
        <v>86</v>
      </c>
      <c r="D45" s="184" t="s">
        <v>40</v>
      </c>
      <c r="E45" s="231">
        <v>2978099</v>
      </c>
      <c r="F45" s="231">
        <f t="shared" ref="F45:F48" si="12">SUM(G45:O45)</f>
        <v>393751</v>
      </c>
      <c r="G45" s="231">
        <v>155511</v>
      </c>
      <c r="H45" s="231">
        <v>238240</v>
      </c>
      <c r="I45" s="285">
        <v>0</v>
      </c>
      <c r="J45" s="285"/>
      <c r="K45" s="285"/>
      <c r="L45" s="285"/>
      <c r="M45" s="285"/>
      <c r="N45" s="231">
        <v>0</v>
      </c>
      <c r="O45" s="231">
        <v>0</v>
      </c>
      <c r="P45" s="303" t="s">
        <v>3</v>
      </c>
    </row>
    <row r="46" spans="1:17" s="212" customFormat="1" ht="63" customHeight="1" x14ac:dyDescent="0.3">
      <c r="A46" s="388"/>
      <c r="B46" s="352"/>
      <c r="C46" s="350"/>
      <c r="D46" s="184" t="s">
        <v>1</v>
      </c>
      <c r="E46" s="231"/>
      <c r="F46" s="231">
        <f t="shared" si="12"/>
        <v>34191053.900820002</v>
      </c>
      <c r="G46" s="231">
        <v>6267494.4489599997</v>
      </c>
      <c r="H46" s="231">
        <v>6748050.6499100002</v>
      </c>
      <c r="I46" s="285">
        <f>7058303+599.80195</f>
        <v>7058902.8019500002</v>
      </c>
      <c r="J46" s="285"/>
      <c r="K46" s="285"/>
      <c r="L46" s="285"/>
      <c r="M46" s="285"/>
      <c r="N46" s="231">
        <v>7058303</v>
      </c>
      <c r="O46" s="231">
        <v>7058303</v>
      </c>
      <c r="P46" s="303"/>
    </row>
    <row r="47" spans="1:17" s="212" customFormat="1" ht="71.25" customHeight="1" x14ac:dyDescent="0.3">
      <c r="A47" s="388"/>
      <c r="B47" s="352"/>
      <c r="C47" s="350"/>
      <c r="D47" s="184" t="s">
        <v>48</v>
      </c>
      <c r="E47" s="231"/>
      <c r="F47" s="231">
        <f t="shared" si="12"/>
        <v>0</v>
      </c>
      <c r="G47" s="231">
        <v>0</v>
      </c>
      <c r="H47" s="231">
        <v>0</v>
      </c>
      <c r="I47" s="285">
        <v>0</v>
      </c>
      <c r="J47" s="285"/>
      <c r="K47" s="285"/>
      <c r="L47" s="285"/>
      <c r="M47" s="285"/>
      <c r="N47" s="231">
        <v>0</v>
      </c>
      <c r="O47" s="231">
        <v>0</v>
      </c>
      <c r="P47" s="303"/>
    </row>
    <row r="48" spans="1:17" s="212" customFormat="1" ht="34.799999999999997" x14ac:dyDescent="0.3">
      <c r="A48" s="388"/>
      <c r="B48" s="352"/>
      <c r="C48" s="350"/>
      <c r="D48" s="184" t="s">
        <v>87</v>
      </c>
      <c r="E48" s="231"/>
      <c r="F48" s="231">
        <f t="shared" si="12"/>
        <v>0</v>
      </c>
      <c r="G48" s="231">
        <v>0</v>
      </c>
      <c r="H48" s="231">
        <v>0</v>
      </c>
      <c r="I48" s="285">
        <v>0</v>
      </c>
      <c r="J48" s="285"/>
      <c r="K48" s="285"/>
      <c r="L48" s="285"/>
      <c r="M48" s="285"/>
      <c r="N48" s="231">
        <v>0</v>
      </c>
      <c r="O48" s="231">
        <v>0</v>
      </c>
      <c r="P48" s="303"/>
    </row>
    <row r="49" spans="1:17" s="212" customFormat="1" ht="34.5" customHeight="1" x14ac:dyDescent="0.3">
      <c r="A49" s="388"/>
      <c r="B49" s="286" t="s">
        <v>150</v>
      </c>
      <c r="C49" s="288" t="s">
        <v>116</v>
      </c>
      <c r="D49" s="289" t="s">
        <v>116</v>
      </c>
      <c r="E49" s="228"/>
      <c r="F49" s="323" t="s">
        <v>117</v>
      </c>
      <c r="G49" s="227" t="s">
        <v>234</v>
      </c>
      <c r="H49" s="227" t="s">
        <v>235</v>
      </c>
      <c r="I49" s="283" t="s">
        <v>123</v>
      </c>
      <c r="J49" s="284" t="s">
        <v>118</v>
      </c>
      <c r="K49" s="284"/>
      <c r="L49" s="284"/>
      <c r="M49" s="284"/>
      <c r="N49" s="227" t="s">
        <v>124</v>
      </c>
      <c r="O49" s="227" t="s">
        <v>125</v>
      </c>
      <c r="P49" s="295" t="s">
        <v>116</v>
      </c>
      <c r="Q49" s="213"/>
    </row>
    <row r="50" spans="1:17" s="212" customFormat="1" ht="28.5" customHeight="1" x14ac:dyDescent="0.3">
      <c r="A50" s="388"/>
      <c r="B50" s="286"/>
      <c r="C50" s="288"/>
      <c r="D50" s="289"/>
      <c r="E50" s="228"/>
      <c r="F50" s="323"/>
      <c r="G50" s="228"/>
      <c r="H50" s="228"/>
      <c r="I50" s="283"/>
      <c r="J50" s="228" t="s">
        <v>119</v>
      </c>
      <c r="K50" s="228" t="s">
        <v>120</v>
      </c>
      <c r="L50" s="228" t="s">
        <v>121</v>
      </c>
      <c r="M50" s="228" t="s">
        <v>122</v>
      </c>
      <c r="N50" s="228"/>
      <c r="O50" s="228"/>
      <c r="P50" s="295"/>
      <c r="Q50" s="213"/>
    </row>
    <row r="51" spans="1:17" s="212" customFormat="1" ht="72" customHeight="1" x14ac:dyDescent="0.3">
      <c r="A51" s="388"/>
      <c r="B51" s="286"/>
      <c r="C51" s="288"/>
      <c r="D51" s="289"/>
      <c r="E51" s="228"/>
      <c r="F51" s="121">
        <v>100</v>
      </c>
      <c r="G51" s="249">
        <v>100</v>
      </c>
      <c r="H51" s="249">
        <v>100</v>
      </c>
      <c r="I51" s="249">
        <v>100</v>
      </c>
      <c r="J51" s="249">
        <v>100</v>
      </c>
      <c r="K51" s="249">
        <v>100</v>
      </c>
      <c r="L51" s="249">
        <v>100</v>
      </c>
      <c r="M51" s="249">
        <v>100</v>
      </c>
      <c r="N51" s="249">
        <v>100</v>
      </c>
      <c r="O51" s="249">
        <v>100</v>
      </c>
      <c r="P51" s="295"/>
      <c r="Q51" s="213"/>
    </row>
    <row r="52" spans="1:17" s="212" customFormat="1" ht="46.5" customHeight="1" x14ac:dyDescent="0.3">
      <c r="A52" s="354" t="s">
        <v>56</v>
      </c>
      <c r="B52" s="390" t="s">
        <v>229</v>
      </c>
      <c r="C52" s="350" t="s">
        <v>86</v>
      </c>
      <c r="D52" s="184" t="s">
        <v>40</v>
      </c>
      <c r="E52" s="231"/>
      <c r="F52" s="231">
        <f t="shared" ref="F52:F55" si="13">SUM(G52:O52)</f>
        <v>0</v>
      </c>
      <c r="G52" s="231">
        <v>0</v>
      </c>
      <c r="H52" s="231">
        <v>0</v>
      </c>
      <c r="I52" s="285">
        <v>0</v>
      </c>
      <c r="J52" s="285"/>
      <c r="K52" s="285"/>
      <c r="L52" s="285"/>
      <c r="M52" s="285"/>
      <c r="N52" s="231">
        <v>0</v>
      </c>
      <c r="O52" s="231">
        <v>0</v>
      </c>
      <c r="P52" s="303" t="s">
        <v>3</v>
      </c>
    </row>
    <row r="53" spans="1:17" s="212" customFormat="1" ht="34.799999999999997" x14ac:dyDescent="0.3">
      <c r="A53" s="354"/>
      <c r="B53" s="390"/>
      <c r="C53" s="350"/>
      <c r="D53" s="184" t="s">
        <v>1</v>
      </c>
      <c r="E53" s="231">
        <v>264347</v>
      </c>
      <c r="F53" s="231">
        <f t="shared" si="13"/>
        <v>2540338</v>
      </c>
      <c r="G53" s="231">
        <v>456194</v>
      </c>
      <c r="H53" s="231">
        <v>485312</v>
      </c>
      <c r="I53" s="285">
        <v>532944</v>
      </c>
      <c r="J53" s="285"/>
      <c r="K53" s="285"/>
      <c r="L53" s="285"/>
      <c r="M53" s="285"/>
      <c r="N53" s="231">
        <v>532944</v>
      </c>
      <c r="O53" s="231">
        <v>532944</v>
      </c>
      <c r="P53" s="303"/>
    </row>
    <row r="54" spans="1:17" s="212" customFormat="1" ht="59.4" customHeight="1" x14ac:dyDescent="0.3">
      <c r="A54" s="354"/>
      <c r="B54" s="390"/>
      <c r="C54" s="350"/>
      <c r="D54" s="184" t="s">
        <v>48</v>
      </c>
      <c r="E54" s="231"/>
      <c r="F54" s="231">
        <f t="shared" si="13"/>
        <v>0</v>
      </c>
      <c r="G54" s="231">
        <v>0</v>
      </c>
      <c r="H54" s="231">
        <v>0</v>
      </c>
      <c r="I54" s="285">
        <v>0</v>
      </c>
      <c r="J54" s="285"/>
      <c r="K54" s="285"/>
      <c r="L54" s="285"/>
      <c r="M54" s="285"/>
      <c r="N54" s="231">
        <v>0</v>
      </c>
      <c r="O54" s="231">
        <v>0</v>
      </c>
      <c r="P54" s="303"/>
    </row>
    <row r="55" spans="1:17" s="212" customFormat="1" ht="69" customHeight="1" x14ac:dyDescent="0.3">
      <c r="A55" s="354"/>
      <c r="B55" s="390"/>
      <c r="C55" s="350"/>
      <c r="D55" s="184" t="s">
        <v>87</v>
      </c>
      <c r="E55" s="231"/>
      <c r="F55" s="231">
        <f t="shared" si="13"/>
        <v>0</v>
      </c>
      <c r="G55" s="231">
        <v>0</v>
      </c>
      <c r="H55" s="231">
        <v>0</v>
      </c>
      <c r="I55" s="285">
        <v>0</v>
      </c>
      <c r="J55" s="285"/>
      <c r="K55" s="285"/>
      <c r="L55" s="285"/>
      <c r="M55" s="285"/>
      <c r="N55" s="231">
        <v>0</v>
      </c>
      <c r="O55" s="231">
        <v>0</v>
      </c>
      <c r="P55" s="303"/>
    </row>
    <row r="56" spans="1:17" s="212" customFormat="1" ht="30.75" customHeight="1" x14ac:dyDescent="0.3">
      <c r="A56" s="354"/>
      <c r="B56" s="353" t="s">
        <v>151</v>
      </c>
      <c r="C56" s="288" t="s">
        <v>116</v>
      </c>
      <c r="D56" s="289" t="s">
        <v>116</v>
      </c>
      <c r="E56" s="228"/>
      <c r="F56" s="323" t="s">
        <v>117</v>
      </c>
      <c r="G56" s="227" t="s">
        <v>234</v>
      </c>
      <c r="H56" s="227" t="s">
        <v>235</v>
      </c>
      <c r="I56" s="283" t="s">
        <v>123</v>
      </c>
      <c r="J56" s="284" t="s">
        <v>118</v>
      </c>
      <c r="K56" s="284"/>
      <c r="L56" s="284"/>
      <c r="M56" s="284"/>
      <c r="N56" s="227" t="s">
        <v>124</v>
      </c>
      <c r="O56" s="227" t="s">
        <v>125</v>
      </c>
      <c r="P56" s="295" t="s">
        <v>116</v>
      </c>
      <c r="Q56" s="213"/>
    </row>
    <row r="57" spans="1:17" s="212" customFormat="1" ht="30.75" customHeight="1" x14ac:dyDescent="0.3">
      <c r="A57" s="354"/>
      <c r="B57" s="353"/>
      <c r="C57" s="288"/>
      <c r="D57" s="289"/>
      <c r="E57" s="228"/>
      <c r="F57" s="323"/>
      <c r="G57" s="228"/>
      <c r="H57" s="228"/>
      <c r="I57" s="283"/>
      <c r="J57" s="228" t="s">
        <v>119</v>
      </c>
      <c r="K57" s="228" t="s">
        <v>120</v>
      </c>
      <c r="L57" s="228" t="s">
        <v>121</v>
      </c>
      <c r="M57" s="228" t="s">
        <v>122</v>
      </c>
      <c r="N57" s="228"/>
      <c r="O57" s="228"/>
      <c r="P57" s="295"/>
      <c r="Q57" s="213"/>
    </row>
    <row r="58" spans="1:17" s="212" customFormat="1" ht="60.75" customHeight="1" x14ac:dyDescent="0.3">
      <c r="A58" s="354"/>
      <c r="B58" s="353"/>
      <c r="C58" s="288"/>
      <c r="D58" s="289"/>
      <c r="E58" s="228"/>
      <c r="F58" s="121">
        <v>100</v>
      </c>
      <c r="G58" s="121">
        <v>100</v>
      </c>
      <c r="H58" s="121">
        <v>100</v>
      </c>
      <c r="I58" s="121">
        <v>100</v>
      </c>
      <c r="J58" s="121">
        <v>100</v>
      </c>
      <c r="K58" s="121">
        <v>100</v>
      </c>
      <c r="L58" s="121">
        <v>100</v>
      </c>
      <c r="M58" s="121">
        <v>100</v>
      </c>
      <c r="N58" s="121">
        <v>100</v>
      </c>
      <c r="O58" s="121">
        <v>100</v>
      </c>
      <c r="P58" s="295"/>
      <c r="Q58" s="213"/>
    </row>
    <row r="59" spans="1:17" s="212" customFormat="1" ht="47.25" customHeight="1" x14ac:dyDescent="0.3">
      <c r="A59" s="389" t="s">
        <v>69</v>
      </c>
      <c r="B59" s="324" t="s">
        <v>129</v>
      </c>
      <c r="C59" s="325" t="s">
        <v>86</v>
      </c>
      <c r="D59" s="184" t="s">
        <v>40</v>
      </c>
      <c r="E59" s="231"/>
      <c r="F59" s="231">
        <f t="shared" ref="F59:F62" si="14">SUM(G59:O59)</f>
        <v>0</v>
      </c>
      <c r="G59" s="231">
        <v>0</v>
      </c>
      <c r="H59" s="231">
        <v>0</v>
      </c>
      <c r="I59" s="285">
        <v>0</v>
      </c>
      <c r="J59" s="285"/>
      <c r="K59" s="285"/>
      <c r="L59" s="285"/>
      <c r="M59" s="285"/>
      <c r="N59" s="231">
        <v>0</v>
      </c>
      <c r="O59" s="231">
        <v>0</v>
      </c>
      <c r="P59" s="384" t="s">
        <v>114</v>
      </c>
    </row>
    <row r="60" spans="1:17" s="212" customFormat="1" ht="34.799999999999997" x14ac:dyDescent="0.3">
      <c r="A60" s="389"/>
      <c r="B60" s="324"/>
      <c r="C60" s="325"/>
      <c r="D60" s="185" t="s">
        <v>1</v>
      </c>
      <c r="E60" s="226">
        <v>125047</v>
      </c>
      <c r="F60" s="231">
        <f t="shared" si="14"/>
        <v>458892</v>
      </c>
      <c r="G60" s="226">
        <v>112914</v>
      </c>
      <c r="H60" s="226">
        <v>92586</v>
      </c>
      <c r="I60" s="322">
        <v>84464</v>
      </c>
      <c r="J60" s="322"/>
      <c r="K60" s="322"/>
      <c r="L60" s="322"/>
      <c r="M60" s="322"/>
      <c r="N60" s="226">
        <v>84464</v>
      </c>
      <c r="O60" s="226">
        <v>84464</v>
      </c>
      <c r="P60" s="384"/>
    </row>
    <row r="61" spans="1:17" s="212" customFormat="1" ht="51.6" customHeight="1" x14ac:dyDescent="0.3">
      <c r="A61" s="389"/>
      <c r="B61" s="324"/>
      <c r="C61" s="325"/>
      <c r="D61" s="185" t="s">
        <v>48</v>
      </c>
      <c r="E61" s="226"/>
      <c r="F61" s="231">
        <f t="shared" si="14"/>
        <v>0</v>
      </c>
      <c r="G61" s="226">
        <v>0</v>
      </c>
      <c r="H61" s="226">
        <v>0</v>
      </c>
      <c r="I61" s="322">
        <v>0</v>
      </c>
      <c r="J61" s="322"/>
      <c r="K61" s="322"/>
      <c r="L61" s="322"/>
      <c r="M61" s="322"/>
      <c r="N61" s="226">
        <v>0</v>
      </c>
      <c r="O61" s="226">
        <v>0</v>
      </c>
      <c r="P61" s="384"/>
    </row>
    <row r="62" spans="1:17" s="212" customFormat="1" ht="39" customHeight="1" x14ac:dyDescent="0.3">
      <c r="A62" s="389"/>
      <c r="B62" s="324"/>
      <c r="C62" s="325"/>
      <c r="D62" s="185" t="s">
        <v>87</v>
      </c>
      <c r="E62" s="226"/>
      <c r="F62" s="231">
        <f t="shared" si="14"/>
        <v>0</v>
      </c>
      <c r="G62" s="226">
        <v>0</v>
      </c>
      <c r="H62" s="226">
        <v>0</v>
      </c>
      <c r="I62" s="322">
        <v>0</v>
      </c>
      <c r="J62" s="322"/>
      <c r="K62" s="322"/>
      <c r="L62" s="322"/>
      <c r="M62" s="322"/>
      <c r="N62" s="226">
        <v>0</v>
      </c>
      <c r="O62" s="226">
        <v>0</v>
      </c>
      <c r="P62" s="384"/>
    </row>
    <row r="63" spans="1:17" s="212" customFormat="1" ht="27" customHeight="1" x14ac:dyDescent="0.3">
      <c r="A63" s="389"/>
      <c r="B63" s="286" t="s">
        <v>152</v>
      </c>
      <c r="C63" s="288" t="s">
        <v>116</v>
      </c>
      <c r="D63" s="289" t="s">
        <v>116</v>
      </c>
      <c r="E63" s="228"/>
      <c r="F63" s="323" t="s">
        <v>117</v>
      </c>
      <c r="G63" s="227" t="s">
        <v>234</v>
      </c>
      <c r="H63" s="227" t="s">
        <v>235</v>
      </c>
      <c r="I63" s="283" t="s">
        <v>123</v>
      </c>
      <c r="J63" s="284" t="s">
        <v>118</v>
      </c>
      <c r="K63" s="284"/>
      <c r="L63" s="284"/>
      <c r="M63" s="284"/>
      <c r="N63" s="227" t="s">
        <v>124</v>
      </c>
      <c r="O63" s="227" t="s">
        <v>125</v>
      </c>
      <c r="P63" s="295" t="s">
        <v>116</v>
      </c>
      <c r="Q63" s="213"/>
    </row>
    <row r="64" spans="1:17" s="212" customFormat="1" ht="21" customHeight="1" x14ac:dyDescent="0.3">
      <c r="A64" s="389"/>
      <c r="B64" s="286"/>
      <c r="C64" s="288"/>
      <c r="D64" s="289"/>
      <c r="E64" s="228"/>
      <c r="F64" s="323"/>
      <c r="G64" s="228"/>
      <c r="H64" s="228"/>
      <c r="I64" s="283"/>
      <c r="J64" s="228" t="s">
        <v>119</v>
      </c>
      <c r="K64" s="228" t="s">
        <v>120</v>
      </c>
      <c r="L64" s="228" t="s">
        <v>121</v>
      </c>
      <c r="M64" s="228" t="s">
        <v>122</v>
      </c>
      <c r="N64" s="228"/>
      <c r="O64" s="228"/>
      <c r="P64" s="295"/>
      <c r="Q64" s="213"/>
    </row>
    <row r="65" spans="1:17" s="212" customFormat="1" ht="25.5" customHeight="1" x14ac:dyDescent="0.3">
      <c r="A65" s="389"/>
      <c r="B65" s="286"/>
      <c r="C65" s="288"/>
      <c r="D65" s="289"/>
      <c r="E65" s="228"/>
      <c r="F65" s="121">
        <v>100</v>
      </c>
      <c r="G65" s="121">
        <v>100</v>
      </c>
      <c r="H65" s="121">
        <v>100</v>
      </c>
      <c r="I65" s="121">
        <v>100</v>
      </c>
      <c r="J65" s="121">
        <v>100</v>
      </c>
      <c r="K65" s="121">
        <v>100</v>
      </c>
      <c r="L65" s="121">
        <v>100</v>
      </c>
      <c r="M65" s="121">
        <v>100</v>
      </c>
      <c r="N65" s="121">
        <v>100</v>
      </c>
      <c r="O65" s="121">
        <v>100</v>
      </c>
      <c r="P65" s="295"/>
      <c r="Q65" s="213"/>
    </row>
    <row r="66" spans="1:17" s="212" customFormat="1" ht="39" customHeight="1" x14ac:dyDescent="0.3">
      <c r="A66" s="354" t="s">
        <v>70</v>
      </c>
      <c r="B66" s="385" t="s">
        <v>255</v>
      </c>
      <c r="C66" s="350" t="s">
        <v>201</v>
      </c>
      <c r="D66" s="184" t="s">
        <v>40</v>
      </c>
      <c r="E66" s="231"/>
      <c r="F66" s="231">
        <f t="shared" ref="F66:F69" si="15">SUM(G66:O66)</f>
        <v>0</v>
      </c>
      <c r="G66" s="231">
        <v>0</v>
      </c>
      <c r="H66" s="231">
        <v>0</v>
      </c>
      <c r="I66" s="285">
        <v>0</v>
      </c>
      <c r="J66" s="285"/>
      <c r="K66" s="285"/>
      <c r="L66" s="285"/>
      <c r="M66" s="285"/>
      <c r="N66" s="231">
        <v>0</v>
      </c>
      <c r="O66" s="231">
        <v>0</v>
      </c>
      <c r="P66" s="303" t="s">
        <v>3</v>
      </c>
    </row>
    <row r="67" spans="1:17" s="212" customFormat="1" ht="34.799999999999997" x14ac:dyDescent="0.3">
      <c r="A67" s="354"/>
      <c r="B67" s="385"/>
      <c r="C67" s="350"/>
      <c r="D67" s="184" t="s">
        <v>1</v>
      </c>
      <c r="E67" s="231">
        <v>264347</v>
      </c>
      <c r="F67" s="231">
        <f t="shared" si="15"/>
        <v>80912</v>
      </c>
      <c r="G67" s="231">
        <v>0</v>
      </c>
      <c r="H67" s="231">
        <v>8150</v>
      </c>
      <c r="I67" s="285">
        <v>24254</v>
      </c>
      <c r="J67" s="285"/>
      <c r="K67" s="285"/>
      <c r="L67" s="285"/>
      <c r="M67" s="285"/>
      <c r="N67" s="231">
        <v>24254</v>
      </c>
      <c r="O67" s="231">
        <v>24254</v>
      </c>
      <c r="P67" s="303"/>
    </row>
    <row r="68" spans="1:17" s="212" customFormat="1" ht="52.2" x14ac:dyDescent="0.3">
      <c r="A68" s="354"/>
      <c r="B68" s="385"/>
      <c r="C68" s="350"/>
      <c r="D68" s="184" t="s">
        <v>48</v>
      </c>
      <c r="E68" s="231"/>
      <c r="F68" s="231">
        <f t="shared" si="15"/>
        <v>0</v>
      </c>
      <c r="G68" s="231">
        <v>0</v>
      </c>
      <c r="H68" s="231">
        <v>0</v>
      </c>
      <c r="I68" s="285">
        <v>0</v>
      </c>
      <c r="J68" s="285"/>
      <c r="K68" s="285"/>
      <c r="L68" s="285"/>
      <c r="M68" s="285"/>
      <c r="N68" s="231">
        <v>0</v>
      </c>
      <c r="O68" s="231">
        <v>0</v>
      </c>
      <c r="P68" s="303"/>
    </row>
    <row r="69" spans="1:17" s="212" customFormat="1" ht="40.5" customHeight="1" x14ac:dyDescent="0.3">
      <c r="A69" s="354"/>
      <c r="B69" s="385"/>
      <c r="C69" s="350"/>
      <c r="D69" s="184" t="s">
        <v>87</v>
      </c>
      <c r="E69" s="231"/>
      <c r="F69" s="231">
        <f t="shared" si="15"/>
        <v>0</v>
      </c>
      <c r="G69" s="231">
        <v>0</v>
      </c>
      <c r="H69" s="231">
        <v>0</v>
      </c>
      <c r="I69" s="285">
        <v>0</v>
      </c>
      <c r="J69" s="285"/>
      <c r="K69" s="285"/>
      <c r="L69" s="285"/>
      <c r="M69" s="285"/>
      <c r="N69" s="231">
        <v>0</v>
      </c>
      <c r="O69" s="231">
        <v>0</v>
      </c>
      <c r="P69" s="303"/>
    </row>
    <row r="70" spans="1:17" s="212" customFormat="1" ht="30" customHeight="1" x14ac:dyDescent="0.3">
      <c r="A70" s="354"/>
      <c r="B70" s="419" t="s">
        <v>237</v>
      </c>
      <c r="C70" s="288" t="s">
        <v>116</v>
      </c>
      <c r="D70" s="289" t="s">
        <v>116</v>
      </c>
      <c r="E70" s="228"/>
      <c r="F70" s="323" t="s">
        <v>117</v>
      </c>
      <c r="G70" s="227" t="s">
        <v>234</v>
      </c>
      <c r="H70" s="227" t="s">
        <v>235</v>
      </c>
      <c r="I70" s="283" t="s">
        <v>123</v>
      </c>
      <c r="J70" s="284" t="s">
        <v>118</v>
      </c>
      <c r="K70" s="284"/>
      <c r="L70" s="284"/>
      <c r="M70" s="284"/>
      <c r="N70" s="227" t="s">
        <v>124</v>
      </c>
      <c r="O70" s="227" t="s">
        <v>125</v>
      </c>
      <c r="P70" s="295" t="s">
        <v>116</v>
      </c>
      <c r="Q70" s="213"/>
    </row>
    <row r="71" spans="1:17" s="212" customFormat="1" ht="23.25" customHeight="1" x14ac:dyDescent="0.3">
      <c r="A71" s="354"/>
      <c r="B71" s="419"/>
      <c r="C71" s="288"/>
      <c r="D71" s="289"/>
      <c r="E71" s="228"/>
      <c r="F71" s="323"/>
      <c r="G71" s="228"/>
      <c r="H71" s="228"/>
      <c r="I71" s="283"/>
      <c r="J71" s="228" t="s">
        <v>119</v>
      </c>
      <c r="K71" s="228" t="s">
        <v>120</v>
      </c>
      <c r="L71" s="228" t="s">
        <v>121</v>
      </c>
      <c r="M71" s="228" t="s">
        <v>122</v>
      </c>
      <c r="N71" s="228"/>
      <c r="O71" s="228"/>
      <c r="P71" s="295"/>
      <c r="Q71" s="213"/>
    </row>
    <row r="72" spans="1:17" s="212" customFormat="1" ht="24" customHeight="1" x14ac:dyDescent="0.3">
      <c r="A72" s="354"/>
      <c r="B72" s="419"/>
      <c r="C72" s="288"/>
      <c r="D72" s="289"/>
      <c r="E72" s="228"/>
      <c r="F72" s="121">
        <v>100</v>
      </c>
      <c r="G72" s="121">
        <v>0</v>
      </c>
      <c r="H72" s="121">
        <v>0</v>
      </c>
      <c r="I72" s="121">
        <v>100</v>
      </c>
      <c r="J72" s="121">
        <v>100</v>
      </c>
      <c r="K72" s="121">
        <v>100</v>
      </c>
      <c r="L72" s="121">
        <v>100</v>
      </c>
      <c r="M72" s="121">
        <v>100</v>
      </c>
      <c r="N72" s="121">
        <v>100</v>
      </c>
      <c r="O72" s="121">
        <v>100</v>
      </c>
      <c r="P72" s="295"/>
      <c r="Q72" s="213"/>
    </row>
    <row r="73" spans="1:17" s="212" customFormat="1" ht="39" customHeight="1" x14ac:dyDescent="0.3">
      <c r="A73" s="354" t="s">
        <v>71</v>
      </c>
      <c r="B73" s="421" t="s">
        <v>243</v>
      </c>
      <c r="C73" s="350" t="s">
        <v>46</v>
      </c>
      <c r="D73" s="184" t="s">
        <v>40</v>
      </c>
      <c r="E73" s="231"/>
      <c r="F73" s="231">
        <f t="shared" ref="F73:F76" si="16">SUM(G73:O73)</f>
        <v>1015.56</v>
      </c>
      <c r="G73" s="231">
        <v>0</v>
      </c>
      <c r="H73" s="231">
        <v>1015.56</v>
      </c>
      <c r="I73" s="285">
        <v>0</v>
      </c>
      <c r="J73" s="285"/>
      <c r="K73" s="285"/>
      <c r="L73" s="285"/>
      <c r="M73" s="285"/>
      <c r="N73" s="231">
        <v>0</v>
      </c>
      <c r="O73" s="231">
        <v>0</v>
      </c>
      <c r="P73" s="303" t="s">
        <v>3</v>
      </c>
    </row>
    <row r="74" spans="1:17" s="212" customFormat="1" ht="34.799999999999997" x14ac:dyDescent="0.3">
      <c r="A74" s="354"/>
      <c r="B74" s="421"/>
      <c r="C74" s="350"/>
      <c r="D74" s="184" t="s">
        <v>1</v>
      </c>
      <c r="E74" s="231">
        <v>264347</v>
      </c>
      <c r="F74" s="231">
        <f t="shared" si="16"/>
        <v>0</v>
      </c>
      <c r="G74" s="231">
        <v>0</v>
      </c>
      <c r="H74" s="231">
        <v>0</v>
      </c>
      <c r="I74" s="285">
        <v>0</v>
      </c>
      <c r="J74" s="285"/>
      <c r="K74" s="285"/>
      <c r="L74" s="285"/>
      <c r="M74" s="285"/>
      <c r="N74" s="231">
        <v>0</v>
      </c>
      <c r="O74" s="231">
        <v>0</v>
      </c>
      <c r="P74" s="303"/>
    </row>
    <row r="75" spans="1:17" s="212" customFormat="1" ht="52.2" x14ac:dyDescent="0.3">
      <c r="A75" s="354"/>
      <c r="B75" s="421"/>
      <c r="C75" s="350"/>
      <c r="D75" s="184" t="s">
        <v>48</v>
      </c>
      <c r="E75" s="231"/>
      <c r="F75" s="231">
        <f t="shared" si="16"/>
        <v>0</v>
      </c>
      <c r="G75" s="231">
        <v>0</v>
      </c>
      <c r="H75" s="231">
        <v>0</v>
      </c>
      <c r="I75" s="285">
        <v>0</v>
      </c>
      <c r="J75" s="285"/>
      <c r="K75" s="285"/>
      <c r="L75" s="285"/>
      <c r="M75" s="285"/>
      <c r="N75" s="231">
        <v>0</v>
      </c>
      <c r="O75" s="231">
        <v>0</v>
      </c>
      <c r="P75" s="303"/>
    </row>
    <row r="76" spans="1:17" s="212" customFormat="1" ht="40.5" customHeight="1" x14ac:dyDescent="0.3">
      <c r="A76" s="354"/>
      <c r="B76" s="421"/>
      <c r="C76" s="350"/>
      <c r="D76" s="184" t="s">
        <v>87</v>
      </c>
      <c r="E76" s="231"/>
      <c r="F76" s="231">
        <f t="shared" si="16"/>
        <v>0</v>
      </c>
      <c r="G76" s="231">
        <v>0</v>
      </c>
      <c r="H76" s="231">
        <v>0</v>
      </c>
      <c r="I76" s="285">
        <v>0</v>
      </c>
      <c r="J76" s="285"/>
      <c r="K76" s="285"/>
      <c r="L76" s="285"/>
      <c r="M76" s="285"/>
      <c r="N76" s="231">
        <v>0</v>
      </c>
      <c r="O76" s="231">
        <v>0</v>
      </c>
      <c r="P76" s="303"/>
    </row>
    <row r="77" spans="1:17" s="212" customFormat="1" ht="30" customHeight="1" x14ac:dyDescent="0.3">
      <c r="A77" s="354"/>
      <c r="B77" s="381" t="s">
        <v>233</v>
      </c>
      <c r="C77" s="288" t="s">
        <v>116</v>
      </c>
      <c r="D77" s="289" t="s">
        <v>116</v>
      </c>
      <c r="E77" s="228"/>
      <c r="F77" s="323" t="s">
        <v>117</v>
      </c>
      <c r="G77" s="227" t="s">
        <v>234</v>
      </c>
      <c r="H77" s="227" t="s">
        <v>235</v>
      </c>
      <c r="I77" s="283" t="s">
        <v>123</v>
      </c>
      <c r="J77" s="284" t="s">
        <v>118</v>
      </c>
      <c r="K77" s="284"/>
      <c r="L77" s="284"/>
      <c r="M77" s="284"/>
      <c r="N77" s="227" t="s">
        <v>124</v>
      </c>
      <c r="O77" s="227" t="s">
        <v>125</v>
      </c>
      <c r="P77" s="295" t="s">
        <v>116</v>
      </c>
      <c r="Q77" s="213"/>
    </row>
    <row r="78" spans="1:17" s="212" customFormat="1" ht="23.25" customHeight="1" x14ac:dyDescent="0.3">
      <c r="A78" s="354"/>
      <c r="B78" s="381"/>
      <c r="C78" s="288"/>
      <c r="D78" s="289"/>
      <c r="E78" s="228"/>
      <c r="F78" s="323"/>
      <c r="G78" s="228"/>
      <c r="H78" s="228"/>
      <c r="I78" s="283"/>
      <c r="J78" s="228" t="s">
        <v>119</v>
      </c>
      <c r="K78" s="228" t="s">
        <v>120</v>
      </c>
      <c r="L78" s="228" t="s">
        <v>121</v>
      </c>
      <c r="M78" s="228" t="s">
        <v>122</v>
      </c>
      <c r="N78" s="228"/>
      <c r="O78" s="228"/>
      <c r="P78" s="295"/>
      <c r="Q78" s="213"/>
    </row>
    <row r="79" spans="1:17" s="212" customFormat="1" ht="24" customHeight="1" x14ac:dyDescent="0.3">
      <c r="A79" s="354"/>
      <c r="B79" s="381"/>
      <c r="C79" s="288"/>
      <c r="D79" s="289"/>
      <c r="E79" s="228"/>
      <c r="F79" s="121">
        <v>37</v>
      </c>
      <c r="G79" s="121">
        <v>0</v>
      </c>
      <c r="H79" s="121">
        <v>37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295"/>
      <c r="Q79" s="213"/>
    </row>
    <row r="80" spans="1:17" s="212" customFormat="1" ht="38.25" customHeight="1" x14ac:dyDescent="0.3">
      <c r="A80" s="418" t="s">
        <v>72</v>
      </c>
      <c r="B80" s="422" t="s">
        <v>133</v>
      </c>
      <c r="C80" s="387" t="s">
        <v>86</v>
      </c>
      <c r="D80" s="185" t="s">
        <v>40</v>
      </c>
      <c r="E80" s="226"/>
      <c r="F80" s="243">
        <f t="shared" ref="F80:F85" si="17">SUM(G80:O80)</f>
        <v>0</v>
      </c>
      <c r="G80" s="226">
        <v>0</v>
      </c>
      <c r="H80" s="226">
        <v>0</v>
      </c>
      <c r="I80" s="322">
        <v>0</v>
      </c>
      <c r="J80" s="322"/>
      <c r="K80" s="322"/>
      <c r="L80" s="322"/>
      <c r="M80" s="322"/>
      <c r="N80" s="226">
        <v>0</v>
      </c>
      <c r="O80" s="226">
        <v>0</v>
      </c>
      <c r="P80" s="382" t="s">
        <v>60</v>
      </c>
    </row>
    <row r="81" spans="1:17" s="212" customFormat="1" ht="37.5" customHeight="1" x14ac:dyDescent="0.3">
      <c r="A81" s="418"/>
      <c r="B81" s="422"/>
      <c r="C81" s="387"/>
      <c r="D81" s="185" t="s">
        <v>1</v>
      </c>
      <c r="E81" s="226">
        <f>943864.80836+E82</f>
        <v>1128859.5313599999</v>
      </c>
      <c r="F81" s="243">
        <f t="shared" si="17"/>
        <v>0</v>
      </c>
      <c r="G81" s="226">
        <v>0</v>
      </c>
      <c r="H81" s="226">
        <v>0</v>
      </c>
      <c r="I81" s="322">
        <v>0</v>
      </c>
      <c r="J81" s="322"/>
      <c r="K81" s="322"/>
      <c r="L81" s="322"/>
      <c r="M81" s="322"/>
      <c r="N81" s="226">
        <v>0</v>
      </c>
      <c r="O81" s="226">
        <v>0</v>
      </c>
      <c r="P81" s="382"/>
    </row>
    <row r="82" spans="1:17" s="212" customFormat="1" ht="58.5" customHeight="1" x14ac:dyDescent="0.3">
      <c r="A82" s="418"/>
      <c r="B82" s="422"/>
      <c r="C82" s="387"/>
      <c r="D82" s="250" t="s">
        <v>47</v>
      </c>
      <c r="E82" s="226">
        <v>184994.723</v>
      </c>
      <c r="F82" s="243">
        <f t="shared" si="17"/>
        <v>137852.96117</v>
      </c>
      <c r="G82" s="226">
        <v>25761.32876</v>
      </c>
      <c r="H82" s="226">
        <v>26670.039669999998</v>
      </c>
      <c r="I82" s="322">
        <f>28474-0.40726</f>
        <v>28473.59274</v>
      </c>
      <c r="J82" s="322"/>
      <c r="K82" s="322"/>
      <c r="L82" s="322"/>
      <c r="M82" s="322"/>
      <c r="N82" s="226">
        <f t="shared" ref="N82:O82" si="18">28329+145</f>
        <v>28474</v>
      </c>
      <c r="O82" s="226">
        <f t="shared" si="18"/>
        <v>28474</v>
      </c>
      <c r="P82" s="382"/>
    </row>
    <row r="83" spans="1:17" s="212" customFormat="1" ht="69.599999999999994" x14ac:dyDescent="0.3">
      <c r="A83" s="418"/>
      <c r="B83" s="422"/>
      <c r="C83" s="387"/>
      <c r="D83" s="250" t="s">
        <v>59</v>
      </c>
      <c r="E83" s="226">
        <v>56075.205379999999</v>
      </c>
      <c r="F83" s="243">
        <f t="shared" si="17"/>
        <v>3564.0839999999998</v>
      </c>
      <c r="G83" s="122">
        <v>526.08399999999995</v>
      </c>
      <c r="H83" s="122">
        <v>608</v>
      </c>
      <c r="I83" s="355">
        <v>810</v>
      </c>
      <c r="J83" s="355"/>
      <c r="K83" s="355"/>
      <c r="L83" s="355"/>
      <c r="M83" s="355"/>
      <c r="N83" s="122">
        <v>810</v>
      </c>
      <c r="O83" s="122">
        <v>810</v>
      </c>
      <c r="P83" s="382"/>
    </row>
    <row r="84" spans="1:17" s="212" customFormat="1" ht="34.799999999999997" x14ac:dyDescent="0.3">
      <c r="A84" s="418"/>
      <c r="B84" s="422"/>
      <c r="C84" s="387"/>
      <c r="D84" s="250" t="s">
        <v>87</v>
      </c>
      <c r="E84" s="226"/>
      <c r="F84" s="243">
        <f t="shared" si="17"/>
        <v>151.36000000000001</v>
      </c>
      <c r="G84" s="226">
        <f t="shared" ref="G84" si="19">G85</f>
        <v>35.840000000000003</v>
      </c>
      <c r="H84" s="226">
        <f>H85</f>
        <v>31.616</v>
      </c>
      <c r="I84" s="322">
        <f>I85</f>
        <v>27.968</v>
      </c>
      <c r="J84" s="322"/>
      <c r="K84" s="322"/>
      <c r="L84" s="322"/>
      <c r="M84" s="322"/>
      <c r="N84" s="226">
        <f t="shared" ref="N84:O84" si="20">N85</f>
        <v>27.968</v>
      </c>
      <c r="O84" s="226">
        <f t="shared" si="20"/>
        <v>27.968</v>
      </c>
      <c r="P84" s="382"/>
    </row>
    <row r="85" spans="1:17" s="212" customFormat="1" ht="69.599999999999994" x14ac:dyDescent="0.3">
      <c r="A85" s="418"/>
      <c r="B85" s="422"/>
      <c r="C85" s="387"/>
      <c r="D85" s="250" t="s">
        <v>89</v>
      </c>
      <c r="E85" s="226">
        <v>219815.44200000001</v>
      </c>
      <c r="F85" s="243">
        <f t="shared" si="17"/>
        <v>151.36000000000001</v>
      </c>
      <c r="G85" s="122">
        <v>35.840000000000003</v>
      </c>
      <c r="H85" s="122">
        <v>31.616</v>
      </c>
      <c r="I85" s="355">
        <v>27.968</v>
      </c>
      <c r="J85" s="355"/>
      <c r="K85" s="355"/>
      <c r="L85" s="355"/>
      <c r="M85" s="355"/>
      <c r="N85" s="122">
        <v>27.968</v>
      </c>
      <c r="O85" s="122">
        <v>27.968</v>
      </c>
      <c r="P85" s="382"/>
    </row>
    <row r="86" spans="1:17" s="212" customFormat="1" ht="27" customHeight="1" x14ac:dyDescent="0.3">
      <c r="A86" s="418"/>
      <c r="B86" s="286" t="s">
        <v>155</v>
      </c>
      <c r="C86" s="288" t="s">
        <v>116</v>
      </c>
      <c r="D86" s="289" t="s">
        <v>116</v>
      </c>
      <c r="E86" s="228"/>
      <c r="F86" s="323" t="s">
        <v>117</v>
      </c>
      <c r="G86" s="227" t="s">
        <v>234</v>
      </c>
      <c r="H86" s="227" t="s">
        <v>235</v>
      </c>
      <c r="I86" s="283" t="s">
        <v>123</v>
      </c>
      <c r="J86" s="284" t="s">
        <v>118</v>
      </c>
      <c r="K86" s="284"/>
      <c r="L86" s="284"/>
      <c r="M86" s="284"/>
      <c r="N86" s="227" t="s">
        <v>124</v>
      </c>
      <c r="O86" s="227" t="s">
        <v>125</v>
      </c>
      <c r="P86" s="295" t="s">
        <v>116</v>
      </c>
      <c r="Q86" s="213"/>
    </row>
    <row r="87" spans="1:17" s="212" customFormat="1" ht="22.5" customHeight="1" x14ac:dyDescent="0.3">
      <c r="A87" s="418"/>
      <c r="B87" s="286"/>
      <c r="C87" s="288"/>
      <c r="D87" s="289"/>
      <c r="E87" s="228"/>
      <c r="F87" s="323"/>
      <c r="G87" s="228"/>
      <c r="H87" s="228"/>
      <c r="I87" s="283"/>
      <c r="J87" s="228" t="s">
        <v>119</v>
      </c>
      <c r="K87" s="228" t="s">
        <v>120</v>
      </c>
      <c r="L87" s="228" t="s">
        <v>121</v>
      </c>
      <c r="M87" s="228" t="s">
        <v>122</v>
      </c>
      <c r="N87" s="228"/>
      <c r="O87" s="228"/>
      <c r="P87" s="295"/>
      <c r="Q87" s="213"/>
    </row>
    <row r="88" spans="1:17" s="212" customFormat="1" ht="27" customHeight="1" x14ac:dyDescent="0.3">
      <c r="A88" s="418"/>
      <c r="B88" s="286"/>
      <c r="C88" s="288"/>
      <c r="D88" s="289"/>
      <c r="E88" s="228"/>
      <c r="F88" s="121">
        <v>1</v>
      </c>
      <c r="G88" s="121">
        <v>1</v>
      </c>
      <c r="H88" s="121">
        <v>1</v>
      </c>
      <c r="I88" s="121">
        <v>1</v>
      </c>
      <c r="J88" s="121">
        <v>1</v>
      </c>
      <c r="K88" s="121">
        <v>1</v>
      </c>
      <c r="L88" s="121">
        <v>1</v>
      </c>
      <c r="M88" s="121">
        <v>1</v>
      </c>
      <c r="N88" s="121">
        <v>1</v>
      </c>
      <c r="O88" s="121">
        <v>1</v>
      </c>
      <c r="P88" s="295"/>
      <c r="Q88" s="213"/>
    </row>
    <row r="89" spans="1:17" s="212" customFormat="1" ht="34.799999999999997" x14ac:dyDescent="0.3">
      <c r="A89" s="389" t="s">
        <v>73</v>
      </c>
      <c r="B89" s="324" t="s">
        <v>134</v>
      </c>
      <c r="C89" s="325" t="s">
        <v>86</v>
      </c>
      <c r="D89" s="184" t="s">
        <v>40</v>
      </c>
      <c r="E89" s="226"/>
      <c r="F89" s="243">
        <f t="shared" ref="F89:F92" si="21">SUM(G89:O89)</f>
        <v>0</v>
      </c>
      <c r="G89" s="226">
        <v>0</v>
      </c>
      <c r="H89" s="226">
        <v>0</v>
      </c>
      <c r="I89" s="322">
        <v>0</v>
      </c>
      <c r="J89" s="322"/>
      <c r="K89" s="322"/>
      <c r="L89" s="322"/>
      <c r="M89" s="322"/>
      <c r="N89" s="226">
        <v>0</v>
      </c>
      <c r="O89" s="226">
        <v>0</v>
      </c>
      <c r="P89" s="330" t="s">
        <v>3</v>
      </c>
    </row>
    <row r="90" spans="1:17" s="212" customFormat="1" ht="34.799999999999997" x14ac:dyDescent="0.3">
      <c r="A90" s="389"/>
      <c r="B90" s="324"/>
      <c r="C90" s="325"/>
      <c r="D90" s="184" t="s">
        <v>1</v>
      </c>
      <c r="E90" s="226"/>
      <c r="F90" s="243">
        <f t="shared" si="21"/>
        <v>0</v>
      </c>
      <c r="G90" s="226">
        <v>0</v>
      </c>
      <c r="H90" s="226">
        <v>0</v>
      </c>
      <c r="I90" s="322">
        <v>0</v>
      </c>
      <c r="J90" s="322"/>
      <c r="K90" s="322"/>
      <c r="L90" s="322"/>
      <c r="M90" s="322"/>
      <c r="N90" s="226">
        <v>0</v>
      </c>
      <c r="O90" s="226">
        <v>0</v>
      </c>
      <c r="P90" s="330"/>
    </row>
    <row r="91" spans="1:17" s="212" customFormat="1" ht="52.2" x14ac:dyDescent="0.3">
      <c r="A91" s="389"/>
      <c r="B91" s="324"/>
      <c r="C91" s="325"/>
      <c r="D91" s="185" t="s">
        <v>47</v>
      </c>
      <c r="E91" s="226">
        <v>0</v>
      </c>
      <c r="F91" s="243">
        <f t="shared" si="21"/>
        <v>17213.911680000001</v>
      </c>
      <c r="G91" s="226">
        <v>2802.8159999999998</v>
      </c>
      <c r="H91" s="226">
        <v>3311.1624000000002</v>
      </c>
      <c r="I91" s="322">
        <f>3701.6256-4.94352</f>
        <v>3696.68208</v>
      </c>
      <c r="J91" s="322"/>
      <c r="K91" s="322"/>
      <c r="L91" s="322"/>
      <c r="M91" s="322"/>
      <c r="N91" s="226">
        <f t="shared" ref="N91:O91" si="22">3325+376.6256</f>
        <v>3701.6255999999998</v>
      </c>
      <c r="O91" s="226">
        <f t="shared" si="22"/>
        <v>3701.6255999999998</v>
      </c>
      <c r="P91" s="330"/>
    </row>
    <row r="92" spans="1:17" s="212" customFormat="1" ht="34.799999999999997" x14ac:dyDescent="0.3">
      <c r="A92" s="389"/>
      <c r="B92" s="324"/>
      <c r="C92" s="325"/>
      <c r="D92" s="185" t="s">
        <v>87</v>
      </c>
      <c r="E92" s="226"/>
      <c r="F92" s="243">
        <f t="shared" si="21"/>
        <v>0</v>
      </c>
      <c r="G92" s="226">
        <v>0</v>
      </c>
      <c r="H92" s="226">
        <v>0</v>
      </c>
      <c r="I92" s="322">
        <v>0</v>
      </c>
      <c r="J92" s="322"/>
      <c r="K92" s="322"/>
      <c r="L92" s="322"/>
      <c r="M92" s="322"/>
      <c r="N92" s="226">
        <v>0</v>
      </c>
      <c r="O92" s="226">
        <v>0</v>
      </c>
      <c r="P92" s="330"/>
    </row>
    <row r="93" spans="1:17" s="212" customFormat="1" ht="27" customHeight="1" x14ac:dyDescent="0.3">
      <c r="A93" s="389"/>
      <c r="B93" s="286" t="s">
        <v>156</v>
      </c>
      <c r="C93" s="288" t="s">
        <v>116</v>
      </c>
      <c r="D93" s="289" t="s">
        <v>116</v>
      </c>
      <c r="E93" s="228"/>
      <c r="F93" s="323" t="s">
        <v>117</v>
      </c>
      <c r="G93" s="227" t="s">
        <v>234</v>
      </c>
      <c r="H93" s="227" t="s">
        <v>235</v>
      </c>
      <c r="I93" s="283" t="s">
        <v>123</v>
      </c>
      <c r="J93" s="284" t="s">
        <v>118</v>
      </c>
      <c r="K93" s="284"/>
      <c r="L93" s="284"/>
      <c r="M93" s="284"/>
      <c r="N93" s="227" t="s">
        <v>124</v>
      </c>
      <c r="O93" s="227" t="s">
        <v>125</v>
      </c>
      <c r="P93" s="295" t="s">
        <v>116</v>
      </c>
      <c r="Q93" s="213"/>
    </row>
    <row r="94" spans="1:17" s="212" customFormat="1" ht="28.5" customHeight="1" x14ac:dyDescent="0.3">
      <c r="A94" s="389"/>
      <c r="B94" s="286"/>
      <c r="C94" s="288"/>
      <c r="D94" s="289"/>
      <c r="E94" s="228"/>
      <c r="F94" s="323"/>
      <c r="G94" s="228"/>
      <c r="H94" s="228"/>
      <c r="I94" s="283"/>
      <c r="J94" s="228" t="s">
        <v>119</v>
      </c>
      <c r="K94" s="228" t="s">
        <v>120</v>
      </c>
      <c r="L94" s="228" t="s">
        <v>121</v>
      </c>
      <c r="M94" s="228" t="s">
        <v>122</v>
      </c>
      <c r="N94" s="228"/>
      <c r="O94" s="228"/>
      <c r="P94" s="295"/>
      <c r="Q94" s="213"/>
    </row>
    <row r="95" spans="1:17" s="212" customFormat="1" ht="26.25" customHeight="1" x14ac:dyDescent="0.3">
      <c r="A95" s="389"/>
      <c r="B95" s="286"/>
      <c r="C95" s="288"/>
      <c r="D95" s="289"/>
      <c r="E95" s="228"/>
      <c r="F95" s="121">
        <v>100</v>
      </c>
      <c r="G95" s="121">
        <v>100</v>
      </c>
      <c r="H95" s="121">
        <v>100</v>
      </c>
      <c r="I95" s="121">
        <v>100</v>
      </c>
      <c r="J95" s="121">
        <v>100</v>
      </c>
      <c r="K95" s="121">
        <v>100</v>
      </c>
      <c r="L95" s="121">
        <v>100</v>
      </c>
      <c r="M95" s="121">
        <v>100</v>
      </c>
      <c r="N95" s="121">
        <v>100</v>
      </c>
      <c r="O95" s="121">
        <v>100</v>
      </c>
      <c r="P95" s="295"/>
      <c r="Q95" s="213"/>
    </row>
    <row r="96" spans="1:17" s="212" customFormat="1" ht="34.799999999999997" x14ac:dyDescent="0.3">
      <c r="A96" s="388" t="s">
        <v>77</v>
      </c>
      <c r="B96" s="386" t="s">
        <v>212</v>
      </c>
      <c r="C96" s="350" t="s">
        <v>86</v>
      </c>
      <c r="D96" s="184" t="s">
        <v>40</v>
      </c>
      <c r="E96" s="226"/>
      <c r="F96" s="231">
        <f t="shared" ref="F96:F102" si="23">SUM(G96:O96)</f>
        <v>0</v>
      </c>
      <c r="G96" s="226">
        <v>0</v>
      </c>
      <c r="H96" s="226">
        <v>0</v>
      </c>
      <c r="I96" s="322">
        <v>0</v>
      </c>
      <c r="J96" s="322"/>
      <c r="K96" s="322"/>
      <c r="L96" s="322"/>
      <c r="M96" s="322"/>
      <c r="N96" s="226">
        <v>0</v>
      </c>
      <c r="O96" s="226">
        <v>0</v>
      </c>
      <c r="P96" s="303" t="s">
        <v>60</v>
      </c>
    </row>
    <row r="97" spans="1:17" s="212" customFormat="1" ht="42.75" customHeight="1" x14ac:dyDescent="0.3">
      <c r="A97" s="388"/>
      <c r="B97" s="386"/>
      <c r="C97" s="350"/>
      <c r="D97" s="184" t="s">
        <v>1</v>
      </c>
      <c r="E97" s="231"/>
      <c r="F97" s="231">
        <f t="shared" si="23"/>
        <v>0</v>
      </c>
      <c r="G97" s="231">
        <v>0</v>
      </c>
      <c r="H97" s="231">
        <v>0</v>
      </c>
      <c r="I97" s="285">
        <f>2449-2449</f>
        <v>0</v>
      </c>
      <c r="J97" s="285"/>
      <c r="K97" s="285"/>
      <c r="L97" s="285"/>
      <c r="M97" s="285"/>
      <c r="N97" s="231">
        <v>0</v>
      </c>
      <c r="O97" s="231">
        <v>0</v>
      </c>
      <c r="P97" s="303"/>
    </row>
    <row r="98" spans="1:17" s="212" customFormat="1" ht="52.2" x14ac:dyDescent="0.3">
      <c r="A98" s="388"/>
      <c r="B98" s="386"/>
      <c r="C98" s="350"/>
      <c r="D98" s="184" t="s">
        <v>48</v>
      </c>
      <c r="E98" s="231">
        <f>711549.13716</f>
        <v>711549.13716000004</v>
      </c>
      <c r="F98" s="231">
        <f t="shared" si="23"/>
        <v>13393607.616780002</v>
      </c>
      <c r="G98" s="231">
        <v>2050637.3603300001</v>
      </c>
      <c r="H98" s="231">
        <v>2431241.8484999998</v>
      </c>
      <c r="I98" s="331">
        <f>2946620.024-8424.55767+47448.52598+15273.72764</f>
        <v>3000917.7199500003</v>
      </c>
      <c r="J98" s="331"/>
      <c r="K98" s="331"/>
      <c r="L98" s="331"/>
      <c r="M98" s="331"/>
      <c r="N98" s="231">
        <f>2949629.024+5776.32</f>
        <v>2955405.344</v>
      </c>
      <c r="O98" s="231">
        <f>2949629.024+5776.32</f>
        <v>2955405.344</v>
      </c>
      <c r="P98" s="303"/>
    </row>
    <row r="99" spans="1:17" s="212" customFormat="1" ht="69.599999999999994" x14ac:dyDescent="0.3">
      <c r="A99" s="388"/>
      <c r="B99" s="386"/>
      <c r="C99" s="350"/>
      <c r="D99" s="184" t="s">
        <v>59</v>
      </c>
      <c r="E99" s="231">
        <v>0</v>
      </c>
      <c r="F99" s="231">
        <f t="shared" si="23"/>
        <v>2794733.9160000002</v>
      </c>
      <c r="G99" s="115">
        <v>412508.91600000003</v>
      </c>
      <c r="H99" s="115">
        <v>492444</v>
      </c>
      <c r="I99" s="412">
        <v>629927</v>
      </c>
      <c r="J99" s="412"/>
      <c r="K99" s="412"/>
      <c r="L99" s="412"/>
      <c r="M99" s="412"/>
      <c r="N99" s="115">
        <v>629927</v>
      </c>
      <c r="O99" s="115">
        <v>629927</v>
      </c>
      <c r="P99" s="303"/>
    </row>
    <row r="100" spans="1:17" s="212" customFormat="1" ht="34.799999999999997" x14ac:dyDescent="0.3">
      <c r="A100" s="388"/>
      <c r="B100" s="386"/>
      <c r="C100" s="350"/>
      <c r="D100" s="184" t="s">
        <v>87</v>
      </c>
      <c r="E100" s="231"/>
      <c r="F100" s="231">
        <f t="shared" si="23"/>
        <v>3023894.5066200001</v>
      </c>
      <c r="G100" s="231">
        <f t="shared" ref="G100" si="24">G101+G102</f>
        <v>493095.91868</v>
      </c>
      <c r="H100" s="231">
        <v>649615.71250000002</v>
      </c>
      <c r="I100" s="285">
        <f>I101+I102</f>
        <v>627060.95847999991</v>
      </c>
      <c r="J100" s="285"/>
      <c r="K100" s="285"/>
      <c r="L100" s="285"/>
      <c r="M100" s="285"/>
      <c r="N100" s="231">
        <f>N101+N102</f>
        <v>627060.95847999991</v>
      </c>
      <c r="O100" s="231">
        <f>O101+O102</f>
        <v>627060.95847999991</v>
      </c>
      <c r="P100" s="303"/>
    </row>
    <row r="101" spans="1:17" s="212" customFormat="1" ht="87" x14ac:dyDescent="0.3">
      <c r="A101" s="388"/>
      <c r="B101" s="386"/>
      <c r="C101" s="350"/>
      <c r="D101" s="250" t="s">
        <v>88</v>
      </c>
      <c r="E101" s="226">
        <v>262352.43170000002</v>
      </c>
      <c r="F101" s="231">
        <f t="shared" si="23"/>
        <v>2902166.7026199996</v>
      </c>
      <c r="G101" s="122">
        <v>469940.35668000003</v>
      </c>
      <c r="H101" s="122">
        <v>625121.01850000001</v>
      </c>
      <c r="I101" s="355">
        <v>602368.44247999997</v>
      </c>
      <c r="J101" s="355"/>
      <c r="K101" s="355"/>
      <c r="L101" s="355"/>
      <c r="M101" s="355"/>
      <c r="N101" s="122">
        <v>602368.44247999997</v>
      </c>
      <c r="O101" s="122">
        <v>602368.44247999997</v>
      </c>
      <c r="P101" s="303"/>
    </row>
    <row r="102" spans="1:17" s="212" customFormat="1" ht="69.599999999999994" x14ac:dyDescent="0.3">
      <c r="A102" s="388"/>
      <c r="B102" s="386"/>
      <c r="C102" s="350"/>
      <c r="D102" s="250" t="s">
        <v>89</v>
      </c>
      <c r="E102" s="226">
        <v>8751.5480000000007</v>
      </c>
      <c r="F102" s="231">
        <f t="shared" si="23"/>
        <v>121727.804</v>
      </c>
      <c r="G102" s="122">
        <v>23155.562000000002</v>
      </c>
      <c r="H102" s="122">
        <v>24494.694</v>
      </c>
      <c r="I102" s="355">
        <v>24692.516</v>
      </c>
      <c r="J102" s="355"/>
      <c r="K102" s="355"/>
      <c r="L102" s="355"/>
      <c r="M102" s="355"/>
      <c r="N102" s="122">
        <v>24692.516</v>
      </c>
      <c r="O102" s="122">
        <v>24692.516</v>
      </c>
      <c r="P102" s="303"/>
      <c r="Q102" s="214"/>
    </row>
    <row r="103" spans="1:17" s="212" customFormat="1" ht="27.75" customHeight="1" x14ac:dyDescent="0.3">
      <c r="A103" s="388"/>
      <c r="B103" s="286" t="s">
        <v>223</v>
      </c>
      <c r="C103" s="288" t="s">
        <v>116</v>
      </c>
      <c r="D103" s="289" t="s">
        <v>116</v>
      </c>
      <c r="E103" s="228"/>
      <c r="F103" s="323" t="s">
        <v>117</v>
      </c>
      <c r="G103" s="227" t="s">
        <v>234</v>
      </c>
      <c r="H103" s="227" t="s">
        <v>235</v>
      </c>
      <c r="I103" s="283" t="s">
        <v>123</v>
      </c>
      <c r="J103" s="284" t="s">
        <v>118</v>
      </c>
      <c r="K103" s="284"/>
      <c r="L103" s="284"/>
      <c r="M103" s="284"/>
      <c r="N103" s="227" t="s">
        <v>124</v>
      </c>
      <c r="O103" s="227" t="s">
        <v>125</v>
      </c>
      <c r="P103" s="295" t="s">
        <v>116</v>
      </c>
      <c r="Q103" s="213"/>
    </row>
    <row r="104" spans="1:17" s="212" customFormat="1" ht="24" customHeight="1" x14ac:dyDescent="0.3">
      <c r="A104" s="388"/>
      <c r="B104" s="286"/>
      <c r="C104" s="288"/>
      <c r="D104" s="289"/>
      <c r="E104" s="228"/>
      <c r="F104" s="323"/>
      <c r="G104" s="228"/>
      <c r="H104" s="228"/>
      <c r="I104" s="283"/>
      <c r="J104" s="228" t="s">
        <v>119</v>
      </c>
      <c r="K104" s="228" t="s">
        <v>120</v>
      </c>
      <c r="L104" s="228" t="s">
        <v>121</v>
      </c>
      <c r="M104" s="228" t="s">
        <v>122</v>
      </c>
      <c r="N104" s="228"/>
      <c r="O104" s="228"/>
      <c r="P104" s="295"/>
      <c r="Q104" s="213"/>
    </row>
    <row r="105" spans="1:17" s="212" customFormat="1" ht="35.25" customHeight="1" x14ac:dyDescent="0.3">
      <c r="A105" s="388"/>
      <c r="B105" s="286"/>
      <c r="C105" s="288"/>
      <c r="D105" s="289"/>
      <c r="E105" s="228"/>
      <c r="F105" s="121">
        <v>39</v>
      </c>
      <c r="G105" s="121">
        <v>39</v>
      </c>
      <c r="H105" s="121">
        <v>39</v>
      </c>
      <c r="I105" s="121">
        <v>39</v>
      </c>
      <c r="J105" s="121">
        <v>39</v>
      </c>
      <c r="K105" s="121">
        <v>39</v>
      </c>
      <c r="L105" s="121">
        <v>39</v>
      </c>
      <c r="M105" s="121">
        <v>39</v>
      </c>
      <c r="N105" s="121">
        <v>39</v>
      </c>
      <c r="O105" s="121">
        <v>39</v>
      </c>
      <c r="P105" s="295"/>
      <c r="Q105" s="213"/>
    </row>
    <row r="106" spans="1:17" s="212" customFormat="1" ht="34.799999999999997" x14ac:dyDescent="0.3">
      <c r="A106" s="389" t="s">
        <v>78</v>
      </c>
      <c r="B106" s="324" t="s">
        <v>213</v>
      </c>
      <c r="C106" s="325" t="s">
        <v>86</v>
      </c>
      <c r="D106" s="250" t="s">
        <v>40</v>
      </c>
      <c r="E106" s="226"/>
      <c r="F106" s="243">
        <f t="shared" ref="F106:F109" si="25">SUM(G106:O106)</f>
        <v>0</v>
      </c>
      <c r="G106" s="226">
        <v>0</v>
      </c>
      <c r="H106" s="226">
        <v>0</v>
      </c>
      <c r="I106" s="322">
        <v>0</v>
      </c>
      <c r="J106" s="322"/>
      <c r="K106" s="322"/>
      <c r="L106" s="322"/>
      <c r="M106" s="322"/>
      <c r="N106" s="226">
        <v>0</v>
      </c>
      <c r="O106" s="226">
        <v>0</v>
      </c>
      <c r="P106" s="330" t="s">
        <v>90</v>
      </c>
      <c r="Q106" s="214"/>
    </row>
    <row r="107" spans="1:17" s="212" customFormat="1" ht="34.799999999999997" x14ac:dyDescent="0.3">
      <c r="A107" s="389"/>
      <c r="B107" s="324"/>
      <c r="C107" s="325"/>
      <c r="D107" s="250" t="s">
        <v>1</v>
      </c>
      <c r="E107" s="226"/>
      <c r="F107" s="243">
        <f t="shared" si="25"/>
        <v>56000</v>
      </c>
      <c r="G107" s="226">
        <v>0</v>
      </c>
      <c r="H107" s="226">
        <v>56000</v>
      </c>
      <c r="I107" s="322">
        <v>0</v>
      </c>
      <c r="J107" s="322"/>
      <c r="K107" s="322"/>
      <c r="L107" s="322"/>
      <c r="M107" s="322"/>
      <c r="N107" s="226">
        <v>0</v>
      </c>
      <c r="O107" s="226">
        <v>0</v>
      </c>
      <c r="P107" s="330"/>
      <c r="Q107" s="214"/>
    </row>
    <row r="108" spans="1:17" s="212" customFormat="1" ht="57" customHeight="1" x14ac:dyDescent="0.3">
      <c r="A108" s="389"/>
      <c r="B108" s="324"/>
      <c r="C108" s="325"/>
      <c r="D108" s="185" t="s">
        <v>47</v>
      </c>
      <c r="E108" s="226">
        <v>0</v>
      </c>
      <c r="F108" s="243">
        <f t="shared" si="25"/>
        <v>1460352.11283</v>
      </c>
      <c r="G108" s="226">
        <v>46658.988669999999</v>
      </c>
      <c r="H108" s="226">
        <v>242111.66776000001</v>
      </c>
      <c r="I108" s="332">
        <f>227593.59711+83196.58693+355000-355000+340551.27236</f>
        <v>651341.45640000002</v>
      </c>
      <c r="J108" s="332"/>
      <c r="K108" s="332"/>
      <c r="L108" s="332"/>
      <c r="M108" s="332"/>
      <c r="N108" s="226">
        <v>260120</v>
      </c>
      <c r="O108" s="226">
        <v>260120</v>
      </c>
      <c r="P108" s="330"/>
    </row>
    <row r="109" spans="1:17" s="212" customFormat="1" ht="34.799999999999997" x14ac:dyDescent="0.3">
      <c r="A109" s="389"/>
      <c r="B109" s="324"/>
      <c r="C109" s="325"/>
      <c r="D109" s="184" t="s">
        <v>87</v>
      </c>
      <c r="E109" s="226"/>
      <c r="F109" s="243">
        <f t="shared" si="25"/>
        <v>0</v>
      </c>
      <c r="G109" s="226">
        <v>0</v>
      </c>
      <c r="H109" s="226">
        <v>0</v>
      </c>
      <c r="I109" s="322">
        <v>0</v>
      </c>
      <c r="J109" s="322"/>
      <c r="K109" s="322"/>
      <c r="L109" s="322"/>
      <c r="M109" s="322"/>
      <c r="N109" s="226">
        <v>0</v>
      </c>
      <c r="O109" s="226">
        <v>0</v>
      </c>
      <c r="P109" s="330"/>
    </row>
    <row r="110" spans="1:17" s="212" customFormat="1" ht="27" customHeight="1" x14ac:dyDescent="0.3">
      <c r="A110" s="389"/>
      <c r="B110" s="286" t="s">
        <v>153</v>
      </c>
      <c r="C110" s="288" t="s">
        <v>116</v>
      </c>
      <c r="D110" s="289" t="s">
        <v>116</v>
      </c>
      <c r="E110" s="228"/>
      <c r="F110" s="323" t="s">
        <v>117</v>
      </c>
      <c r="G110" s="227" t="s">
        <v>234</v>
      </c>
      <c r="H110" s="227" t="s">
        <v>235</v>
      </c>
      <c r="I110" s="283" t="s">
        <v>123</v>
      </c>
      <c r="J110" s="284" t="s">
        <v>118</v>
      </c>
      <c r="K110" s="284"/>
      <c r="L110" s="284"/>
      <c r="M110" s="284"/>
      <c r="N110" s="227" t="s">
        <v>124</v>
      </c>
      <c r="O110" s="227" t="s">
        <v>125</v>
      </c>
      <c r="P110" s="295" t="s">
        <v>116</v>
      </c>
      <c r="Q110" s="213"/>
    </row>
    <row r="111" spans="1:17" s="212" customFormat="1" ht="28.8" customHeight="1" x14ac:dyDescent="0.3">
      <c r="A111" s="389"/>
      <c r="B111" s="286"/>
      <c r="C111" s="288"/>
      <c r="D111" s="289"/>
      <c r="E111" s="228"/>
      <c r="F111" s="323"/>
      <c r="G111" s="228"/>
      <c r="H111" s="228"/>
      <c r="I111" s="283"/>
      <c r="J111" s="228" t="s">
        <v>119</v>
      </c>
      <c r="K111" s="228" t="s">
        <v>120</v>
      </c>
      <c r="L111" s="228" t="s">
        <v>121</v>
      </c>
      <c r="M111" s="228" t="s">
        <v>122</v>
      </c>
      <c r="N111" s="228"/>
      <c r="O111" s="228"/>
      <c r="P111" s="295"/>
      <c r="Q111" s="213"/>
    </row>
    <row r="112" spans="1:17" s="212" customFormat="1" ht="27" customHeight="1" x14ac:dyDescent="0.3">
      <c r="A112" s="389"/>
      <c r="B112" s="286"/>
      <c r="C112" s="288"/>
      <c r="D112" s="289"/>
      <c r="E112" s="228"/>
      <c r="F112" s="121">
        <f>I112+H112+G112+N112+O112</f>
        <v>132</v>
      </c>
      <c r="G112" s="121">
        <v>16</v>
      </c>
      <c r="H112" s="121">
        <v>29</v>
      </c>
      <c r="I112" s="121">
        <v>29</v>
      </c>
      <c r="J112" s="121">
        <v>0</v>
      </c>
      <c r="K112" s="121">
        <v>0</v>
      </c>
      <c r="L112" s="121">
        <v>0</v>
      </c>
      <c r="M112" s="121">
        <v>29</v>
      </c>
      <c r="N112" s="121">
        <v>29</v>
      </c>
      <c r="O112" s="121">
        <v>29</v>
      </c>
      <c r="P112" s="295"/>
      <c r="Q112" s="213"/>
    </row>
    <row r="113" spans="1:17" s="212" customFormat="1" ht="40.5" customHeight="1" x14ac:dyDescent="0.3">
      <c r="A113" s="389" t="s">
        <v>79</v>
      </c>
      <c r="B113" s="324" t="s">
        <v>221</v>
      </c>
      <c r="C113" s="325" t="s">
        <v>86</v>
      </c>
      <c r="D113" s="184" t="s">
        <v>40</v>
      </c>
      <c r="E113" s="226"/>
      <c r="F113" s="243">
        <f t="shared" ref="F113:F116" si="26">SUM(G113:O113)</f>
        <v>0</v>
      </c>
      <c r="G113" s="226">
        <v>0</v>
      </c>
      <c r="H113" s="226">
        <v>0</v>
      </c>
      <c r="I113" s="322">
        <v>0</v>
      </c>
      <c r="J113" s="322"/>
      <c r="K113" s="322"/>
      <c r="L113" s="322"/>
      <c r="M113" s="322"/>
      <c r="N113" s="226">
        <v>0</v>
      </c>
      <c r="O113" s="226">
        <v>0</v>
      </c>
      <c r="P113" s="330" t="s">
        <v>3</v>
      </c>
      <c r="Q113" s="215"/>
    </row>
    <row r="114" spans="1:17" s="212" customFormat="1" ht="34.799999999999997" x14ac:dyDescent="0.3">
      <c r="A114" s="389"/>
      <c r="B114" s="324"/>
      <c r="C114" s="325"/>
      <c r="D114" s="184" t="s">
        <v>1</v>
      </c>
      <c r="E114" s="226"/>
      <c r="F114" s="243">
        <f t="shared" si="26"/>
        <v>0</v>
      </c>
      <c r="G114" s="226">
        <v>0</v>
      </c>
      <c r="H114" s="226">
        <v>0</v>
      </c>
      <c r="I114" s="322">
        <v>0</v>
      </c>
      <c r="J114" s="322"/>
      <c r="K114" s="322"/>
      <c r="L114" s="322"/>
      <c r="M114" s="322"/>
      <c r="N114" s="226">
        <v>0</v>
      </c>
      <c r="O114" s="226">
        <v>0</v>
      </c>
      <c r="P114" s="330"/>
    </row>
    <row r="115" spans="1:17" s="212" customFormat="1" ht="52.2" x14ac:dyDescent="0.3">
      <c r="A115" s="389"/>
      <c r="B115" s="324"/>
      <c r="C115" s="325"/>
      <c r="D115" s="185" t="s">
        <v>47</v>
      </c>
      <c r="E115" s="226">
        <v>0</v>
      </c>
      <c r="F115" s="243">
        <f t="shared" si="26"/>
        <v>2377269.53737</v>
      </c>
      <c r="G115" s="226">
        <v>360185.28365</v>
      </c>
      <c r="H115" s="226">
        <v>446078.51971999998</v>
      </c>
      <c r="I115" s="332">
        <f>521929.2096+1687.91068+3530.19452</f>
        <v>527147.31479999993</v>
      </c>
      <c r="J115" s="332"/>
      <c r="K115" s="332"/>
      <c r="L115" s="332"/>
      <c r="M115" s="332"/>
      <c r="N115" s="226">
        <f t="shared" ref="N115:O115" si="27">470554+51375.2096</f>
        <v>521929.2096</v>
      </c>
      <c r="O115" s="226">
        <f t="shared" si="27"/>
        <v>521929.2096</v>
      </c>
      <c r="P115" s="330"/>
    </row>
    <row r="116" spans="1:17" s="212" customFormat="1" ht="34.799999999999997" x14ac:dyDescent="0.3">
      <c r="A116" s="389"/>
      <c r="B116" s="324"/>
      <c r="C116" s="325"/>
      <c r="D116" s="185" t="s">
        <v>87</v>
      </c>
      <c r="E116" s="226"/>
      <c r="F116" s="243">
        <f t="shared" si="26"/>
        <v>0</v>
      </c>
      <c r="G116" s="226">
        <v>0</v>
      </c>
      <c r="H116" s="226">
        <v>0</v>
      </c>
      <c r="I116" s="322">
        <v>0</v>
      </c>
      <c r="J116" s="322"/>
      <c r="K116" s="322"/>
      <c r="L116" s="322"/>
      <c r="M116" s="322"/>
      <c r="N116" s="226">
        <v>0</v>
      </c>
      <c r="O116" s="226">
        <v>0</v>
      </c>
      <c r="P116" s="330"/>
    </row>
    <row r="117" spans="1:17" s="212" customFormat="1" ht="27" customHeight="1" x14ac:dyDescent="0.3">
      <c r="A117" s="389"/>
      <c r="B117" s="286" t="s">
        <v>154</v>
      </c>
      <c r="C117" s="288" t="s">
        <v>116</v>
      </c>
      <c r="D117" s="289" t="s">
        <v>116</v>
      </c>
      <c r="E117" s="228"/>
      <c r="F117" s="323" t="s">
        <v>117</v>
      </c>
      <c r="G117" s="227" t="s">
        <v>234</v>
      </c>
      <c r="H117" s="227" t="s">
        <v>235</v>
      </c>
      <c r="I117" s="283" t="s">
        <v>123</v>
      </c>
      <c r="J117" s="284" t="s">
        <v>118</v>
      </c>
      <c r="K117" s="284"/>
      <c r="L117" s="284"/>
      <c r="M117" s="284"/>
      <c r="N117" s="227" t="s">
        <v>124</v>
      </c>
      <c r="O117" s="227" t="s">
        <v>125</v>
      </c>
      <c r="P117" s="295" t="s">
        <v>116</v>
      </c>
      <c r="Q117" s="213"/>
    </row>
    <row r="118" spans="1:17" s="212" customFormat="1" ht="22.5" customHeight="1" x14ac:dyDescent="0.3">
      <c r="A118" s="389"/>
      <c r="B118" s="286"/>
      <c r="C118" s="288"/>
      <c r="D118" s="289"/>
      <c r="E118" s="228"/>
      <c r="F118" s="323"/>
      <c r="G118" s="228"/>
      <c r="H118" s="228"/>
      <c r="I118" s="283"/>
      <c r="J118" s="228" t="s">
        <v>119</v>
      </c>
      <c r="K118" s="228" t="s">
        <v>120</v>
      </c>
      <c r="L118" s="228" t="s">
        <v>121</v>
      </c>
      <c r="M118" s="228" t="s">
        <v>122</v>
      </c>
      <c r="N118" s="228"/>
      <c r="O118" s="228"/>
      <c r="P118" s="295"/>
      <c r="Q118" s="213"/>
    </row>
    <row r="119" spans="1:17" s="212" customFormat="1" ht="26.25" customHeight="1" x14ac:dyDescent="0.3">
      <c r="A119" s="389"/>
      <c r="B119" s="286"/>
      <c r="C119" s="288"/>
      <c r="D119" s="289"/>
      <c r="E119" s="228"/>
      <c r="F119" s="121">
        <v>100</v>
      </c>
      <c r="G119" s="121">
        <v>100</v>
      </c>
      <c r="H119" s="121">
        <v>100</v>
      </c>
      <c r="I119" s="121">
        <v>100</v>
      </c>
      <c r="J119" s="121">
        <v>100</v>
      </c>
      <c r="K119" s="121">
        <v>100</v>
      </c>
      <c r="L119" s="121">
        <v>100</v>
      </c>
      <c r="M119" s="121">
        <v>100</v>
      </c>
      <c r="N119" s="121">
        <v>100</v>
      </c>
      <c r="O119" s="121">
        <v>100</v>
      </c>
      <c r="P119" s="295"/>
      <c r="Q119" s="213"/>
    </row>
    <row r="120" spans="1:17" s="212" customFormat="1" ht="33.75" customHeight="1" x14ac:dyDescent="0.3">
      <c r="A120" s="389" t="s">
        <v>91</v>
      </c>
      <c r="B120" s="324" t="s">
        <v>222</v>
      </c>
      <c r="C120" s="325" t="s">
        <v>82</v>
      </c>
      <c r="D120" s="185" t="s">
        <v>40</v>
      </c>
      <c r="E120" s="226"/>
      <c r="F120" s="243">
        <f t="shared" ref="F120:F123" si="28">SUM(G120:O120)</f>
        <v>0</v>
      </c>
      <c r="G120" s="226">
        <v>0</v>
      </c>
      <c r="H120" s="226">
        <v>0</v>
      </c>
      <c r="I120" s="322">
        <v>0</v>
      </c>
      <c r="J120" s="322"/>
      <c r="K120" s="322"/>
      <c r="L120" s="322"/>
      <c r="M120" s="322"/>
      <c r="N120" s="226">
        <v>0</v>
      </c>
      <c r="O120" s="226">
        <v>0</v>
      </c>
      <c r="P120" s="296" t="s">
        <v>246</v>
      </c>
    </row>
    <row r="121" spans="1:17" s="212" customFormat="1" ht="34.799999999999997" x14ac:dyDescent="0.3">
      <c r="A121" s="389"/>
      <c r="B121" s="324"/>
      <c r="C121" s="325"/>
      <c r="D121" s="185" t="s">
        <v>1</v>
      </c>
      <c r="E121" s="226"/>
      <c r="F121" s="243">
        <f t="shared" si="28"/>
        <v>15141</v>
      </c>
      <c r="G121" s="226">
        <v>0</v>
      </c>
      <c r="H121" s="226">
        <v>0</v>
      </c>
      <c r="I121" s="322">
        <v>15141</v>
      </c>
      <c r="J121" s="322"/>
      <c r="K121" s="322"/>
      <c r="L121" s="322"/>
      <c r="M121" s="322"/>
      <c r="N121" s="226">
        <v>0</v>
      </c>
      <c r="O121" s="226">
        <v>0</v>
      </c>
      <c r="P121" s="296"/>
    </row>
    <row r="122" spans="1:17" s="212" customFormat="1" ht="52.2" x14ac:dyDescent="0.3">
      <c r="A122" s="389"/>
      <c r="B122" s="324"/>
      <c r="C122" s="325"/>
      <c r="D122" s="185" t="s">
        <v>47</v>
      </c>
      <c r="E122" s="226">
        <v>0</v>
      </c>
      <c r="F122" s="243">
        <f t="shared" si="28"/>
        <v>0</v>
      </c>
      <c r="G122" s="226">
        <v>0</v>
      </c>
      <c r="H122" s="226">
        <v>0</v>
      </c>
      <c r="I122" s="322">
        <v>0</v>
      </c>
      <c r="J122" s="322"/>
      <c r="K122" s="322"/>
      <c r="L122" s="322"/>
      <c r="M122" s="322"/>
      <c r="N122" s="226">
        <v>0</v>
      </c>
      <c r="O122" s="226">
        <v>0</v>
      </c>
      <c r="P122" s="296"/>
    </row>
    <row r="123" spans="1:17" s="212" customFormat="1" ht="34.799999999999997" x14ac:dyDescent="0.3">
      <c r="A123" s="389"/>
      <c r="B123" s="324"/>
      <c r="C123" s="325"/>
      <c r="D123" s="185" t="s">
        <v>87</v>
      </c>
      <c r="E123" s="226"/>
      <c r="F123" s="243">
        <f t="shared" si="28"/>
        <v>0</v>
      </c>
      <c r="G123" s="226">
        <v>0</v>
      </c>
      <c r="H123" s="226">
        <v>0</v>
      </c>
      <c r="I123" s="322">
        <v>0</v>
      </c>
      <c r="J123" s="322"/>
      <c r="K123" s="322"/>
      <c r="L123" s="322"/>
      <c r="M123" s="322"/>
      <c r="N123" s="226">
        <v>0</v>
      </c>
      <c r="O123" s="226">
        <v>0</v>
      </c>
      <c r="P123" s="296"/>
    </row>
    <row r="124" spans="1:17" s="212" customFormat="1" ht="48" customHeight="1" x14ac:dyDescent="0.3">
      <c r="A124" s="389"/>
      <c r="B124" s="286" t="s">
        <v>253</v>
      </c>
      <c r="C124" s="288" t="s">
        <v>116</v>
      </c>
      <c r="D124" s="289" t="s">
        <v>116</v>
      </c>
      <c r="E124" s="228"/>
      <c r="F124" s="323" t="s">
        <v>117</v>
      </c>
      <c r="G124" s="227" t="s">
        <v>234</v>
      </c>
      <c r="H124" s="227" t="s">
        <v>235</v>
      </c>
      <c r="I124" s="283" t="s">
        <v>123</v>
      </c>
      <c r="J124" s="284" t="s">
        <v>118</v>
      </c>
      <c r="K124" s="284"/>
      <c r="L124" s="284"/>
      <c r="M124" s="284"/>
      <c r="N124" s="227" t="s">
        <v>124</v>
      </c>
      <c r="O124" s="227" t="s">
        <v>125</v>
      </c>
      <c r="P124" s="295" t="s">
        <v>116</v>
      </c>
      <c r="Q124" s="213"/>
    </row>
    <row r="125" spans="1:17" s="212" customFormat="1" ht="30.6" customHeight="1" x14ac:dyDescent="0.3">
      <c r="A125" s="389"/>
      <c r="B125" s="286"/>
      <c r="C125" s="288"/>
      <c r="D125" s="289"/>
      <c r="E125" s="228"/>
      <c r="F125" s="323"/>
      <c r="G125" s="228"/>
      <c r="H125" s="228"/>
      <c r="I125" s="283"/>
      <c r="J125" s="228" t="s">
        <v>119</v>
      </c>
      <c r="K125" s="228" t="s">
        <v>120</v>
      </c>
      <c r="L125" s="228" t="s">
        <v>121</v>
      </c>
      <c r="M125" s="228" t="s">
        <v>122</v>
      </c>
      <c r="N125" s="228"/>
      <c r="O125" s="228"/>
      <c r="P125" s="295"/>
      <c r="Q125" s="213"/>
    </row>
    <row r="126" spans="1:17" s="212" customFormat="1" ht="52.5" customHeight="1" x14ac:dyDescent="0.3">
      <c r="A126" s="389"/>
      <c r="B126" s="286"/>
      <c r="C126" s="288"/>
      <c r="D126" s="289"/>
      <c r="E126" s="228"/>
      <c r="F126" s="121">
        <v>100</v>
      </c>
      <c r="G126" s="121">
        <v>0</v>
      </c>
      <c r="H126" s="121">
        <v>0</v>
      </c>
      <c r="I126" s="121">
        <v>100</v>
      </c>
      <c r="J126" s="121">
        <v>100</v>
      </c>
      <c r="K126" s="121">
        <v>100</v>
      </c>
      <c r="L126" s="121">
        <v>100</v>
      </c>
      <c r="M126" s="121">
        <v>100</v>
      </c>
      <c r="N126" s="121">
        <v>100</v>
      </c>
      <c r="O126" s="121">
        <v>100</v>
      </c>
      <c r="P126" s="295"/>
      <c r="Q126" s="213"/>
    </row>
    <row r="127" spans="1:17" s="212" customFormat="1" ht="33.75" customHeight="1" x14ac:dyDescent="0.3">
      <c r="A127" s="389" t="s">
        <v>92</v>
      </c>
      <c r="B127" s="324" t="s">
        <v>224</v>
      </c>
      <c r="C127" s="325" t="s">
        <v>248</v>
      </c>
      <c r="D127" s="185" t="s">
        <v>40</v>
      </c>
      <c r="E127" s="226"/>
      <c r="F127" s="243">
        <f t="shared" ref="F127:F130" si="29">SUM(G127:O127)</f>
        <v>0</v>
      </c>
      <c r="G127" s="226">
        <v>0</v>
      </c>
      <c r="H127" s="226">
        <v>0</v>
      </c>
      <c r="I127" s="322">
        <v>0</v>
      </c>
      <c r="J127" s="322"/>
      <c r="K127" s="322"/>
      <c r="L127" s="322"/>
      <c r="M127" s="322"/>
      <c r="N127" s="226">
        <v>0</v>
      </c>
      <c r="O127" s="226">
        <v>0</v>
      </c>
      <c r="P127" s="296" t="s">
        <v>246</v>
      </c>
    </row>
    <row r="128" spans="1:17" s="212" customFormat="1" ht="34.799999999999997" x14ac:dyDescent="0.3">
      <c r="A128" s="389"/>
      <c r="B128" s="324"/>
      <c r="C128" s="325"/>
      <c r="D128" s="185" t="s">
        <v>1</v>
      </c>
      <c r="E128" s="226"/>
      <c r="F128" s="243">
        <f t="shared" si="29"/>
        <v>1305972</v>
      </c>
      <c r="G128" s="226">
        <v>0</v>
      </c>
      <c r="H128" s="226">
        <v>0</v>
      </c>
      <c r="I128" s="322">
        <v>435324</v>
      </c>
      <c r="J128" s="322"/>
      <c r="K128" s="322"/>
      <c r="L128" s="322"/>
      <c r="M128" s="322"/>
      <c r="N128" s="226">
        <v>435324</v>
      </c>
      <c r="O128" s="226">
        <v>435324</v>
      </c>
      <c r="P128" s="296"/>
    </row>
    <row r="129" spans="1:20" s="212" customFormat="1" ht="52.2" x14ac:dyDescent="0.3">
      <c r="A129" s="389"/>
      <c r="B129" s="324"/>
      <c r="C129" s="325"/>
      <c r="D129" s="185" t="s">
        <v>47</v>
      </c>
      <c r="E129" s="226">
        <v>0</v>
      </c>
      <c r="F129" s="243">
        <f t="shared" si="29"/>
        <v>0</v>
      </c>
      <c r="G129" s="226">
        <v>0</v>
      </c>
      <c r="H129" s="226">
        <v>0</v>
      </c>
      <c r="I129" s="322">
        <v>0</v>
      </c>
      <c r="J129" s="322"/>
      <c r="K129" s="322"/>
      <c r="L129" s="322"/>
      <c r="M129" s="322"/>
      <c r="N129" s="226">
        <v>0</v>
      </c>
      <c r="O129" s="226">
        <v>0</v>
      </c>
      <c r="P129" s="296"/>
    </row>
    <row r="130" spans="1:20" s="212" customFormat="1" ht="34.799999999999997" x14ac:dyDescent="0.3">
      <c r="A130" s="389"/>
      <c r="B130" s="324"/>
      <c r="C130" s="325"/>
      <c r="D130" s="185" t="s">
        <v>87</v>
      </c>
      <c r="E130" s="226"/>
      <c r="F130" s="243">
        <f t="shared" si="29"/>
        <v>0</v>
      </c>
      <c r="G130" s="226">
        <v>0</v>
      </c>
      <c r="H130" s="226">
        <v>0</v>
      </c>
      <c r="I130" s="322">
        <v>0</v>
      </c>
      <c r="J130" s="322"/>
      <c r="K130" s="322"/>
      <c r="L130" s="322"/>
      <c r="M130" s="322"/>
      <c r="N130" s="226">
        <v>0</v>
      </c>
      <c r="O130" s="226">
        <v>0</v>
      </c>
      <c r="P130" s="296"/>
    </row>
    <row r="131" spans="1:20" s="212" customFormat="1" ht="46.5" customHeight="1" x14ac:dyDescent="0.3">
      <c r="A131" s="389"/>
      <c r="B131" s="286" t="s">
        <v>254</v>
      </c>
      <c r="C131" s="288" t="s">
        <v>116</v>
      </c>
      <c r="D131" s="289" t="s">
        <v>116</v>
      </c>
      <c r="E131" s="228"/>
      <c r="F131" s="323" t="s">
        <v>117</v>
      </c>
      <c r="G131" s="227" t="s">
        <v>234</v>
      </c>
      <c r="H131" s="227" t="s">
        <v>235</v>
      </c>
      <c r="I131" s="283" t="s">
        <v>123</v>
      </c>
      <c r="J131" s="284" t="s">
        <v>118</v>
      </c>
      <c r="K131" s="284"/>
      <c r="L131" s="284"/>
      <c r="M131" s="284"/>
      <c r="N131" s="227" t="s">
        <v>124</v>
      </c>
      <c r="O131" s="227" t="s">
        <v>125</v>
      </c>
      <c r="P131" s="295" t="s">
        <v>116</v>
      </c>
      <c r="Q131" s="213"/>
    </row>
    <row r="132" spans="1:20" s="212" customFormat="1" ht="32.4" customHeight="1" x14ac:dyDescent="0.3">
      <c r="A132" s="389"/>
      <c r="B132" s="286"/>
      <c r="C132" s="288"/>
      <c r="D132" s="289"/>
      <c r="E132" s="228"/>
      <c r="F132" s="323"/>
      <c r="G132" s="228"/>
      <c r="H132" s="228"/>
      <c r="I132" s="283"/>
      <c r="J132" s="228" t="s">
        <v>119</v>
      </c>
      <c r="K132" s="228" t="s">
        <v>120</v>
      </c>
      <c r="L132" s="228" t="s">
        <v>121</v>
      </c>
      <c r="M132" s="228" t="s">
        <v>122</v>
      </c>
      <c r="N132" s="228"/>
      <c r="O132" s="228"/>
      <c r="P132" s="295"/>
      <c r="Q132" s="213"/>
    </row>
    <row r="133" spans="1:20" s="212" customFormat="1" ht="54.75" customHeight="1" x14ac:dyDescent="0.3">
      <c r="A133" s="389"/>
      <c r="B133" s="286"/>
      <c r="C133" s="288"/>
      <c r="D133" s="289"/>
      <c r="E133" s="228"/>
      <c r="F133" s="121">
        <v>100</v>
      </c>
      <c r="G133" s="121">
        <v>0</v>
      </c>
      <c r="H133" s="121">
        <v>0</v>
      </c>
      <c r="I133" s="121">
        <v>100</v>
      </c>
      <c r="J133" s="121">
        <v>100</v>
      </c>
      <c r="K133" s="121">
        <v>100</v>
      </c>
      <c r="L133" s="121">
        <v>100</v>
      </c>
      <c r="M133" s="121">
        <v>100</v>
      </c>
      <c r="N133" s="121">
        <v>100</v>
      </c>
      <c r="O133" s="121">
        <v>100</v>
      </c>
      <c r="P133" s="295"/>
      <c r="Q133" s="213"/>
    </row>
    <row r="134" spans="1:20" s="212" customFormat="1" ht="33.75" customHeight="1" x14ac:dyDescent="0.3">
      <c r="A134" s="389" t="s">
        <v>192</v>
      </c>
      <c r="B134" s="324" t="s">
        <v>225</v>
      </c>
      <c r="C134" s="325" t="s">
        <v>248</v>
      </c>
      <c r="D134" s="185" t="s">
        <v>40</v>
      </c>
      <c r="E134" s="226"/>
      <c r="F134" s="243">
        <f t="shared" ref="F134:F137" si="30">SUM(G134:O134)</f>
        <v>0</v>
      </c>
      <c r="G134" s="226">
        <v>0</v>
      </c>
      <c r="H134" s="226">
        <v>0</v>
      </c>
      <c r="I134" s="322">
        <v>0</v>
      </c>
      <c r="J134" s="322"/>
      <c r="K134" s="322"/>
      <c r="L134" s="322"/>
      <c r="M134" s="322"/>
      <c r="N134" s="226">
        <v>0</v>
      </c>
      <c r="O134" s="226">
        <v>0</v>
      </c>
      <c r="P134" s="303" t="s">
        <v>95</v>
      </c>
    </row>
    <row r="135" spans="1:20" s="212" customFormat="1" ht="34.799999999999997" x14ac:dyDescent="0.3">
      <c r="A135" s="389"/>
      <c r="B135" s="324"/>
      <c r="C135" s="325"/>
      <c r="D135" s="185" t="s">
        <v>1</v>
      </c>
      <c r="E135" s="226"/>
      <c r="F135" s="243">
        <f t="shared" si="30"/>
        <v>0</v>
      </c>
      <c r="G135" s="226">
        <v>0</v>
      </c>
      <c r="H135" s="226">
        <v>0</v>
      </c>
      <c r="I135" s="322">
        <v>0</v>
      </c>
      <c r="J135" s="322"/>
      <c r="K135" s="322"/>
      <c r="L135" s="322"/>
      <c r="M135" s="322"/>
      <c r="N135" s="226">
        <v>0</v>
      </c>
      <c r="O135" s="226">
        <v>0</v>
      </c>
      <c r="P135" s="303"/>
    </row>
    <row r="136" spans="1:20" s="212" customFormat="1" ht="52.2" x14ac:dyDescent="0.3">
      <c r="A136" s="389"/>
      <c r="B136" s="324"/>
      <c r="C136" s="325"/>
      <c r="D136" s="185" t="s">
        <v>47</v>
      </c>
      <c r="E136" s="226">
        <v>0</v>
      </c>
      <c r="F136" s="243">
        <f t="shared" si="30"/>
        <v>959053.56108000001</v>
      </c>
      <c r="G136" s="226">
        <v>0</v>
      </c>
      <c r="H136" s="226">
        <v>0</v>
      </c>
      <c r="I136" s="322">
        <f>319744-178.43892</f>
        <v>319565.56108000001</v>
      </c>
      <c r="J136" s="322"/>
      <c r="K136" s="322"/>
      <c r="L136" s="322"/>
      <c r="M136" s="322"/>
      <c r="N136" s="226">
        <v>319744</v>
      </c>
      <c r="O136" s="226">
        <v>319744</v>
      </c>
      <c r="P136" s="303"/>
    </row>
    <row r="137" spans="1:20" s="212" customFormat="1" ht="32.25" customHeight="1" x14ac:dyDescent="0.3">
      <c r="A137" s="389"/>
      <c r="B137" s="324"/>
      <c r="C137" s="325"/>
      <c r="D137" s="185" t="s">
        <v>87</v>
      </c>
      <c r="E137" s="226"/>
      <c r="F137" s="243">
        <f t="shared" si="30"/>
        <v>0</v>
      </c>
      <c r="G137" s="226">
        <v>0</v>
      </c>
      <c r="H137" s="226">
        <v>0</v>
      </c>
      <c r="I137" s="322">
        <v>0</v>
      </c>
      <c r="J137" s="322"/>
      <c r="K137" s="322"/>
      <c r="L137" s="322"/>
      <c r="M137" s="322"/>
      <c r="N137" s="226">
        <v>0</v>
      </c>
      <c r="O137" s="226">
        <v>0</v>
      </c>
      <c r="P137" s="303"/>
    </row>
    <row r="138" spans="1:20" s="212" customFormat="1" ht="41.25" customHeight="1" x14ac:dyDescent="0.3">
      <c r="A138" s="389"/>
      <c r="B138" s="286" t="s">
        <v>160</v>
      </c>
      <c r="C138" s="288" t="s">
        <v>116</v>
      </c>
      <c r="D138" s="289" t="s">
        <v>116</v>
      </c>
      <c r="E138" s="228"/>
      <c r="F138" s="323" t="s">
        <v>117</v>
      </c>
      <c r="G138" s="227" t="s">
        <v>234</v>
      </c>
      <c r="H138" s="227" t="s">
        <v>235</v>
      </c>
      <c r="I138" s="283" t="s">
        <v>123</v>
      </c>
      <c r="J138" s="284" t="s">
        <v>118</v>
      </c>
      <c r="K138" s="284"/>
      <c r="L138" s="284"/>
      <c r="M138" s="284"/>
      <c r="N138" s="227" t="s">
        <v>124</v>
      </c>
      <c r="O138" s="227" t="s">
        <v>125</v>
      </c>
      <c r="P138" s="295" t="s">
        <v>116</v>
      </c>
      <c r="Q138" s="213"/>
    </row>
    <row r="139" spans="1:20" s="212" customFormat="1" ht="28.5" customHeight="1" x14ac:dyDescent="0.3">
      <c r="A139" s="389"/>
      <c r="B139" s="286"/>
      <c r="C139" s="288"/>
      <c r="D139" s="289"/>
      <c r="E139" s="228"/>
      <c r="F139" s="323"/>
      <c r="G139" s="228"/>
      <c r="H139" s="228"/>
      <c r="I139" s="283"/>
      <c r="J139" s="228" t="s">
        <v>119</v>
      </c>
      <c r="K139" s="228" t="s">
        <v>120</v>
      </c>
      <c r="L139" s="228" t="s">
        <v>121</v>
      </c>
      <c r="M139" s="228" t="s">
        <v>122</v>
      </c>
      <c r="N139" s="228"/>
      <c r="O139" s="228"/>
      <c r="P139" s="295"/>
      <c r="Q139" s="213"/>
    </row>
    <row r="140" spans="1:20" s="212" customFormat="1" ht="45" customHeight="1" x14ac:dyDescent="0.3">
      <c r="A140" s="389"/>
      <c r="B140" s="286"/>
      <c r="C140" s="288"/>
      <c r="D140" s="289"/>
      <c r="E140" s="228"/>
      <c r="F140" s="121">
        <v>100</v>
      </c>
      <c r="G140" s="121">
        <v>0</v>
      </c>
      <c r="H140" s="121">
        <v>0</v>
      </c>
      <c r="I140" s="121">
        <v>100</v>
      </c>
      <c r="J140" s="121">
        <v>100</v>
      </c>
      <c r="K140" s="121">
        <v>100</v>
      </c>
      <c r="L140" s="121">
        <v>100</v>
      </c>
      <c r="M140" s="121">
        <v>100</v>
      </c>
      <c r="N140" s="121">
        <v>100</v>
      </c>
      <c r="O140" s="121">
        <v>100</v>
      </c>
      <c r="P140" s="295"/>
      <c r="Q140" s="213"/>
    </row>
    <row r="141" spans="1:20" s="212" customFormat="1" ht="36" customHeight="1" x14ac:dyDescent="0.3">
      <c r="A141" s="389" t="s">
        <v>203</v>
      </c>
      <c r="B141" s="420" t="s">
        <v>226</v>
      </c>
      <c r="C141" s="318" t="s">
        <v>248</v>
      </c>
      <c r="D141" s="185" t="s">
        <v>40</v>
      </c>
      <c r="E141" s="116"/>
      <c r="F141" s="231">
        <f t="shared" ref="F141:F144" si="31">SUM(G141:O141)</f>
        <v>0</v>
      </c>
      <c r="G141" s="248">
        <v>0</v>
      </c>
      <c r="H141" s="248">
        <v>0</v>
      </c>
      <c r="I141" s="383">
        <v>0</v>
      </c>
      <c r="J141" s="383"/>
      <c r="K141" s="383"/>
      <c r="L141" s="383"/>
      <c r="M141" s="383"/>
      <c r="N141" s="248">
        <v>0</v>
      </c>
      <c r="O141" s="248">
        <v>0</v>
      </c>
      <c r="P141" s="296" t="s">
        <v>3</v>
      </c>
      <c r="T141" s="214"/>
    </row>
    <row r="142" spans="1:20" s="212" customFormat="1" ht="34.799999999999997" x14ac:dyDescent="0.3">
      <c r="A142" s="389"/>
      <c r="B142" s="420"/>
      <c r="C142" s="318"/>
      <c r="D142" s="183" t="s">
        <v>1</v>
      </c>
      <c r="E142" s="120">
        <v>34122</v>
      </c>
      <c r="F142" s="231">
        <f t="shared" si="31"/>
        <v>121848</v>
      </c>
      <c r="G142" s="120">
        <v>0</v>
      </c>
      <c r="H142" s="120">
        <v>0</v>
      </c>
      <c r="I142" s="281">
        <v>40616</v>
      </c>
      <c r="J142" s="281"/>
      <c r="K142" s="281"/>
      <c r="L142" s="281"/>
      <c r="M142" s="281"/>
      <c r="N142" s="120">
        <v>40616</v>
      </c>
      <c r="O142" s="120">
        <v>40616</v>
      </c>
      <c r="P142" s="296"/>
    </row>
    <row r="143" spans="1:20" s="212" customFormat="1" ht="52.2" x14ac:dyDescent="0.3">
      <c r="A143" s="389"/>
      <c r="B143" s="420"/>
      <c r="C143" s="318"/>
      <c r="D143" s="183" t="s">
        <v>47</v>
      </c>
      <c r="E143" s="120">
        <v>20473</v>
      </c>
      <c r="F143" s="231">
        <f t="shared" si="31"/>
        <v>75000</v>
      </c>
      <c r="G143" s="120">
        <v>0</v>
      </c>
      <c r="H143" s="120">
        <v>0</v>
      </c>
      <c r="I143" s="281">
        <v>25000</v>
      </c>
      <c r="J143" s="281"/>
      <c r="K143" s="281"/>
      <c r="L143" s="281"/>
      <c r="M143" s="281"/>
      <c r="N143" s="120">
        <v>25000</v>
      </c>
      <c r="O143" s="120">
        <v>25000</v>
      </c>
      <c r="P143" s="296"/>
    </row>
    <row r="144" spans="1:20" s="212" customFormat="1" ht="34.799999999999997" x14ac:dyDescent="0.3">
      <c r="A144" s="389"/>
      <c r="B144" s="420"/>
      <c r="C144" s="318"/>
      <c r="D144" s="183" t="s">
        <v>87</v>
      </c>
      <c r="E144" s="120"/>
      <c r="F144" s="231">
        <f t="shared" si="31"/>
        <v>0</v>
      </c>
      <c r="G144" s="120">
        <v>0</v>
      </c>
      <c r="H144" s="120">
        <v>0</v>
      </c>
      <c r="I144" s="281">
        <v>0</v>
      </c>
      <c r="J144" s="281"/>
      <c r="K144" s="281"/>
      <c r="L144" s="281"/>
      <c r="M144" s="281"/>
      <c r="N144" s="120">
        <v>0</v>
      </c>
      <c r="O144" s="120">
        <v>0</v>
      </c>
      <c r="P144" s="296"/>
    </row>
    <row r="145" spans="1:21" s="212" customFormat="1" ht="92.25" customHeight="1" x14ac:dyDescent="0.3">
      <c r="A145" s="389"/>
      <c r="B145" s="286" t="s">
        <v>172</v>
      </c>
      <c r="C145" s="288" t="s">
        <v>116</v>
      </c>
      <c r="D145" s="289" t="s">
        <v>116</v>
      </c>
      <c r="E145" s="228"/>
      <c r="F145" s="323" t="s">
        <v>117</v>
      </c>
      <c r="G145" s="227" t="s">
        <v>234</v>
      </c>
      <c r="H145" s="227" t="s">
        <v>235</v>
      </c>
      <c r="I145" s="283" t="s">
        <v>123</v>
      </c>
      <c r="J145" s="284" t="s">
        <v>118</v>
      </c>
      <c r="K145" s="284"/>
      <c r="L145" s="284"/>
      <c r="M145" s="284"/>
      <c r="N145" s="227" t="s">
        <v>124</v>
      </c>
      <c r="O145" s="227" t="s">
        <v>125</v>
      </c>
      <c r="P145" s="295" t="s">
        <v>116</v>
      </c>
      <c r="Q145" s="213"/>
    </row>
    <row r="146" spans="1:21" s="212" customFormat="1" ht="33.9" customHeight="1" x14ac:dyDescent="0.3">
      <c r="A146" s="389"/>
      <c r="B146" s="286"/>
      <c r="C146" s="288"/>
      <c r="D146" s="289"/>
      <c r="E146" s="228"/>
      <c r="F146" s="323"/>
      <c r="G146" s="228"/>
      <c r="H146" s="228"/>
      <c r="I146" s="283"/>
      <c r="J146" s="228" t="s">
        <v>119</v>
      </c>
      <c r="K146" s="228" t="s">
        <v>120</v>
      </c>
      <c r="L146" s="228" t="s">
        <v>121</v>
      </c>
      <c r="M146" s="228" t="s">
        <v>122</v>
      </c>
      <c r="N146" s="228"/>
      <c r="O146" s="228"/>
      <c r="P146" s="295"/>
      <c r="Q146" s="213"/>
    </row>
    <row r="147" spans="1:21" s="212" customFormat="1" ht="113.4" customHeight="1" x14ac:dyDescent="0.3">
      <c r="A147" s="389"/>
      <c r="B147" s="286"/>
      <c r="C147" s="288"/>
      <c r="D147" s="289"/>
      <c r="E147" s="228"/>
      <c r="F147" s="121">
        <f>I147</f>
        <v>31</v>
      </c>
      <c r="G147" s="121">
        <v>0</v>
      </c>
      <c r="H147" s="121">
        <v>0</v>
      </c>
      <c r="I147" s="121">
        <v>31</v>
      </c>
      <c r="J147" s="121">
        <v>31</v>
      </c>
      <c r="K147" s="121">
        <v>31</v>
      </c>
      <c r="L147" s="121">
        <v>31</v>
      </c>
      <c r="M147" s="121">
        <v>31</v>
      </c>
      <c r="N147" s="121">
        <v>31</v>
      </c>
      <c r="O147" s="121">
        <v>31</v>
      </c>
      <c r="P147" s="295"/>
      <c r="Q147" s="213"/>
      <c r="S147" s="212">
        <f>770.61/2448.6*100</f>
        <v>31.471453075226663</v>
      </c>
    </row>
    <row r="148" spans="1:21" s="212" customFormat="1" ht="36" customHeight="1" x14ac:dyDescent="0.3">
      <c r="A148" s="268" t="s">
        <v>265</v>
      </c>
      <c r="B148" s="269" t="s">
        <v>266</v>
      </c>
      <c r="C148" s="270" t="s">
        <v>248</v>
      </c>
      <c r="D148" s="256" t="s">
        <v>40</v>
      </c>
      <c r="E148" s="257"/>
      <c r="F148" s="258">
        <f t="shared" ref="F148:F151" si="32">SUM(G148:O148)</f>
        <v>0</v>
      </c>
      <c r="G148" s="259">
        <v>0</v>
      </c>
      <c r="H148" s="259">
        <v>0</v>
      </c>
      <c r="I148" s="271">
        <v>0</v>
      </c>
      <c r="J148" s="271"/>
      <c r="K148" s="271"/>
      <c r="L148" s="271"/>
      <c r="M148" s="271"/>
      <c r="N148" s="259">
        <v>0</v>
      </c>
      <c r="O148" s="259">
        <v>0</v>
      </c>
      <c r="P148" s="272" t="s">
        <v>3</v>
      </c>
      <c r="T148" s="214"/>
    </row>
    <row r="149" spans="1:21" s="212" customFormat="1" ht="34.799999999999997" x14ac:dyDescent="0.3">
      <c r="A149" s="268"/>
      <c r="B149" s="269"/>
      <c r="C149" s="270"/>
      <c r="D149" s="260" t="s">
        <v>1</v>
      </c>
      <c r="E149" s="261">
        <v>34122</v>
      </c>
      <c r="F149" s="258">
        <f t="shared" si="32"/>
        <v>834</v>
      </c>
      <c r="G149" s="261">
        <v>0</v>
      </c>
      <c r="H149" s="261">
        <v>0</v>
      </c>
      <c r="I149" s="273">
        <v>834</v>
      </c>
      <c r="J149" s="273"/>
      <c r="K149" s="273"/>
      <c r="L149" s="273"/>
      <c r="M149" s="273"/>
      <c r="N149" s="261">
        <v>0</v>
      </c>
      <c r="O149" s="261">
        <v>0</v>
      </c>
      <c r="P149" s="272"/>
    </row>
    <row r="150" spans="1:21" s="212" customFormat="1" ht="52.2" x14ac:dyDescent="0.3">
      <c r="A150" s="268"/>
      <c r="B150" s="269"/>
      <c r="C150" s="270"/>
      <c r="D150" s="260" t="s">
        <v>47</v>
      </c>
      <c r="E150" s="261">
        <v>20473</v>
      </c>
      <c r="F150" s="258">
        <f t="shared" si="32"/>
        <v>0</v>
      </c>
      <c r="G150" s="261">
        <v>0</v>
      </c>
      <c r="H150" s="261">
        <v>0</v>
      </c>
      <c r="I150" s="273">
        <v>0</v>
      </c>
      <c r="J150" s="273"/>
      <c r="K150" s="273"/>
      <c r="L150" s="273"/>
      <c r="M150" s="273"/>
      <c r="N150" s="261">
        <v>0</v>
      </c>
      <c r="O150" s="261">
        <v>0</v>
      </c>
      <c r="P150" s="272"/>
    </row>
    <row r="151" spans="1:21" s="212" customFormat="1" ht="46.5" customHeight="1" x14ac:dyDescent="0.3">
      <c r="A151" s="268"/>
      <c r="B151" s="269"/>
      <c r="C151" s="270"/>
      <c r="D151" s="260" t="s">
        <v>87</v>
      </c>
      <c r="E151" s="261"/>
      <c r="F151" s="258">
        <f t="shared" si="32"/>
        <v>0</v>
      </c>
      <c r="G151" s="261">
        <v>0</v>
      </c>
      <c r="H151" s="261">
        <v>0</v>
      </c>
      <c r="I151" s="273">
        <v>0</v>
      </c>
      <c r="J151" s="273"/>
      <c r="K151" s="273"/>
      <c r="L151" s="273"/>
      <c r="M151" s="273"/>
      <c r="N151" s="261">
        <v>0</v>
      </c>
      <c r="O151" s="261">
        <v>0</v>
      </c>
      <c r="P151" s="272"/>
    </row>
    <row r="152" spans="1:21" s="212" customFormat="1" ht="28.8" customHeight="1" x14ac:dyDescent="0.3">
      <c r="A152" s="268"/>
      <c r="B152" s="274" t="s">
        <v>278</v>
      </c>
      <c r="C152" s="275" t="s">
        <v>116</v>
      </c>
      <c r="D152" s="276" t="s">
        <v>116</v>
      </c>
      <c r="E152" s="262"/>
      <c r="F152" s="277" t="s">
        <v>117</v>
      </c>
      <c r="G152" s="263" t="s">
        <v>234</v>
      </c>
      <c r="H152" s="263" t="s">
        <v>235</v>
      </c>
      <c r="I152" s="278" t="s">
        <v>123</v>
      </c>
      <c r="J152" s="279" t="s">
        <v>118</v>
      </c>
      <c r="K152" s="279"/>
      <c r="L152" s="279"/>
      <c r="M152" s="279"/>
      <c r="N152" s="263" t="s">
        <v>124</v>
      </c>
      <c r="O152" s="263" t="s">
        <v>125</v>
      </c>
      <c r="P152" s="280" t="s">
        <v>116</v>
      </c>
      <c r="Q152" s="213"/>
    </row>
    <row r="153" spans="1:21" s="212" customFormat="1" ht="24.6" customHeight="1" x14ac:dyDescent="0.3">
      <c r="A153" s="268"/>
      <c r="B153" s="274"/>
      <c r="C153" s="275"/>
      <c r="D153" s="276"/>
      <c r="E153" s="262"/>
      <c r="F153" s="277"/>
      <c r="G153" s="262"/>
      <c r="H153" s="262"/>
      <c r="I153" s="278"/>
      <c r="J153" s="262" t="s">
        <v>119</v>
      </c>
      <c r="K153" s="262" t="s">
        <v>120</v>
      </c>
      <c r="L153" s="262" t="s">
        <v>121</v>
      </c>
      <c r="M153" s="262" t="s">
        <v>122</v>
      </c>
      <c r="N153" s="262"/>
      <c r="O153" s="262"/>
      <c r="P153" s="280"/>
      <c r="Q153" s="213"/>
    </row>
    <row r="154" spans="1:21" s="212" customFormat="1" ht="36.6" customHeight="1" x14ac:dyDescent="0.3">
      <c r="A154" s="268"/>
      <c r="B154" s="274"/>
      <c r="C154" s="275"/>
      <c r="D154" s="276"/>
      <c r="E154" s="262"/>
      <c r="F154" s="264">
        <f>I154</f>
        <v>100</v>
      </c>
      <c r="G154" s="264">
        <v>0</v>
      </c>
      <c r="H154" s="264">
        <v>0</v>
      </c>
      <c r="I154" s="264">
        <v>100</v>
      </c>
      <c r="J154" s="264">
        <v>100</v>
      </c>
      <c r="K154" s="264">
        <v>100</v>
      </c>
      <c r="L154" s="264">
        <v>100</v>
      </c>
      <c r="M154" s="264">
        <v>100</v>
      </c>
      <c r="N154" s="264">
        <v>31</v>
      </c>
      <c r="O154" s="264">
        <v>31</v>
      </c>
      <c r="P154" s="280"/>
      <c r="Q154" s="213"/>
      <c r="S154" s="212">
        <f>770.61/2448.6*100</f>
        <v>31.471453075226663</v>
      </c>
    </row>
    <row r="155" spans="1:21" s="9" customFormat="1" ht="30" customHeight="1" x14ac:dyDescent="0.3">
      <c r="A155" s="374" t="s">
        <v>74</v>
      </c>
      <c r="B155" s="351" t="s">
        <v>93</v>
      </c>
      <c r="C155" s="351" t="s">
        <v>86</v>
      </c>
      <c r="D155" s="181" t="s">
        <v>2</v>
      </c>
      <c r="E155" s="230" t="e">
        <f>E157+E158+E156</f>
        <v>#REF!</v>
      </c>
      <c r="F155" s="135">
        <f>SUM(G155:O155)</f>
        <v>3075180.0551400008</v>
      </c>
      <c r="G155" s="230">
        <f t="shared" ref="G155:H155" si="33">G157+G158+G156+G159</f>
        <v>724828.87861999997</v>
      </c>
      <c r="H155" s="230">
        <f t="shared" si="33"/>
        <v>785105.55301999999</v>
      </c>
      <c r="I155" s="306">
        <f>I157+I158+I156+I159</f>
        <v>563187.35600000003</v>
      </c>
      <c r="J155" s="306"/>
      <c r="K155" s="306"/>
      <c r="L155" s="306"/>
      <c r="M155" s="306"/>
      <c r="N155" s="230">
        <f t="shared" ref="N155:O155" si="34">N157+N158+N156+N159</f>
        <v>558719.48750000005</v>
      </c>
      <c r="O155" s="230">
        <f t="shared" si="34"/>
        <v>443338.78</v>
      </c>
      <c r="P155" s="305"/>
      <c r="S155" s="111">
        <f>770.61/999.3*100</f>
        <v>77.114980486340443</v>
      </c>
      <c r="T155" s="45"/>
      <c r="U155" s="45"/>
    </row>
    <row r="156" spans="1:21" s="9" customFormat="1" ht="39.75" customHeight="1" x14ac:dyDescent="0.3">
      <c r="A156" s="374"/>
      <c r="B156" s="351"/>
      <c r="C156" s="351"/>
      <c r="D156" s="181" t="s">
        <v>40</v>
      </c>
      <c r="E156" s="225">
        <f>E174</f>
        <v>0</v>
      </c>
      <c r="F156" s="135">
        <f t="shared" ref="F156:F163" si="35">SUM(G156:O156)</f>
        <v>925902.25178000017</v>
      </c>
      <c r="G156" s="225">
        <f t="shared" ref="G156:H156" si="36">G160+G167+G174+G184+G191</f>
        <v>168810.5778</v>
      </c>
      <c r="H156" s="225">
        <f t="shared" si="36"/>
        <v>194255.56570000001</v>
      </c>
      <c r="I156" s="326">
        <f>I160+I167+I174+I184+I191</f>
        <v>199531.94307000001</v>
      </c>
      <c r="J156" s="327"/>
      <c r="K156" s="327"/>
      <c r="L156" s="327"/>
      <c r="M156" s="328"/>
      <c r="N156" s="225">
        <f t="shared" ref="N156:O156" si="37">N160+N167+N174+N184+N191</f>
        <v>187166.77438000002</v>
      </c>
      <c r="O156" s="225">
        <f t="shared" si="37"/>
        <v>176137.39083000002</v>
      </c>
      <c r="P156" s="305"/>
      <c r="T156" s="45"/>
      <c r="U156" s="45"/>
    </row>
    <row r="157" spans="1:21" s="9" customFormat="1" ht="39.75" customHeight="1" x14ac:dyDescent="0.3">
      <c r="A157" s="374"/>
      <c r="B157" s="351"/>
      <c r="C157" s="351"/>
      <c r="D157" s="181" t="s">
        <v>1</v>
      </c>
      <c r="E157" s="225" t="e">
        <f>#REF!+E160+E161+E168+#REF!+#REF!+E175+E185</f>
        <v>#REF!</v>
      </c>
      <c r="F157" s="135">
        <f t="shared" si="35"/>
        <v>1389735.9620400001</v>
      </c>
      <c r="G157" s="225">
        <f>G161+G168+G175+G185+G192+G206+G199</f>
        <v>266250.13696999999</v>
      </c>
      <c r="H157" s="225">
        <f>H161+H168+H175+H185+H192+H206+H199</f>
        <v>326694.87919999997</v>
      </c>
      <c r="I157" s="326">
        <f>I161+I168+I175+I185+I192+I199+I206</f>
        <v>294353.87132999999</v>
      </c>
      <c r="J157" s="327"/>
      <c r="K157" s="327"/>
      <c r="L157" s="327"/>
      <c r="M157" s="328"/>
      <c r="N157" s="225">
        <f t="shared" ref="N157:O157" si="38">N161+N168+N175+N185+N192+N206</f>
        <v>297656.16537</v>
      </c>
      <c r="O157" s="225">
        <f t="shared" si="38"/>
        <v>204780.90917</v>
      </c>
      <c r="P157" s="305"/>
      <c r="T157" s="45"/>
      <c r="U157" s="45"/>
    </row>
    <row r="158" spans="1:21" s="9" customFormat="1" ht="58.5" customHeight="1" x14ac:dyDescent="0.3">
      <c r="A158" s="374"/>
      <c r="B158" s="351"/>
      <c r="C158" s="351"/>
      <c r="D158" s="181" t="s">
        <v>48</v>
      </c>
      <c r="E158" s="225" t="e">
        <f>#REF!+E169+#REF!+#REF!+#REF!+E176+E186</f>
        <v>#REF!</v>
      </c>
      <c r="F158" s="135">
        <f t="shared" si="35"/>
        <v>759541.84132000001</v>
      </c>
      <c r="G158" s="225">
        <f>G162+G169+G176+G186+G193</f>
        <v>289768.16385000001</v>
      </c>
      <c r="H158" s="225">
        <f>H162+H169+H176+H186+H193</f>
        <v>264155.10811999999</v>
      </c>
      <c r="I158" s="301">
        <f>I162+I169+I176+I186+I193+I200+I207</f>
        <v>69301.541599999997</v>
      </c>
      <c r="J158" s="301"/>
      <c r="K158" s="301"/>
      <c r="L158" s="301"/>
      <c r="M158" s="301"/>
      <c r="N158" s="225">
        <f>N162+N169+N176+N186+N193</f>
        <v>73896.547749999998</v>
      </c>
      <c r="O158" s="225">
        <f t="shared" ref="O158" si="39">O162+O169+O176+O186+O193</f>
        <v>62420.480000000003</v>
      </c>
      <c r="P158" s="305"/>
      <c r="T158" s="45"/>
      <c r="U158" s="45"/>
    </row>
    <row r="159" spans="1:21" s="9" customFormat="1" ht="34.799999999999997" x14ac:dyDescent="0.3">
      <c r="A159" s="374"/>
      <c r="B159" s="351"/>
      <c r="C159" s="351"/>
      <c r="D159" s="181" t="s">
        <v>87</v>
      </c>
      <c r="E159" s="225"/>
      <c r="F159" s="135">
        <f t="shared" si="35"/>
        <v>0</v>
      </c>
      <c r="G159" s="225">
        <f t="shared" ref="G159:H159" si="40">G163+G170+G177+G187+G194</f>
        <v>0</v>
      </c>
      <c r="H159" s="225">
        <f t="shared" si="40"/>
        <v>0</v>
      </c>
      <c r="I159" s="301">
        <f>I163+I170+I177+I187+I194+I201+I208</f>
        <v>0</v>
      </c>
      <c r="J159" s="301"/>
      <c r="K159" s="301"/>
      <c r="L159" s="301"/>
      <c r="M159" s="301"/>
      <c r="N159" s="225">
        <f t="shared" ref="N159:O159" si="41">N163+N170+N177+N187+N194</f>
        <v>0</v>
      </c>
      <c r="O159" s="225">
        <f t="shared" si="41"/>
        <v>0</v>
      </c>
      <c r="P159" s="305"/>
      <c r="T159" s="45"/>
      <c r="U159" s="45"/>
    </row>
    <row r="160" spans="1:21" s="40" customFormat="1" ht="37.5" customHeight="1" x14ac:dyDescent="0.3">
      <c r="A160" s="354" t="s">
        <v>30</v>
      </c>
      <c r="B160" s="386" t="s">
        <v>94</v>
      </c>
      <c r="C160" s="350" t="s">
        <v>249</v>
      </c>
      <c r="D160" s="185" t="s">
        <v>40</v>
      </c>
      <c r="E160" s="231">
        <v>200475</v>
      </c>
      <c r="F160" s="135">
        <f>SUM(G160:O160)</f>
        <v>0</v>
      </c>
      <c r="G160" s="231">
        <v>0</v>
      </c>
      <c r="H160" s="231">
        <v>0</v>
      </c>
      <c r="I160" s="285">
        <v>0</v>
      </c>
      <c r="J160" s="285"/>
      <c r="K160" s="285"/>
      <c r="L160" s="285"/>
      <c r="M160" s="285"/>
      <c r="N160" s="231">
        <v>0</v>
      </c>
      <c r="O160" s="231">
        <v>0</v>
      </c>
      <c r="P160" s="303" t="s">
        <v>3</v>
      </c>
    </row>
    <row r="161" spans="1:17" s="40" customFormat="1" ht="34.799999999999997" x14ac:dyDescent="0.3">
      <c r="A161" s="354"/>
      <c r="B161" s="386"/>
      <c r="C161" s="350"/>
      <c r="D161" s="185" t="s">
        <v>1</v>
      </c>
      <c r="E161" s="231">
        <v>93</v>
      </c>
      <c r="F161" s="135">
        <f t="shared" si="35"/>
        <v>7</v>
      </c>
      <c r="G161" s="231">
        <v>7</v>
      </c>
      <c r="H161" s="231">
        <v>0</v>
      </c>
      <c r="I161" s="285">
        <v>0</v>
      </c>
      <c r="J161" s="285"/>
      <c r="K161" s="285"/>
      <c r="L161" s="285"/>
      <c r="M161" s="285"/>
      <c r="N161" s="231">
        <f>15+1-16</f>
        <v>0</v>
      </c>
      <c r="O161" s="231">
        <f>15+1-16</f>
        <v>0</v>
      </c>
      <c r="P161" s="303"/>
    </row>
    <row r="162" spans="1:17" s="40" customFormat="1" ht="52.2" x14ac:dyDescent="0.3">
      <c r="A162" s="354"/>
      <c r="B162" s="386"/>
      <c r="C162" s="350"/>
      <c r="D162" s="185" t="s">
        <v>47</v>
      </c>
      <c r="E162" s="231"/>
      <c r="F162" s="135">
        <f t="shared" si="35"/>
        <v>0</v>
      </c>
      <c r="G162" s="231">
        <v>0</v>
      </c>
      <c r="H162" s="231">
        <v>0</v>
      </c>
      <c r="I162" s="285">
        <v>0</v>
      </c>
      <c r="J162" s="285"/>
      <c r="K162" s="285"/>
      <c r="L162" s="285"/>
      <c r="M162" s="285"/>
      <c r="N162" s="231">
        <v>0</v>
      </c>
      <c r="O162" s="231">
        <v>0</v>
      </c>
      <c r="P162" s="303"/>
    </row>
    <row r="163" spans="1:17" s="40" customFormat="1" ht="33" customHeight="1" x14ac:dyDescent="0.3">
      <c r="A163" s="354"/>
      <c r="B163" s="386"/>
      <c r="C163" s="350"/>
      <c r="D163" s="185" t="s">
        <v>87</v>
      </c>
      <c r="E163" s="231"/>
      <c r="F163" s="135">
        <f t="shared" si="35"/>
        <v>0</v>
      </c>
      <c r="G163" s="231">
        <v>0</v>
      </c>
      <c r="H163" s="231">
        <v>0</v>
      </c>
      <c r="I163" s="285">
        <v>0</v>
      </c>
      <c r="J163" s="285"/>
      <c r="K163" s="285"/>
      <c r="L163" s="285"/>
      <c r="M163" s="285"/>
      <c r="N163" s="231">
        <v>0</v>
      </c>
      <c r="O163" s="231">
        <v>0</v>
      </c>
      <c r="P163" s="303"/>
    </row>
    <row r="164" spans="1:17" s="40" customFormat="1" ht="23.25" customHeight="1" x14ac:dyDescent="0.3">
      <c r="A164" s="354"/>
      <c r="B164" s="286" t="s">
        <v>157</v>
      </c>
      <c r="C164" s="288" t="s">
        <v>116</v>
      </c>
      <c r="D164" s="289" t="s">
        <v>116</v>
      </c>
      <c r="E164" s="228"/>
      <c r="F164" s="290" t="s">
        <v>117</v>
      </c>
      <c r="G164" s="227" t="s">
        <v>234</v>
      </c>
      <c r="H164" s="227" t="s">
        <v>235</v>
      </c>
      <c r="I164" s="283" t="s">
        <v>123</v>
      </c>
      <c r="J164" s="284" t="s">
        <v>118</v>
      </c>
      <c r="K164" s="284"/>
      <c r="L164" s="284"/>
      <c r="M164" s="284"/>
      <c r="N164" s="227" t="s">
        <v>124</v>
      </c>
      <c r="O164" s="227" t="s">
        <v>125</v>
      </c>
      <c r="P164" s="295" t="s">
        <v>116</v>
      </c>
      <c r="Q164" s="41"/>
    </row>
    <row r="165" spans="1:17" s="40" customFormat="1" ht="21.75" customHeight="1" x14ac:dyDescent="0.3">
      <c r="A165" s="354"/>
      <c r="B165" s="286"/>
      <c r="C165" s="288"/>
      <c r="D165" s="289"/>
      <c r="E165" s="228"/>
      <c r="F165" s="290"/>
      <c r="G165" s="228"/>
      <c r="H165" s="228"/>
      <c r="I165" s="283"/>
      <c r="J165" s="228" t="s">
        <v>119</v>
      </c>
      <c r="K165" s="228" t="s">
        <v>120</v>
      </c>
      <c r="L165" s="228" t="s">
        <v>121</v>
      </c>
      <c r="M165" s="228" t="s">
        <v>122</v>
      </c>
      <c r="N165" s="228"/>
      <c r="O165" s="228"/>
      <c r="P165" s="295"/>
      <c r="Q165" s="41"/>
    </row>
    <row r="166" spans="1:17" s="40" customFormat="1" ht="27.75" customHeight="1" x14ac:dyDescent="0.3">
      <c r="A166" s="354"/>
      <c r="B166" s="286"/>
      <c r="C166" s="288"/>
      <c r="D166" s="289"/>
      <c r="E166" s="228"/>
      <c r="F166" s="136">
        <v>100</v>
      </c>
      <c r="G166" s="121">
        <v>100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>
        <v>0</v>
      </c>
      <c r="P166" s="295"/>
      <c r="Q166" s="41"/>
    </row>
    <row r="167" spans="1:17" s="40" customFormat="1" ht="33.75" customHeight="1" x14ac:dyDescent="0.3">
      <c r="A167" s="354" t="s">
        <v>31</v>
      </c>
      <c r="B167" s="352" t="s">
        <v>130</v>
      </c>
      <c r="C167" s="350" t="s">
        <v>201</v>
      </c>
      <c r="D167" s="185" t="s">
        <v>40</v>
      </c>
      <c r="E167" s="231"/>
      <c r="F167" s="135">
        <f>SUM(G167:O167)</f>
        <v>0</v>
      </c>
      <c r="G167" s="231">
        <v>0</v>
      </c>
      <c r="H167" s="231">
        <v>0</v>
      </c>
      <c r="I167" s="285">
        <v>0</v>
      </c>
      <c r="J167" s="285"/>
      <c r="K167" s="285"/>
      <c r="L167" s="285"/>
      <c r="M167" s="285"/>
      <c r="N167" s="231">
        <f>1680-1680</f>
        <v>0</v>
      </c>
      <c r="O167" s="231">
        <v>0</v>
      </c>
      <c r="P167" s="303" t="s">
        <v>3</v>
      </c>
    </row>
    <row r="168" spans="1:17" s="40" customFormat="1" ht="37.5" customHeight="1" x14ac:dyDescent="0.3">
      <c r="A168" s="354"/>
      <c r="B168" s="352"/>
      <c r="C168" s="350"/>
      <c r="D168" s="185" t="s">
        <v>1</v>
      </c>
      <c r="E168" s="231">
        <v>1680</v>
      </c>
      <c r="F168" s="135">
        <f t="shared" ref="F168:F170" si="42">SUM(G168:O168)</f>
        <v>36144</v>
      </c>
      <c r="G168" s="231">
        <v>0</v>
      </c>
      <c r="H168" s="231">
        <v>7608</v>
      </c>
      <c r="I168" s="285">
        <v>9032</v>
      </c>
      <c r="J168" s="285"/>
      <c r="K168" s="285"/>
      <c r="L168" s="285"/>
      <c r="M168" s="285"/>
      <c r="N168" s="231">
        <v>9504</v>
      </c>
      <c r="O168" s="231">
        <v>10000</v>
      </c>
      <c r="P168" s="303"/>
    </row>
    <row r="169" spans="1:17" s="40" customFormat="1" ht="52.2" x14ac:dyDescent="0.3">
      <c r="A169" s="354"/>
      <c r="B169" s="352"/>
      <c r="C169" s="350"/>
      <c r="D169" s="185" t="s">
        <v>47</v>
      </c>
      <c r="E169" s="231">
        <v>420</v>
      </c>
      <c r="F169" s="135">
        <f t="shared" si="42"/>
        <v>9036</v>
      </c>
      <c r="G169" s="231">
        <v>0</v>
      </c>
      <c r="H169" s="231">
        <v>1902</v>
      </c>
      <c r="I169" s="285">
        <v>2258</v>
      </c>
      <c r="J169" s="285"/>
      <c r="K169" s="285"/>
      <c r="L169" s="285"/>
      <c r="M169" s="285"/>
      <c r="N169" s="231">
        <v>2376</v>
      </c>
      <c r="O169" s="231">
        <v>2500</v>
      </c>
      <c r="P169" s="303"/>
    </row>
    <row r="170" spans="1:17" s="40" customFormat="1" ht="34.799999999999997" x14ac:dyDescent="0.3">
      <c r="A170" s="354"/>
      <c r="B170" s="352"/>
      <c r="C170" s="350"/>
      <c r="D170" s="185" t="s">
        <v>87</v>
      </c>
      <c r="E170" s="231"/>
      <c r="F170" s="135">
        <f t="shared" si="42"/>
        <v>0</v>
      </c>
      <c r="G170" s="231">
        <v>0</v>
      </c>
      <c r="H170" s="231">
        <v>0</v>
      </c>
      <c r="I170" s="285">
        <v>0</v>
      </c>
      <c r="J170" s="285"/>
      <c r="K170" s="285"/>
      <c r="L170" s="285"/>
      <c r="M170" s="285"/>
      <c r="N170" s="231">
        <v>0</v>
      </c>
      <c r="O170" s="231">
        <v>0</v>
      </c>
      <c r="P170" s="303"/>
    </row>
    <row r="171" spans="1:17" s="40" customFormat="1" ht="24.75" customHeight="1" x14ac:dyDescent="0.3">
      <c r="A171" s="354"/>
      <c r="B171" s="286" t="s">
        <v>158</v>
      </c>
      <c r="C171" s="288" t="s">
        <v>116</v>
      </c>
      <c r="D171" s="289" t="s">
        <v>116</v>
      </c>
      <c r="E171" s="228"/>
      <c r="F171" s="290" t="s">
        <v>117</v>
      </c>
      <c r="G171" s="227" t="s">
        <v>234</v>
      </c>
      <c r="H171" s="227" t="s">
        <v>235</v>
      </c>
      <c r="I171" s="283" t="s">
        <v>123</v>
      </c>
      <c r="J171" s="284" t="s">
        <v>118</v>
      </c>
      <c r="K171" s="284"/>
      <c r="L171" s="284"/>
      <c r="M171" s="284"/>
      <c r="N171" s="227" t="s">
        <v>124</v>
      </c>
      <c r="O171" s="227" t="s">
        <v>125</v>
      </c>
      <c r="P171" s="295" t="s">
        <v>116</v>
      </c>
      <c r="Q171" s="41"/>
    </row>
    <row r="172" spans="1:17" s="40" customFormat="1" ht="24.75" customHeight="1" x14ac:dyDescent="0.3">
      <c r="A172" s="354"/>
      <c r="B172" s="286"/>
      <c r="C172" s="288"/>
      <c r="D172" s="289"/>
      <c r="E172" s="228"/>
      <c r="F172" s="290"/>
      <c r="G172" s="228"/>
      <c r="H172" s="228"/>
      <c r="I172" s="283"/>
      <c r="J172" s="228" t="s">
        <v>119</v>
      </c>
      <c r="K172" s="228" t="s">
        <v>120</v>
      </c>
      <c r="L172" s="228" t="s">
        <v>121</v>
      </c>
      <c r="M172" s="228" t="s">
        <v>122</v>
      </c>
      <c r="N172" s="228"/>
      <c r="O172" s="228"/>
      <c r="P172" s="295"/>
      <c r="Q172" s="41"/>
    </row>
    <row r="173" spans="1:17" s="40" customFormat="1" ht="32.25" customHeight="1" x14ac:dyDescent="0.3">
      <c r="A173" s="354"/>
      <c r="B173" s="286"/>
      <c r="C173" s="288"/>
      <c r="D173" s="289"/>
      <c r="E173" s="228"/>
      <c r="F173" s="136">
        <f>I173+H173+G173+N173+O173</f>
        <v>8</v>
      </c>
      <c r="G173" s="121">
        <v>0</v>
      </c>
      <c r="H173" s="121">
        <v>2</v>
      </c>
      <c r="I173" s="121">
        <v>2</v>
      </c>
      <c r="J173" s="121">
        <v>0</v>
      </c>
      <c r="K173" s="121">
        <v>0</v>
      </c>
      <c r="L173" s="121">
        <v>0</v>
      </c>
      <c r="M173" s="121">
        <v>2</v>
      </c>
      <c r="N173" s="121">
        <v>2</v>
      </c>
      <c r="O173" s="121">
        <v>2</v>
      </c>
      <c r="P173" s="295"/>
      <c r="Q173" s="41"/>
    </row>
    <row r="174" spans="1:17" s="40" customFormat="1" ht="36.75" customHeight="1" x14ac:dyDescent="0.3">
      <c r="A174" s="399" t="s">
        <v>32</v>
      </c>
      <c r="B174" s="352" t="s">
        <v>131</v>
      </c>
      <c r="C174" s="350" t="s">
        <v>86</v>
      </c>
      <c r="D174" s="184" t="s">
        <v>40</v>
      </c>
      <c r="E174" s="231">
        <v>0</v>
      </c>
      <c r="F174" s="135">
        <f>SUM(G174:O174)</f>
        <v>925902.25178000017</v>
      </c>
      <c r="G174" s="231">
        <v>168810.5778</v>
      </c>
      <c r="H174" s="231">
        <v>194255.56570000001</v>
      </c>
      <c r="I174" s="285">
        <f>199531.92+0.02307</f>
        <v>199531.94307000001</v>
      </c>
      <c r="J174" s="285"/>
      <c r="K174" s="285"/>
      <c r="L174" s="285"/>
      <c r="M174" s="285"/>
      <c r="N174" s="231">
        <f>187166.76+0.01438</f>
        <v>187166.77438000002</v>
      </c>
      <c r="O174" s="231">
        <f>176137.39+0.00083</f>
        <v>176137.39083000002</v>
      </c>
      <c r="P174" s="303" t="s">
        <v>95</v>
      </c>
    </row>
    <row r="175" spans="1:17" s="40" customFormat="1" ht="34.799999999999997" x14ac:dyDescent="0.3">
      <c r="A175" s="400"/>
      <c r="B175" s="352"/>
      <c r="C175" s="350"/>
      <c r="D175" s="184" t="s">
        <v>1</v>
      </c>
      <c r="E175" s="231">
        <v>0</v>
      </c>
      <c r="F175" s="135">
        <f t="shared" ref="F175:F177" si="43">SUM(G175:O175)</f>
        <v>777246.96204000001</v>
      </c>
      <c r="G175" s="231">
        <v>102492.13697000001</v>
      </c>
      <c r="H175" s="231">
        <v>117940.8792</v>
      </c>
      <c r="I175" s="331">
        <f>126974.88-0.02307+54648.0144</f>
        <v>181622.87132999999</v>
      </c>
      <c r="J175" s="331"/>
      <c r="K175" s="331"/>
      <c r="L175" s="331"/>
      <c r="M175" s="331"/>
      <c r="N175" s="258">
        <f>136775.74-0.01438+97505.43975</f>
        <v>234281.16537</v>
      </c>
      <c r="O175" s="231">
        <f>140909.91-0.00083</f>
        <v>140909.90917</v>
      </c>
      <c r="P175" s="303"/>
    </row>
    <row r="176" spans="1:17" s="40" customFormat="1" ht="52.2" x14ac:dyDescent="0.3">
      <c r="A176" s="400"/>
      <c r="B176" s="352"/>
      <c r="C176" s="350"/>
      <c r="D176" s="184" t="s">
        <v>48</v>
      </c>
      <c r="E176" s="231">
        <v>0</v>
      </c>
      <c r="F176" s="135">
        <f t="shared" si="43"/>
        <v>189238.80932</v>
      </c>
      <c r="G176" s="231">
        <v>30144.746090000001</v>
      </c>
      <c r="H176" s="231">
        <v>34688.493880000002</v>
      </c>
      <c r="I176" s="331">
        <f>36278.54+6072.0016</f>
        <v>42350.541599999997</v>
      </c>
      <c r="J176" s="331"/>
      <c r="K176" s="331"/>
      <c r="L176" s="331"/>
      <c r="M176" s="331"/>
      <c r="N176" s="258">
        <f>35993.61+10833.93775</f>
        <v>46827.547749999998</v>
      </c>
      <c r="O176" s="231">
        <v>35227.480000000003</v>
      </c>
      <c r="P176" s="303"/>
    </row>
    <row r="177" spans="1:17" s="40" customFormat="1" ht="34.799999999999997" x14ac:dyDescent="0.3">
      <c r="A177" s="400"/>
      <c r="B177" s="352"/>
      <c r="C177" s="350"/>
      <c r="D177" s="185" t="s">
        <v>87</v>
      </c>
      <c r="E177" s="231"/>
      <c r="F177" s="135">
        <f t="shared" si="43"/>
        <v>0</v>
      </c>
      <c r="G177" s="231">
        <v>0</v>
      </c>
      <c r="H177" s="231">
        <v>0</v>
      </c>
      <c r="I177" s="285">
        <v>0</v>
      </c>
      <c r="J177" s="285"/>
      <c r="K177" s="285"/>
      <c r="L177" s="285"/>
      <c r="M177" s="285"/>
      <c r="N177" s="231">
        <v>0</v>
      </c>
      <c r="O177" s="231">
        <v>0</v>
      </c>
      <c r="P177" s="303"/>
    </row>
    <row r="178" spans="1:17" s="40" customFormat="1" ht="33.6" customHeight="1" x14ac:dyDescent="0.3">
      <c r="A178" s="400"/>
      <c r="B178" s="286" t="s">
        <v>159</v>
      </c>
      <c r="C178" s="288" t="s">
        <v>116</v>
      </c>
      <c r="D178" s="289" t="s">
        <v>116</v>
      </c>
      <c r="E178" s="228"/>
      <c r="F178" s="290" t="s">
        <v>117</v>
      </c>
      <c r="G178" s="227" t="s">
        <v>234</v>
      </c>
      <c r="H178" s="227" t="s">
        <v>235</v>
      </c>
      <c r="I178" s="283" t="s">
        <v>123</v>
      </c>
      <c r="J178" s="284" t="s">
        <v>118</v>
      </c>
      <c r="K178" s="284"/>
      <c r="L178" s="284"/>
      <c r="M178" s="284"/>
      <c r="N178" s="227" t="s">
        <v>124</v>
      </c>
      <c r="O178" s="227" t="s">
        <v>125</v>
      </c>
      <c r="P178" s="295" t="s">
        <v>116</v>
      </c>
      <c r="Q178" s="41"/>
    </row>
    <row r="179" spans="1:17" s="40" customFormat="1" ht="32.25" customHeight="1" x14ac:dyDescent="0.3">
      <c r="A179" s="400"/>
      <c r="B179" s="286"/>
      <c r="C179" s="288"/>
      <c r="D179" s="289"/>
      <c r="E179" s="228"/>
      <c r="F179" s="290"/>
      <c r="G179" s="228"/>
      <c r="H179" s="228"/>
      <c r="I179" s="283"/>
      <c r="J179" s="228" t="s">
        <v>119</v>
      </c>
      <c r="K179" s="228" t="s">
        <v>120</v>
      </c>
      <c r="L179" s="228" t="s">
        <v>121</v>
      </c>
      <c r="M179" s="228" t="s">
        <v>122</v>
      </c>
      <c r="N179" s="228"/>
      <c r="O179" s="228"/>
      <c r="P179" s="295"/>
      <c r="Q179" s="41"/>
    </row>
    <row r="180" spans="1:17" s="40" customFormat="1" ht="36.75" customHeight="1" x14ac:dyDescent="0.3">
      <c r="A180" s="400"/>
      <c r="B180" s="286"/>
      <c r="C180" s="288"/>
      <c r="D180" s="289"/>
      <c r="E180" s="228"/>
      <c r="F180" s="136">
        <v>100</v>
      </c>
      <c r="G180" s="121">
        <v>100</v>
      </c>
      <c r="H180" s="121">
        <v>100</v>
      </c>
      <c r="I180" s="121" t="s">
        <v>262</v>
      </c>
      <c r="J180" s="121" t="s">
        <v>262</v>
      </c>
      <c r="K180" s="121" t="s">
        <v>262</v>
      </c>
      <c r="L180" s="121" t="s">
        <v>262</v>
      </c>
      <c r="M180" s="121" t="s">
        <v>262</v>
      </c>
      <c r="N180" s="121" t="s">
        <v>262</v>
      </c>
      <c r="O180" s="121" t="s">
        <v>262</v>
      </c>
      <c r="P180" s="295"/>
      <c r="Q180" s="41"/>
    </row>
    <row r="181" spans="1:17" s="40" customFormat="1" ht="31.8" customHeight="1" x14ac:dyDescent="0.3">
      <c r="A181" s="400"/>
      <c r="B181" s="286" t="s">
        <v>256</v>
      </c>
      <c r="C181" s="288" t="s">
        <v>116</v>
      </c>
      <c r="D181" s="289" t="s">
        <v>116</v>
      </c>
      <c r="E181" s="228"/>
      <c r="F181" s="290" t="s">
        <v>117</v>
      </c>
      <c r="G181" s="227" t="s">
        <v>234</v>
      </c>
      <c r="H181" s="227" t="s">
        <v>235</v>
      </c>
      <c r="I181" s="283" t="s">
        <v>123</v>
      </c>
      <c r="J181" s="284" t="s">
        <v>118</v>
      </c>
      <c r="K181" s="284"/>
      <c r="L181" s="284"/>
      <c r="M181" s="284"/>
      <c r="N181" s="227" t="s">
        <v>124</v>
      </c>
      <c r="O181" s="227" t="s">
        <v>125</v>
      </c>
      <c r="P181" s="295" t="s">
        <v>116</v>
      </c>
      <c r="Q181" s="41"/>
    </row>
    <row r="182" spans="1:17" s="40" customFormat="1" ht="32.25" customHeight="1" x14ac:dyDescent="0.3">
      <c r="A182" s="400"/>
      <c r="B182" s="286"/>
      <c r="C182" s="288"/>
      <c r="D182" s="289"/>
      <c r="E182" s="228"/>
      <c r="F182" s="290"/>
      <c r="G182" s="228"/>
      <c r="H182" s="228"/>
      <c r="I182" s="283"/>
      <c r="J182" s="228" t="s">
        <v>119</v>
      </c>
      <c r="K182" s="228" t="s">
        <v>120</v>
      </c>
      <c r="L182" s="228" t="s">
        <v>121</v>
      </c>
      <c r="M182" s="228" t="s">
        <v>122</v>
      </c>
      <c r="N182" s="228"/>
      <c r="O182" s="228"/>
      <c r="P182" s="295"/>
      <c r="Q182" s="41"/>
    </row>
    <row r="183" spans="1:17" s="40" customFormat="1" ht="35.25" customHeight="1" x14ac:dyDescent="0.3">
      <c r="A183" s="401"/>
      <c r="B183" s="286"/>
      <c r="C183" s="288"/>
      <c r="D183" s="289"/>
      <c r="E183" s="228"/>
      <c r="F183" s="136">
        <f>I183+N183+O183</f>
        <v>67798</v>
      </c>
      <c r="G183" s="121" t="s">
        <v>262</v>
      </c>
      <c r="H183" s="121" t="s">
        <v>262</v>
      </c>
      <c r="I183" s="121" t="s">
        <v>257</v>
      </c>
      <c r="J183" s="121" t="s">
        <v>257</v>
      </c>
      <c r="K183" s="121" t="s">
        <v>257</v>
      </c>
      <c r="L183" s="121" t="s">
        <v>257</v>
      </c>
      <c r="M183" s="121" t="s">
        <v>257</v>
      </c>
      <c r="N183" s="121">
        <v>22674</v>
      </c>
      <c r="O183" s="121">
        <v>21335</v>
      </c>
      <c r="P183" s="295"/>
      <c r="Q183" s="41"/>
    </row>
    <row r="184" spans="1:17" s="40" customFormat="1" ht="34.799999999999997" x14ac:dyDescent="0.3">
      <c r="A184" s="354" t="s">
        <v>33</v>
      </c>
      <c r="B184" s="352" t="s">
        <v>132</v>
      </c>
      <c r="C184" s="350" t="s">
        <v>250</v>
      </c>
      <c r="D184" s="184" t="s">
        <v>40</v>
      </c>
      <c r="E184" s="231"/>
      <c r="F184" s="135">
        <f t="shared" ref="F184:F187" si="44">SUM(G184:O184)</f>
        <v>0</v>
      </c>
      <c r="G184" s="231">
        <v>0</v>
      </c>
      <c r="H184" s="231">
        <v>0</v>
      </c>
      <c r="I184" s="285">
        <v>0</v>
      </c>
      <c r="J184" s="285"/>
      <c r="K184" s="285"/>
      <c r="L184" s="285"/>
      <c r="M184" s="285"/>
      <c r="N184" s="231">
        <v>0</v>
      </c>
      <c r="O184" s="231">
        <v>0</v>
      </c>
      <c r="P184" s="303" t="s">
        <v>95</v>
      </c>
    </row>
    <row r="185" spans="1:17" s="40" customFormat="1" ht="34.799999999999997" x14ac:dyDescent="0.3">
      <c r="A185" s="354"/>
      <c r="B185" s="352"/>
      <c r="C185" s="350"/>
      <c r="D185" s="184" t="s">
        <v>1</v>
      </c>
      <c r="E185" s="231">
        <v>0</v>
      </c>
      <c r="F185" s="135">
        <f t="shared" si="44"/>
        <v>245884</v>
      </c>
      <c r="G185" s="231">
        <v>115501</v>
      </c>
      <c r="H185" s="231">
        <v>130383</v>
      </c>
      <c r="I185" s="285">
        <v>0</v>
      </c>
      <c r="J185" s="285"/>
      <c r="K185" s="285"/>
      <c r="L185" s="285"/>
      <c r="M185" s="285"/>
      <c r="N185" s="231">
        <f t="shared" ref="N185:O185" si="45">106081-726-105355</f>
        <v>0</v>
      </c>
      <c r="O185" s="231">
        <f t="shared" si="45"/>
        <v>0</v>
      </c>
      <c r="P185" s="303"/>
    </row>
    <row r="186" spans="1:17" s="40" customFormat="1" ht="52.2" x14ac:dyDescent="0.3">
      <c r="A186" s="354"/>
      <c r="B186" s="352"/>
      <c r="C186" s="350"/>
      <c r="D186" s="184" t="s">
        <v>48</v>
      </c>
      <c r="E186" s="231">
        <v>0</v>
      </c>
      <c r="F186" s="135">
        <f t="shared" si="44"/>
        <v>427077.31842000003</v>
      </c>
      <c r="G186" s="231">
        <v>223675.70418</v>
      </c>
      <c r="H186" s="231">
        <v>203401.61424</v>
      </c>
      <c r="I186" s="285">
        <v>0</v>
      </c>
      <c r="J186" s="285"/>
      <c r="K186" s="285"/>
      <c r="L186" s="285"/>
      <c r="M186" s="285"/>
      <c r="N186" s="231">
        <v>0</v>
      </c>
      <c r="O186" s="231">
        <v>0</v>
      </c>
      <c r="P186" s="303"/>
    </row>
    <row r="187" spans="1:17" s="40" customFormat="1" ht="34.799999999999997" x14ac:dyDescent="0.3">
      <c r="A187" s="354"/>
      <c r="B187" s="352"/>
      <c r="C187" s="350"/>
      <c r="D187" s="185" t="s">
        <v>87</v>
      </c>
      <c r="E187" s="231"/>
      <c r="F187" s="135">
        <f t="shared" si="44"/>
        <v>0</v>
      </c>
      <c r="G187" s="231">
        <v>0</v>
      </c>
      <c r="H187" s="231">
        <v>0</v>
      </c>
      <c r="I187" s="285">
        <v>0</v>
      </c>
      <c r="J187" s="285"/>
      <c r="K187" s="285"/>
      <c r="L187" s="285"/>
      <c r="M187" s="285"/>
      <c r="N187" s="231">
        <v>0</v>
      </c>
      <c r="O187" s="231">
        <v>0</v>
      </c>
      <c r="P187" s="303"/>
    </row>
    <row r="188" spans="1:17" s="40" customFormat="1" ht="34.799999999999997" customHeight="1" x14ac:dyDescent="0.3">
      <c r="A188" s="354"/>
      <c r="B188" s="286" t="s">
        <v>160</v>
      </c>
      <c r="C188" s="288" t="s">
        <v>116</v>
      </c>
      <c r="D188" s="289" t="s">
        <v>116</v>
      </c>
      <c r="E188" s="228"/>
      <c r="F188" s="290" t="s">
        <v>117</v>
      </c>
      <c r="G188" s="227" t="s">
        <v>234</v>
      </c>
      <c r="H188" s="227" t="s">
        <v>235</v>
      </c>
      <c r="I188" s="283" t="s">
        <v>123</v>
      </c>
      <c r="J188" s="284" t="s">
        <v>118</v>
      </c>
      <c r="K188" s="284"/>
      <c r="L188" s="284"/>
      <c r="M188" s="284"/>
      <c r="N188" s="227" t="s">
        <v>124</v>
      </c>
      <c r="O188" s="227" t="s">
        <v>125</v>
      </c>
      <c r="P188" s="295" t="s">
        <v>116</v>
      </c>
      <c r="Q188" s="41"/>
    </row>
    <row r="189" spans="1:17" s="40" customFormat="1" ht="34.200000000000003" customHeight="1" x14ac:dyDescent="0.3">
      <c r="A189" s="354"/>
      <c r="B189" s="286"/>
      <c r="C189" s="288"/>
      <c r="D189" s="289"/>
      <c r="E189" s="228"/>
      <c r="F189" s="290"/>
      <c r="G189" s="228"/>
      <c r="H189" s="228"/>
      <c r="I189" s="283"/>
      <c r="J189" s="228" t="s">
        <v>119</v>
      </c>
      <c r="K189" s="228" t="s">
        <v>120</v>
      </c>
      <c r="L189" s="228" t="s">
        <v>121</v>
      </c>
      <c r="M189" s="228" t="s">
        <v>122</v>
      </c>
      <c r="N189" s="228"/>
      <c r="O189" s="228"/>
      <c r="P189" s="295"/>
      <c r="Q189" s="41"/>
    </row>
    <row r="190" spans="1:17" s="40" customFormat="1" ht="43.5" customHeight="1" x14ac:dyDescent="0.3">
      <c r="A190" s="354"/>
      <c r="B190" s="286"/>
      <c r="C190" s="288"/>
      <c r="D190" s="289"/>
      <c r="E190" s="228"/>
      <c r="F190" s="136">
        <v>100</v>
      </c>
      <c r="G190" s="121">
        <v>100</v>
      </c>
      <c r="H190" s="121">
        <v>100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295"/>
      <c r="Q190" s="41"/>
    </row>
    <row r="191" spans="1:17" s="40" customFormat="1" ht="34.799999999999997" x14ac:dyDescent="0.3">
      <c r="A191" s="389" t="s">
        <v>68</v>
      </c>
      <c r="B191" s="324" t="s">
        <v>135</v>
      </c>
      <c r="C191" s="325" t="s">
        <v>86</v>
      </c>
      <c r="D191" s="184" t="s">
        <v>40</v>
      </c>
      <c r="E191" s="231"/>
      <c r="F191" s="135">
        <f t="shared" ref="F191:F194" si="46">SUM(G191:O191)</f>
        <v>0</v>
      </c>
      <c r="G191" s="231">
        <v>0</v>
      </c>
      <c r="H191" s="231">
        <v>0</v>
      </c>
      <c r="I191" s="285">
        <v>0</v>
      </c>
      <c r="J191" s="285"/>
      <c r="K191" s="285"/>
      <c r="L191" s="285"/>
      <c r="M191" s="285"/>
      <c r="N191" s="231">
        <v>0</v>
      </c>
      <c r="O191" s="231">
        <v>0</v>
      </c>
      <c r="P191" s="330" t="s">
        <v>3</v>
      </c>
    </row>
    <row r="192" spans="1:17" s="40" customFormat="1" ht="34.799999999999997" x14ac:dyDescent="0.3">
      <c r="A192" s="389"/>
      <c r="B192" s="324"/>
      <c r="C192" s="325"/>
      <c r="D192" s="184" t="s">
        <v>1</v>
      </c>
      <c r="E192" s="226">
        <v>0</v>
      </c>
      <c r="F192" s="135">
        <f t="shared" si="46"/>
        <v>199780</v>
      </c>
      <c r="G192" s="226">
        <v>39329</v>
      </c>
      <c r="H192" s="226">
        <v>40100</v>
      </c>
      <c r="I192" s="322">
        <v>40117</v>
      </c>
      <c r="J192" s="322"/>
      <c r="K192" s="322"/>
      <c r="L192" s="322"/>
      <c r="M192" s="322"/>
      <c r="N192" s="226">
        <v>40117</v>
      </c>
      <c r="O192" s="226">
        <v>40117</v>
      </c>
      <c r="P192" s="330"/>
    </row>
    <row r="193" spans="1:17" s="40" customFormat="1" ht="52.2" x14ac:dyDescent="0.3">
      <c r="A193" s="389"/>
      <c r="B193" s="324"/>
      <c r="C193" s="325"/>
      <c r="D193" s="184" t="s">
        <v>48</v>
      </c>
      <c r="E193" s="226">
        <v>0</v>
      </c>
      <c r="F193" s="135">
        <f t="shared" si="46"/>
        <v>134189.71358000001</v>
      </c>
      <c r="G193" s="226">
        <v>35947.713580000003</v>
      </c>
      <c r="H193" s="226">
        <v>24163</v>
      </c>
      <c r="I193" s="322">
        <v>24693</v>
      </c>
      <c r="J193" s="322"/>
      <c r="K193" s="322"/>
      <c r="L193" s="322"/>
      <c r="M193" s="322"/>
      <c r="N193" s="226">
        <v>24693</v>
      </c>
      <c r="O193" s="226">
        <v>24693</v>
      </c>
      <c r="P193" s="330"/>
    </row>
    <row r="194" spans="1:17" s="40" customFormat="1" ht="34.799999999999997" x14ac:dyDescent="0.3">
      <c r="A194" s="389"/>
      <c r="B194" s="324"/>
      <c r="C194" s="325"/>
      <c r="D194" s="185" t="s">
        <v>87</v>
      </c>
      <c r="E194" s="226"/>
      <c r="F194" s="135">
        <f t="shared" si="46"/>
        <v>0</v>
      </c>
      <c r="G194" s="226">
        <v>0</v>
      </c>
      <c r="H194" s="226">
        <v>0</v>
      </c>
      <c r="I194" s="322">
        <v>0</v>
      </c>
      <c r="J194" s="322"/>
      <c r="K194" s="322"/>
      <c r="L194" s="322"/>
      <c r="M194" s="322"/>
      <c r="N194" s="226">
        <v>0</v>
      </c>
      <c r="O194" s="226">
        <v>0</v>
      </c>
      <c r="P194" s="330"/>
    </row>
    <row r="195" spans="1:17" s="40" customFormat="1" ht="32.25" customHeight="1" x14ac:dyDescent="0.3">
      <c r="A195" s="389"/>
      <c r="B195" s="286" t="s">
        <v>161</v>
      </c>
      <c r="C195" s="288" t="s">
        <v>116</v>
      </c>
      <c r="D195" s="289" t="s">
        <v>116</v>
      </c>
      <c r="E195" s="228"/>
      <c r="F195" s="290" t="s">
        <v>117</v>
      </c>
      <c r="G195" s="227" t="s">
        <v>234</v>
      </c>
      <c r="H195" s="227" t="s">
        <v>235</v>
      </c>
      <c r="I195" s="283" t="s">
        <v>123</v>
      </c>
      <c r="J195" s="284" t="s">
        <v>118</v>
      </c>
      <c r="K195" s="284"/>
      <c r="L195" s="284"/>
      <c r="M195" s="284"/>
      <c r="N195" s="227" t="s">
        <v>124</v>
      </c>
      <c r="O195" s="227" t="s">
        <v>125</v>
      </c>
      <c r="P195" s="295" t="s">
        <v>116</v>
      </c>
      <c r="Q195" s="41"/>
    </row>
    <row r="196" spans="1:17" s="40" customFormat="1" ht="28.5" customHeight="1" x14ac:dyDescent="0.3">
      <c r="A196" s="389"/>
      <c r="B196" s="286"/>
      <c r="C196" s="288"/>
      <c r="D196" s="289"/>
      <c r="E196" s="228"/>
      <c r="F196" s="290"/>
      <c r="G196" s="228"/>
      <c r="H196" s="228"/>
      <c r="I196" s="283"/>
      <c r="J196" s="228" t="s">
        <v>119</v>
      </c>
      <c r="K196" s="228" t="s">
        <v>120</v>
      </c>
      <c r="L196" s="228" t="s">
        <v>121</v>
      </c>
      <c r="M196" s="228" t="s">
        <v>122</v>
      </c>
      <c r="N196" s="228"/>
      <c r="O196" s="228"/>
      <c r="P196" s="295"/>
      <c r="Q196" s="41"/>
    </row>
    <row r="197" spans="1:17" s="40" customFormat="1" ht="28.5" customHeight="1" x14ac:dyDescent="0.3">
      <c r="A197" s="389"/>
      <c r="B197" s="286"/>
      <c r="C197" s="288"/>
      <c r="D197" s="289"/>
      <c r="E197" s="228"/>
      <c r="F197" s="136">
        <v>785</v>
      </c>
      <c r="G197" s="121">
        <v>785</v>
      </c>
      <c r="H197" s="121">
        <v>785</v>
      </c>
      <c r="I197" s="121">
        <v>785</v>
      </c>
      <c r="J197" s="121">
        <v>785</v>
      </c>
      <c r="K197" s="121">
        <v>785</v>
      </c>
      <c r="L197" s="121">
        <v>785</v>
      </c>
      <c r="M197" s="121">
        <v>785</v>
      </c>
      <c r="N197" s="121">
        <v>785</v>
      </c>
      <c r="O197" s="121">
        <v>785</v>
      </c>
      <c r="P197" s="295"/>
      <c r="Q197" s="41"/>
    </row>
    <row r="198" spans="1:17" s="111" customFormat="1" ht="34.799999999999997" x14ac:dyDescent="0.3">
      <c r="A198" s="389" t="s">
        <v>194</v>
      </c>
      <c r="B198" s="324" t="s">
        <v>195</v>
      </c>
      <c r="C198" s="325" t="s">
        <v>250</v>
      </c>
      <c r="D198" s="184" t="s">
        <v>40</v>
      </c>
      <c r="E198" s="231"/>
      <c r="F198" s="135">
        <f t="shared" ref="F198:F201" si="47">SUM(G198:O198)</f>
        <v>0</v>
      </c>
      <c r="G198" s="231">
        <v>0</v>
      </c>
      <c r="H198" s="231">
        <v>0</v>
      </c>
      <c r="I198" s="285">
        <v>0</v>
      </c>
      <c r="J198" s="285"/>
      <c r="K198" s="285"/>
      <c r="L198" s="285"/>
      <c r="M198" s="285"/>
      <c r="N198" s="231">
        <v>0</v>
      </c>
      <c r="O198" s="231">
        <v>0</v>
      </c>
      <c r="P198" s="330" t="s">
        <v>3</v>
      </c>
    </row>
    <row r="199" spans="1:17" s="111" customFormat="1" ht="42" customHeight="1" x14ac:dyDescent="0.3">
      <c r="A199" s="389"/>
      <c r="B199" s="324"/>
      <c r="C199" s="325"/>
      <c r="D199" s="184" t="s">
        <v>1</v>
      </c>
      <c r="E199" s="226">
        <v>0</v>
      </c>
      <c r="F199" s="135">
        <f t="shared" si="47"/>
        <v>79462</v>
      </c>
      <c r="G199" s="226">
        <v>8921</v>
      </c>
      <c r="H199" s="226">
        <v>20713</v>
      </c>
      <c r="I199" s="322">
        <v>49828</v>
      </c>
      <c r="J199" s="322"/>
      <c r="K199" s="322"/>
      <c r="L199" s="322"/>
      <c r="M199" s="322"/>
      <c r="N199" s="226">
        <v>0</v>
      </c>
      <c r="O199" s="226">
        <v>0</v>
      </c>
      <c r="P199" s="330"/>
    </row>
    <row r="200" spans="1:17" s="111" customFormat="1" ht="51" customHeight="1" x14ac:dyDescent="0.3">
      <c r="A200" s="389"/>
      <c r="B200" s="324"/>
      <c r="C200" s="325"/>
      <c r="D200" s="184" t="s">
        <v>48</v>
      </c>
      <c r="E200" s="226">
        <v>0</v>
      </c>
      <c r="F200" s="135">
        <f t="shared" si="47"/>
        <v>0</v>
      </c>
      <c r="G200" s="226">
        <v>0</v>
      </c>
      <c r="H200" s="226">
        <v>0</v>
      </c>
      <c r="I200" s="322">
        <v>0</v>
      </c>
      <c r="J200" s="322"/>
      <c r="K200" s="322"/>
      <c r="L200" s="322"/>
      <c r="M200" s="322"/>
      <c r="N200" s="226">
        <v>0</v>
      </c>
      <c r="O200" s="226">
        <v>0</v>
      </c>
      <c r="P200" s="330"/>
    </row>
    <row r="201" spans="1:17" s="111" customFormat="1" ht="34.5" customHeight="1" x14ac:dyDescent="0.3">
      <c r="A201" s="389"/>
      <c r="B201" s="324"/>
      <c r="C201" s="325"/>
      <c r="D201" s="185" t="s">
        <v>87</v>
      </c>
      <c r="E201" s="226"/>
      <c r="F201" s="135">
        <f t="shared" si="47"/>
        <v>0</v>
      </c>
      <c r="G201" s="226">
        <v>0</v>
      </c>
      <c r="H201" s="226">
        <v>0</v>
      </c>
      <c r="I201" s="322">
        <v>0</v>
      </c>
      <c r="J201" s="322"/>
      <c r="K201" s="322"/>
      <c r="L201" s="322"/>
      <c r="M201" s="322"/>
      <c r="N201" s="226">
        <v>0</v>
      </c>
      <c r="O201" s="226">
        <v>0</v>
      </c>
      <c r="P201" s="330"/>
    </row>
    <row r="202" spans="1:17" s="111" customFormat="1" ht="33.75" customHeight="1" x14ac:dyDescent="0.3">
      <c r="A202" s="389"/>
      <c r="B202" s="286" t="s">
        <v>196</v>
      </c>
      <c r="C202" s="288" t="s">
        <v>116</v>
      </c>
      <c r="D202" s="289" t="s">
        <v>116</v>
      </c>
      <c r="E202" s="228"/>
      <c r="F202" s="290" t="s">
        <v>117</v>
      </c>
      <c r="G202" s="227" t="s">
        <v>234</v>
      </c>
      <c r="H202" s="227" t="s">
        <v>235</v>
      </c>
      <c r="I202" s="283" t="s">
        <v>123</v>
      </c>
      <c r="J202" s="284" t="s">
        <v>118</v>
      </c>
      <c r="K202" s="284"/>
      <c r="L202" s="284"/>
      <c r="M202" s="284"/>
      <c r="N202" s="227" t="s">
        <v>124</v>
      </c>
      <c r="O202" s="227" t="s">
        <v>125</v>
      </c>
      <c r="P202" s="295" t="s">
        <v>116</v>
      </c>
      <c r="Q202" s="112"/>
    </row>
    <row r="203" spans="1:17" s="111" customFormat="1" ht="27" customHeight="1" x14ac:dyDescent="0.3">
      <c r="A203" s="389"/>
      <c r="B203" s="286"/>
      <c r="C203" s="288"/>
      <c r="D203" s="289"/>
      <c r="E203" s="228"/>
      <c r="F203" s="290"/>
      <c r="G203" s="228"/>
      <c r="H203" s="228"/>
      <c r="I203" s="283"/>
      <c r="J203" s="228" t="s">
        <v>119</v>
      </c>
      <c r="K203" s="228" t="s">
        <v>120</v>
      </c>
      <c r="L203" s="228" t="s">
        <v>121</v>
      </c>
      <c r="M203" s="228" t="s">
        <v>122</v>
      </c>
      <c r="N203" s="228"/>
      <c r="O203" s="228"/>
      <c r="P203" s="295"/>
      <c r="Q203" s="112"/>
    </row>
    <row r="204" spans="1:17" s="111" customFormat="1" ht="29.25" customHeight="1" x14ac:dyDescent="0.3">
      <c r="A204" s="389"/>
      <c r="B204" s="286"/>
      <c r="C204" s="288"/>
      <c r="D204" s="289"/>
      <c r="E204" s="228"/>
      <c r="F204" s="136">
        <v>100</v>
      </c>
      <c r="G204" s="121">
        <v>100</v>
      </c>
      <c r="H204" s="121">
        <v>100</v>
      </c>
      <c r="I204" s="121">
        <v>100</v>
      </c>
      <c r="J204" s="121">
        <v>100</v>
      </c>
      <c r="K204" s="121">
        <v>100</v>
      </c>
      <c r="L204" s="121">
        <v>100</v>
      </c>
      <c r="M204" s="121">
        <v>100</v>
      </c>
      <c r="N204" s="121">
        <v>0</v>
      </c>
      <c r="O204" s="121">
        <v>0</v>
      </c>
      <c r="P204" s="295"/>
      <c r="Q204" s="112"/>
    </row>
    <row r="205" spans="1:17" s="40" customFormat="1" ht="39" customHeight="1" x14ac:dyDescent="0.3">
      <c r="A205" s="413" t="s">
        <v>216</v>
      </c>
      <c r="B205" s="324" t="s">
        <v>204</v>
      </c>
      <c r="C205" s="325" t="s">
        <v>201</v>
      </c>
      <c r="D205" s="184" t="s">
        <v>40</v>
      </c>
      <c r="E205" s="231"/>
      <c r="F205" s="135">
        <f t="shared" ref="F205:F208" si="48">SUM(G205:O205)</f>
        <v>0</v>
      </c>
      <c r="G205" s="231">
        <v>0</v>
      </c>
      <c r="H205" s="231">
        <v>0</v>
      </c>
      <c r="I205" s="285">
        <v>0</v>
      </c>
      <c r="J205" s="285"/>
      <c r="K205" s="285"/>
      <c r="L205" s="285"/>
      <c r="M205" s="285"/>
      <c r="N205" s="231">
        <v>0</v>
      </c>
      <c r="O205" s="231">
        <v>0</v>
      </c>
      <c r="P205" s="330" t="s">
        <v>3</v>
      </c>
    </row>
    <row r="206" spans="1:17" s="40" customFormat="1" ht="34.799999999999997" x14ac:dyDescent="0.3">
      <c r="A206" s="414"/>
      <c r="B206" s="324"/>
      <c r="C206" s="325"/>
      <c r="D206" s="184" t="s">
        <v>1</v>
      </c>
      <c r="E206" s="226">
        <v>0</v>
      </c>
      <c r="F206" s="135">
        <f t="shared" si="48"/>
        <v>51212</v>
      </c>
      <c r="G206" s="226">
        <v>0</v>
      </c>
      <c r="H206" s="226">
        <v>9950</v>
      </c>
      <c r="I206" s="322">
        <v>13754</v>
      </c>
      <c r="J206" s="322"/>
      <c r="K206" s="322"/>
      <c r="L206" s="322"/>
      <c r="M206" s="322"/>
      <c r="N206" s="226">
        <v>13754</v>
      </c>
      <c r="O206" s="226">
        <v>13754</v>
      </c>
      <c r="P206" s="330"/>
    </row>
    <row r="207" spans="1:17" s="40" customFormat="1" ht="52.2" x14ac:dyDescent="0.3">
      <c r="A207" s="414"/>
      <c r="B207" s="324"/>
      <c r="C207" s="325"/>
      <c r="D207" s="184" t="s">
        <v>48</v>
      </c>
      <c r="E207" s="226">
        <v>0</v>
      </c>
      <c r="F207" s="135">
        <f t="shared" si="48"/>
        <v>0</v>
      </c>
      <c r="G207" s="226">
        <v>0</v>
      </c>
      <c r="H207" s="226">
        <v>0</v>
      </c>
      <c r="I207" s="322">
        <v>0</v>
      </c>
      <c r="J207" s="322"/>
      <c r="K207" s="322"/>
      <c r="L207" s="322"/>
      <c r="M207" s="322"/>
      <c r="N207" s="226">
        <v>0</v>
      </c>
      <c r="O207" s="226">
        <v>0</v>
      </c>
      <c r="P207" s="330"/>
    </row>
    <row r="208" spans="1:17" s="40" customFormat="1" ht="34.799999999999997" x14ac:dyDescent="0.3">
      <c r="A208" s="414"/>
      <c r="B208" s="324"/>
      <c r="C208" s="325"/>
      <c r="D208" s="185" t="s">
        <v>87</v>
      </c>
      <c r="E208" s="226"/>
      <c r="F208" s="135">
        <f t="shared" si="48"/>
        <v>0</v>
      </c>
      <c r="G208" s="226">
        <v>0</v>
      </c>
      <c r="H208" s="226">
        <v>0</v>
      </c>
      <c r="I208" s="322">
        <v>0</v>
      </c>
      <c r="J208" s="322"/>
      <c r="K208" s="322"/>
      <c r="L208" s="322"/>
      <c r="M208" s="322"/>
      <c r="N208" s="226">
        <v>0</v>
      </c>
      <c r="O208" s="226">
        <v>0</v>
      </c>
      <c r="P208" s="330"/>
    </row>
    <row r="209" spans="1:21" s="40" customFormat="1" ht="39" customHeight="1" x14ac:dyDescent="0.3">
      <c r="A209" s="414"/>
      <c r="B209" s="286" t="s">
        <v>206</v>
      </c>
      <c r="C209" s="288" t="s">
        <v>116</v>
      </c>
      <c r="D209" s="289" t="s">
        <v>116</v>
      </c>
      <c r="E209" s="228"/>
      <c r="F209" s="290" t="s">
        <v>117</v>
      </c>
      <c r="G209" s="227" t="s">
        <v>234</v>
      </c>
      <c r="H209" s="227" t="s">
        <v>235</v>
      </c>
      <c r="I209" s="283" t="s">
        <v>123</v>
      </c>
      <c r="J209" s="284" t="s">
        <v>118</v>
      </c>
      <c r="K209" s="284"/>
      <c r="L209" s="284"/>
      <c r="M209" s="284"/>
      <c r="N209" s="227" t="s">
        <v>124</v>
      </c>
      <c r="O209" s="227" t="s">
        <v>125</v>
      </c>
      <c r="P209" s="295" t="s">
        <v>116</v>
      </c>
      <c r="Q209" s="41"/>
    </row>
    <row r="210" spans="1:21" s="40" customFormat="1" ht="24.6" customHeight="1" x14ac:dyDescent="0.3">
      <c r="A210" s="414"/>
      <c r="B210" s="286"/>
      <c r="C210" s="288"/>
      <c r="D210" s="289"/>
      <c r="E210" s="228"/>
      <c r="F210" s="290"/>
      <c r="G210" s="228"/>
      <c r="H210" s="228"/>
      <c r="I210" s="283"/>
      <c r="J210" s="228" t="s">
        <v>119</v>
      </c>
      <c r="K210" s="228" t="s">
        <v>120</v>
      </c>
      <c r="L210" s="228" t="s">
        <v>121</v>
      </c>
      <c r="M210" s="228" t="s">
        <v>122</v>
      </c>
      <c r="N210" s="228"/>
      <c r="O210" s="228"/>
      <c r="P210" s="295"/>
      <c r="Q210" s="41"/>
    </row>
    <row r="211" spans="1:21" s="40" customFormat="1" ht="30.75" customHeight="1" x14ac:dyDescent="0.3">
      <c r="A211" s="415"/>
      <c r="B211" s="286"/>
      <c r="C211" s="288"/>
      <c r="D211" s="289"/>
      <c r="E211" s="228"/>
      <c r="F211" s="136">
        <v>100</v>
      </c>
      <c r="G211" s="121">
        <v>0</v>
      </c>
      <c r="H211" s="121">
        <v>0</v>
      </c>
      <c r="I211" s="121">
        <v>100</v>
      </c>
      <c r="J211" s="121">
        <v>100</v>
      </c>
      <c r="K211" s="121">
        <v>100</v>
      </c>
      <c r="L211" s="121">
        <v>100</v>
      </c>
      <c r="M211" s="121">
        <v>100</v>
      </c>
      <c r="N211" s="121">
        <v>100</v>
      </c>
      <c r="O211" s="121">
        <v>100</v>
      </c>
      <c r="P211" s="295"/>
      <c r="Q211" s="41"/>
    </row>
    <row r="212" spans="1:21" s="9" customFormat="1" ht="37.5" customHeight="1" x14ac:dyDescent="0.3">
      <c r="A212" s="395" t="s">
        <v>8</v>
      </c>
      <c r="B212" s="329" t="s">
        <v>96</v>
      </c>
      <c r="C212" s="329" t="s">
        <v>86</v>
      </c>
      <c r="D212" s="186" t="s">
        <v>2</v>
      </c>
      <c r="E212" s="242">
        <f>E215</f>
        <v>9428.6200000000008</v>
      </c>
      <c r="F212" s="135">
        <f t="shared" ref="F212:F220" si="49">SUM(G212:O212)</f>
        <v>170035.96334999998</v>
      </c>
      <c r="G212" s="242">
        <f t="shared" ref="G212:H212" si="50">G213+G214+G215+G216</f>
        <v>16635.688859999998</v>
      </c>
      <c r="H212" s="242">
        <f t="shared" si="50"/>
        <v>41560</v>
      </c>
      <c r="I212" s="292">
        <f>I213+I214+I215+I216</f>
        <v>38808.274489999996</v>
      </c>
      <c r="J212" s="292"/>
      <c r="K212" s="292"/>
      <c r="L212" s="292"/>
      <c r="M212" s="292"/>
      <c r="N212" s="242">
        <f t="shared" ref="N212:O212" si="51">N213+N214+N215+N216</f>
        <v>36516</v>
      </c>
      <c r="O212" s="242">
        <f t="shared" si="51"/>
        <v>36516</v>
      </c>
      <c r="P212" s="300"/>
      <c r="T212" s="45"/>
      <c r="U212" s="45"/>
    </row>
    <row r="213" spans="1:21" s="9" customFormat="1" ht="34.799999999999997" x14ac:dyDescent="0.3">
      <c r="A213" s="395"/>
      <c r="B213" s="329"/>
      <c r="C213" s="329"/>
      <c r="D213" s="186" t="s">
        <v>40</v>
      </c>
      <c r="E213" s="242"/>
      <c r="F213" s="135">
        <f t="shared" si="49"/>
        <v>0</v>
      </c>
      <c r="G213" s="246">
        <f t="shared" ref="G213:H213" si="52">G217</f>
        <v>0</v>
      </c>
      <c r="H213" s="246">
        <f t="shared" si="52"/>
        <v>0</v>
      </c>
      <c r="I213" s="308">
        <f>I217</f>
        <v>0</v>
      </c>
      <c r="J213" s="308"/>
      <c r="K213" s="308"/>
      <c r="L213" s="308"/>
      <c r="M213" s="308"/>
      <c r="N213" s="246">
        <f t="shared" ref="N213:O213" si="53">N217</f>
        <v>0</v>
      </c>
      <c r="O213" s="246">
        <f t="shared" si="53"/>
        <v>0</v>
      </c>
      <c r="P213" s="300"/>
      <c r="T213" s="45"/>
      <c r="U213" s="45"/>
    </row>
    <row r="214" spans="1:21" s="9" customFormat="1" ht="34.799999999999997" x14ac:dyDescent="0.3">
      <c r="A214" s="395"/>
      <c r="B214" s="329"/>
      <c r="C214" s="329"/>
      <c r="D214" s="186" t="s">
        <v>1</v>
      </c>
      <c r="E214" s="242"/>
      <c r="F214" s="135">
        <f t="shared" si="49"/>
        <v>119903</v>
      </c>
      <c r="G214" s="246">
        <f>G218+G225</f>
        <v>0</v>
      </c>
      <c r="H214" s="246">
        <f>H218+H225</f>
        <v>27842</v>
      </c>
      <c r="I214" s="308">
        <f>I225</f>
        <v>30687</v>
      </c>
      <c r="J214" s="308"/>
      <c r="K214" s="308"/>
      <c r="L214" s="308"/>
      <c r="M214" s="308"/>
      <c r="N214" s="246">
        <f t="shared" ref="N214:O214" si="54">N218+N225</f>
        <v>30687</v>
      </c>
      <c r="O214" s="246">
        <f t="shared" si="54"/>
        <v>30687</v>
      </c>
      <c r="P214" s="300"/>
      <c r="T214" s="45"/>
      <c r="U214" s="45"/>
    </row>
    <row r="215" spans="1:21" s="9" customFormat="1" ht="52.2" x14ac:dyDescent="0.3">
      <c r="A215" s="395"/>
      <c r="B215" s="329"/>
      <c r="C215" s="329"/>
      <c r="D215" s="186" t="s">
        <v>47</v>
      </c>
      <c r="E215" s="130">
        <f>E219</f>
        <v>9428.6200000000008</v>
      </c>
      <c r="F215" s="135">
        <f t="shared" si="49"/>
        <v>50132.963349999998</v>
      </c>
      <c r="G215" s="130">
        <f t="shared" ref="G215:H215" si="55">G219</f>
        <v>16635.688859999998</v>
      </c>
      <c r="H215" s="130">
        <f t="shared" si="55"/>
        <v>13718</v>
      </c>
      <c r="I215" s="293">
        <f>I219</f>
        <v>8121.2744899999998</v>
      </c>
      <c r="J215" s="293"/>
      <c r="K215" s="293"/>
      <c r="L215" s="293"/>
      <c r="M215" s="293"/>
      <c r="N215" s="130">
        <f t="shared" ref="N215:O215" si="56">N219</f>
        <v>5829</v>
      </c>
      <c r="O215" s="130">
        <f t="shared" si="56"/>
        <v>5829</v>
      </c>
      <c r="P215" s="300"/>
      <c r="T215" s="45"/>
      <c r="U215" s="45"/>
    </row>
    <row r="216" spans="1:21" s="9" customFormat="1" ht="34.799999999999997" x14ac:dyDescent="0.3">
      <c r="A216" s="395"/>
      <c r="B216" s="329"/>
      <c r="C216" s="329"/>
      <c r="D216" s="186" t="s">
        <v>87</v>
      </c>
      <c r="E216" s="130"/>
      <c r="F216" s="135">
        <f t="shared" si="49"/>
        <v>0</v>
      </c>
      <c r="G216" s="130">
        <f t="shared" ref="G216:H216" si="57">G220</f>
        <v>0</v>
      </c>
      <c r="H216" s="130">
        <f t="shared" si="57"/>
        <v>0</v>
      </c>
      <c r="I216" s="293">
        <f>I220</f>
        <v>0</v>
      </c>
      <c r="J216" s="293"/>
      <c r="K216" s="293"/>
      <c r="L216" s="293"/>
      <c r="M216" s="293"/>
      <c r="N216" s="130">
        <f t="shared" ref="N216:O216" si="58">N220</f>
        <v>0</v>
      </c>
      <c r="O216" s="130">
        <f t="shared" si="58"/>
        <v>0</v>
      </c>
      <c r="P216" s="300"/>
      <c r="T216" s="45"/>
      <c r="U216" s="45"/>
    </row>
    <row r="217" spans="1:21" s="9" customFormat="1" ht="43.5" customHeight="1" x14ac:dyDescent="0.3">
      <c r="A217" s="416" t="s">
        <v>34</v>
      </c>
      <c r="B217" s="417" t="s">
        <v>97</v>
      </c>
      <c r="C217" s="319" t="s">
        <v>86</v>
      </c>
      <c r="D217" s="185" t="s">
        <v>40</v>
      </c>
      <c r="E217" s="71"/>
      <c r="F217" s="135">
        <f t="shared" si="49"/>
        <v>0</v>
      </c>
      <c r="G217" s="244">
        <v>0</v>
      </c>
      <c r="H217" s="244">
        <v>0</v>
      </c>
      <c r="I217" s="309">
        <v>0</v>
      </c>
      <c r="J217" s="309"/>
      <c r="K217" s="309"/>
      <c r="L217" s="309"/>
      <c r="M217" s="309"/>
      <c r="N217" s="244">
        <v>0</v>
      </c>
      <c r="O217" s="244">
        <v>0</v>
      </c>
      <c r="P217" s="311" t="s">
        <v>3</v>
      </c>
      <c r="T217" s="45"/>
      <c r="U217" s="45"/>
    </row>
    <row r="218" spans="1:21" s="9" customFormat="1" ht="42" customHeight="1" x14ac:dyDescent="0.3">
      <c r="A218" s="416"/>
      <c r="B218" s="417"/>
      <c r="C218" s="319"/>
      <c r="D218" s="185" t="s">
        <v>1</v>
      </c>
      <c r="E218" s="71"/>
      <c r="F218" s="135">
        <f t="shared" si="49"/>
        <v>0</v>
      </c>
      <c r="G218" s="244">
        <v>0</v>
      </c>
      <c r="H218" s="244">
        <v>0</v>
      </c>
      <c r="I218" s="309">
        <v>0</v>
      </c>
      <c r="J218" s="309"/>
      <c r="K218" s="309"/>
      <c r="L218" s="309"/>
      <c r="M218" s="309"/>
      <c r="N218" s="244">
        <v>0</v>
      </c>
      <c r="O218" s="244">
        <v>0</v>
      </c>
      <c r="P218" s="311"/>
      <c r="T218" s="45"/>
      <c r="U218" s="45"/>
    </row>
    <row r="219" spans="1:21" s="40" customFormat="1" ht="52.2" x14ac:dyDescent="0.3">
      <c r="A219" s="416"/>
      <c r="B219" s="417"/>
      <c r="C219" s="319"/>
      <c r="D219" s="185" t="s">
        <v>47</v>
      </c>
      <c r="E219" s="244">
        <v>9428.6200000000008</v>
      </c>
      <c r="F219" s="135">
        <f t="shared" si="49"/>
        <v>50132.963349999998</v>
      </c>
      <c r="G219" s="244">
        <v>16635.688859999998</v>
      </c>
      <c r="H219" s="244">
        <v>13718</v>
      </c>
      <c r="I219" s="313">
        <f>5829+2068.27449+224</f>
        <v>8121.2744899999998</v>
      </c>
      <c r="J219" s="313"/>
      <c r="K219" s="313"/>
      <c r="L219" s="313"/>
      <c r="M219" s="313"/>
      <c r="N219" s="244">
        <v>5829</v>
      </c>
      <c r="O219" s="244">
        <v>5829</v>
      </c>
      <c r="P219" s="311"/>
    </row>
    <row r="220" spans="1:21" s="40" customFormat="1" ht="34.799999999999997" x14ac:dyDescent="0.3">
      <c r="A220" s="416"/>
      <c r="B220" s="417"/>
      <c r="C220" s="319"/>
      <c r="D220" s="185" t="s">
        <v>87</v>
      </c>
      <c r="E220" s="244"/>
      <c r="F220" s="135">
        <f t="shared" si="49"/>
        <v>0</v>
      </c>
      <c r="G220" s="244">
        <v>0</v>
      </c>
      <c r="H220" s="244">
        <v>0</v>
      </c>
      <c r="I220" s="309">
        <v>0</v>
      </c>
      <c r="J220" s="309"/>
      <c r="K220" s="309"/>
      <c r="L220" s="309"/>
      <c r="M220" s="309"/>
      <c r="N220" s="244">
        <v>0</v>
      </c>
      <c r="O220" s="244">
        <v>0</v>
      </c>
      <c r="P220" s="311"/>
    </row>
    <row r="221" spans="1:21" s="40" customFormat="1" ht="29.4" customHeight="1" x14ac:dyDescent="0.3">
      <c r="A221" s="416"/>
      <c r="B221" s="286" t="s">
        <v>180</v>
      </c>
      <c r="C221" s="288" t="s">
        <v>116</v>
      </c>
      <c r="D221" s="289" t="s">
        <v>116</v>
      </c>
      <c r="E221" s="228"/>
      <c r="F221" s="290" t="s">
        <v>117</v>
      </c>
      <c r="G221" s="227" t="s">
        <v>234</v>
      </c>
      <c r="H221" s="227" t="s">
        <v>235</v>
      </c>
      <c r="I221" s="283" t="s">
        <v>123</v>
      </c>
      <c r="J221" s="284" t="s">
        <v>118</v>
      </c>
      <c r="K221" s="284"/>
      <c r="L221" s="284"/>
      <c r="M221" s="284"/>
      <c r="N221" s="227" t="s">
        <v>124</v>
      </c>
      <c r="O221" s="227" t="s">
        <v>125</v>
      </c>
      <c r="P221" s="295" t="s">
        <v>116</v>
      </c>
      <c r="Q221" s="41"/>
    </row>
    <row r="222" spans="1:21" s="40" customFormat="1" ht="30" customHeight="1" x14ac:dyDescent="0.3">
      <c r="A222" s="416"/>
      <c r="B222" s="286"/>
      <c r="C222" s="288"/>
      <c r="D222" s="289"/>
      <c r="E222" s="228"/>
      <c r="F222" s="290"/>
      <c r="G222" s="228"/>
      <c r="H222" s="228"/>
      <c r="I222" s="283"/>
      <c r="J222" s="228" t="s">
        <v>119</v>
      </c>
      <c r="K222" s="228" t="s">
        <v>120</v>
      </c>
      <c r="L222" s="228" t="s">
        <v>121</v>
      </c>
      <c r="M222" s="228" t="s">
        <v>122</v>
      </c>
      <c r="N222" s="228"/>
      <c r="O222" s="228"/>
      <c r="P222" s="295"/>
      <c r="Q222" s="41"/>
    </row>
    <row r="223" spans="1:21" s="40" customFormat="1" ht="37.799999999999997" customHeight="1" x14ac:dyDescent="0.3">
      <c r="A223" s="416"/>
      <c r="B223" s="286"/>
      <c r="C223" s="288"/>
      <c r="D223" s="289"/>
      <c r="E223" s="228"/>
      <c r="F223" s="136">
        <v>100</v>
      </c>
      <c r="G223" s="121">
        <v>100</v>
      </c>
      <c r="H223" s="121">
        <v>100</v>
      </c>
      <c r="I223" s="121">
        <v>100</v>
      </c>
      <c r="J223" s="121">
        <v>100</v>
      </c>
      <c r="K223" s="121">
        <v>100</v>
      </c>
      <c r="L223" s="121">
        <v>100</v>
      </c>
      <c r="M223" s="121">
        <v>100</v>
      </c>
      <c r="N223" s="121">
        <v>100</v>
      </c>
      <c r="O223" s="121">
        <v>100</v>
      </c>
      <c r="P223" s="295"/>
      <c r="Q223" s="41"/>
    </row>
    <row r="224" spans="1:21" s="9" customFormat="1" ht="36" customHeight="1" x14ac:dyDescent="0.3">
      <c r="A224" s="396" t="s">
        <v>267</v>
      </c>
      <c r="B224" s="417" t="s">
        <v>205</v>
      </c>
      <c r="C224" s="319" t="s">
        <v>201</v>
      </c>
      <c r="D224" s="185" t="s">
        <v>40</v>
      </c>
      <c r="E224" s="71"/>
      <c r="F224" s="135">
        <f t="shared" ref="F224:F227" si="59">SUM(G224:O224)</f>
        <v>0</v>
      </c>
      <c r="G224" s="244">
        <v>0</v>
      </c>
      <c r="H224" s="244">
        <v>0</v>
      </c>
      <c r="I224" s="309">
        <v>0</v>
      </c>
      <c r="J224" s="309"/>
      <c r="K224" s="309"/>
      <c r="L224" s="309"/>
      <c r="M224" s="309"/>
      <c r="N224" s="244">
        <v>0</v>
      </c>
      <c r="O224" s="244">
        <v>0</v>
      </c>
      <c r="P224" s="311" t="s">
        <v>3</v>
      </c>
      <c r="T224" s="45"/>
      <c r="U224" s="45"/>
    </row>
    <row r="225" spans="1:21" s="9" customFormat="1" ht="36" customHeight="1" x14ac:dyDescent="0.3">
      <c r="A225" s="397"/>
      <c r="B225" s="417"/>
      <c r="C225" s="319"/>
      <c r="D225" s="185" t="s">
        <v>1</v>
      </c>
      <c r="E225" s="71"/>
      <c r="F225" s="135">
        <f t="shared" si="59"/>
        <v>119903</v>
      </c>
      <c r="G225" s="244">
        <v>0</v>
      </c>
      <c r="H225" s="244">
        <v>27842</v>
      </c>
      <c r="I225" s="309">
        <v>30687</v>
      </c>
      <c r="J225" s="309"/>
      <c r="K225" s="309"/>
      <c r="L225" s="309"/>
      <c r="M225" s="309"/>
      <c r="N225" s="244">
        <v>30687</v>
      </c>
      <c r="O225" s="244">
        <v>30687</v>
      </c>
      <c r="P225" s="311"/>
      <c r="T225" s="45"/>
      <c r="U225" s="45"/>
    </row>
    <row r="226" spans="1:21" s="40" customFormat="1" ht="57.75" customHeight="1" x14ac:dyDescent="0.3">
      <c r="A226" s="397"/>
      <c r="B226" s="417"/>
      <c r="C226" s="319"/>
      <c r="D226" s="185" t="s">
        <v>47</v>
      </c>
      <c r="E226" s="244">
        <v>9428.6200000000008</v>
      </c>
      <c r="F226" s="135">
        <f t="shared" si="59"/>
        <v>0</v>
      </c>
      <c r="G226" s="244">
        <v>0</v>
      </c>
      <c r="H226" s="244">
        <v>0</v>
      </c>
      <c r="I226" s="309">
        <v>0</v>
      </c>
      <c r="J226" s="309"/>
      <c r="K226" s="309"/>
      <c r="L226" s="309"/>
      <c r="M226" s="309"/>
      <c r="N226" s="244">
        <v>0</v>
      </c>
      <c r="O226" s="244">
        <v>0</v>
      </c>
      <c r="P226" s="311"/>
    </row>
    <row r="227" spans="1:21" s="40" customFormat="1" ht="33.75" customHeight="1" x14ac:dyDescent="0.3">
      <c r="A227" s="397"/>
      <c r="B227" s="417"/>
      <c r="C227" s="319"/>
      <c r="D227" s="185" t="s">
        <v>87</v>
      </c>
      <c r="E227" s="244"/>
      <c r="F227" s="135">
        <f t="shared" si="59"/>
        <v>0</v>
      </c>
      <c r="G227" s="244">
        <v>0</v>
      </c>
      <c r="H227" s="244">
        <v>0</v>
      </c>
      <c r="I227" s="309">
        <v>0</v>
      </c>
      <c r="J227" s="309"/>
      <c r="K227" s="309"/>
      <c r="L227" s="309"/>
      <c r="M227" s="309"/>
      <c r="N227" s="244">
        <v>0</v>
      </c>
      <c r="O227" s="244">
        <v>0</v>
      </c>
      <c r="P227" s="311"/>
    </row>
    <row r="228" spans="1:21" s="40" customFormat="1" ht="46.2" customHeight="1" x14ac:dyDescent="0.3">
      <c r="A228" s="397"/>
      <c r="B228" s="286" t="s">
        <v>207</v>
      </c>
      <c r="C228" s="288" t="s">
        <v>116</v>
      </c>
      <c r="D228" s="289" t="s">
        <v>116</v>
      </c>
      <c r="E228" s="228"/>
      <c r="F228" s="290" t="s">
        <v>117</v>
      </c>
      <c r="G228" s="227" t="s">
        <v>234</v>
      </c>
      <c r="H228" s="227" t="s">
        <v>235</v>
      </c>
      <c r="I228" s="283" t="s">
        <v>123</v>
      </c>
      <c r="J228" s="284" t="s">
        <v>118</v>
      </c>
      <c r="K228" s="284"/>
      <c r="L228" s="284"/>
      <c r="M228" s="284"/>
      <c r="N228" s="227" t="s">
        <v>124</v>
      </c>
      <c r="O228" s="227" t="s">
        <v>125</v>
      </c>
      <c r="P228" s="295" t="s">
        <v>116</v>
      </c>
      <c r="Q228" s="41"/>
    </row>
    <row r="229" spans="1:21" s="40" customFormat="1" ht="37.5" customHeight="1" x14ac:dyDescent="0.3">
      <c r="A229" s="397"/>
      <c r="B229" s="286"/>
      <c r="C229" s="288"/>
      <c r="D229" s="289"/>
      <c r="E229" s="228"/>
      <c r="F229" s="290"/>
      <c r="G229" s="228"/>
      <c r="H229" s="228"/>
      <c r="I229" s="283"/>
      <c r="J229" s="228" t="s">
        <v>119</v>
      </c>
      <c r="K229" s="228" t="s">
        <v>120</v>
      </c>
      <c r="L229" s="228" t="s">
        <v>121</v>
      </c>
      <c r="M229" s="228" t="s">
        <v>122</v>
      </c>
      <c r="N229" s="228"/>
      <c r="O229" s="228"/>
      <c r="P229" s="295"/>
      <c r="Q229" s="41"/>
    </row>
    <row r="230" spans="1:21" s="40" customFormat="1" ht="35.25" customHeight="1" x14ac:dyDescent="0.3">
      <c r="A230" s="398"/>
      <c r="B230" s="286"/>
      <c r="C230" s="288"/>
      <c r="D230" s="289"/>
      <c r="E230" s="228"/>
      <c r="F230" s="136">
        <v>100</v>
      </c>
      <c r="G230" s="121">
        <v>0</v>
      </c>
      <c r="H230" s="121">
        <v>0</v>
      </c>
      <c r="I230" s="121">
        <v>100</v>
      </c>
      <c r="J230" s="121">
        <v>0</v>
      </c>
      <c r="K230" s="121">
        <v>100</v>
      </c>
      <c r="L230" s="121">
        <v>100</v>
      </c>
      <c r="M230" s="121">
        <v>100</v>
      </c>
      <c r="N230" s="121">
        <v>100</v>
      </c>
      <c r="O230" s="121">
        <v>100</v>
      </c>
      <c r="P230" s="295"/>
      <c r="Q230" s="41"/>
    </row>
    <row r="231" spans="1:21" s="199" customFormat="1" ht="18.75" hidden="1" customHeight="1" x14ac:dyDescent="0.3">
      <c r="A231" s="394" t="s">
        <v>9</v>
      </c>
      <c r="B231" s="356" t="s">
        <v>188</v>
      </c>
      <c r="C231" s="356" t="s">
        <v>86</v>
      </c>
      <c r="D231" s="206" t="s">
        <v>2</v>
      </c>
      <c r="E231" s="207">
        <f>E234</f>
        <v>9428.6200000000008</v>
      </c>
      <c r="F231" s="204">
        <f t="shared" ref="F231:F239" si="60">SUM(G231:O231)</f>
        <v>0</v>
      </c>
      <c r="G231" s="207">
        <f t="shared" ref="G231:H231" si="61">G232+G233+G234+G235</f>
        <v>0</v>
      </c>
      <c r="H231" s="207">
        <f t="shared" si="61"/>
        <v>0</v>
      </c>
      <c r="I231" s="312">
        <f>I232+I233+I234+I235</f>
        <v>0</v>
      </c>
      <c r="J231" s="312"/>
      <c r="K231" s="312"/>
      <c r="L231" s="312"/>
      <c r="M231" s="312"/>
      <c r="N231" s="207">
        <f t="shared" ref="N231:O231" si="62">N232+N233+N234+N235</f>
        <v>0</v>
      </c>
      <c r="O231" s="207">
        <f t="shared" si="62"/>
        <v>0</v>
      </c>
      <c r="P231" s="314"/>
      <c r="T231" s="205"/>
      <c r="U231" s="205"/>
    </row>
    <row r="232" spans="1:21" s="199" customFormat="1" ht="36" hidden="1" customHeight="1" x14ac:dyDescent="0.3">
      <c r="A232" s="394"/>
      <c r="B232" s="356"/>
      <c r="C232" s="356"/>
      <c r="D232" s="206" t="s">
        <v>40</v>
      </c>
      <c r="E232" s="207"/>
      <c r="F232" s="204">
        <f t="shared" si="60"/>
        <v>0</v>
      </c>
      <c r="G232" s="208">
        <f t="shared" ref="G232:H232" si="63">G236</f>
        <v>0</v>
      </c>
      <c r="H232" s="208">
        <f t="shared" si="63"/>
        <v>0</v>
      </c>
      <c r="I232" s="291">
        <f>I236</f>
        <v>0</v>
      </c>
      <c r="J232" s="291"/>
      <c r="K232" s="291"/>
      <c r="L232" s="291"/>
      <c r="M232" s="291"/>
      <c r="N232" s="208">
        <f t="shared" ref="N232:O232" si="64">N236</f>
        <v>0</v>
      </c>
      <c r="O232" s="208">
        <f t="shared" si="64"/>
        <v>0</v>
      </c>
      <c r="P232" s="314"/>
      <c r="T232" s="205"/>
      <c r="U232" s="205"/>
    </row>
    <row r="233" spans="1:21" s="199" customFormat="1" ht="34.799999999999997" hidden="1" x14ac:dyDescent="0.3">
      <c r="A233" s="394"/>
      <c r="B233" s="356"/>
      <c r="C233" s="356"/>
      <c r="D233" s="206" t="s">
        <v>1</v>
      </c>
      <c r="E233" s="207"/>
      <c r="F233" s="204">
        <f t="shared" si="60"/>
        <v>0</v>
      </c>
      <c r="G233" s="208">
        <f t="shared" ref="G233:H233" si="65">G237</f>
        <v>0</v>
      </c>
      <c r="H233" s="208">
        <f t="shared" si="65"/>
        <v>0</v>
      </c>
      <c r="I233" s="291">
        <f>I237</f>
        <v>0</v>
      </c>
      <c r="J233" s="291"/>
      <c r="K233" s="291"/>
      <c r="L233" s="291"/>
      <c r="M233" s="291"/>
      <c r="N233" s="208">
        <f t="shared" ref="N233:O233" si="66">N237</f>
        <v>0</v>
      </c>
      <c r="O233" s="208">
        <f t="shared" si="66"/>
        <v>0</v>
      </c>
      <c r="P233" s="314"/>
      <c r="T233" s="205"/>
      <c r="U233" s="205"/>
    </row>
    <row r="234" spans="1:21" s="199" customFormat="1" ht="52.2" hidden="1" x14ac:dyDescent="0.3">
      <c r="A234" s="394"/>
      <c r="B234" s="356"/>
      <c r="C234" s="356"/>
      <c r="D234" s="206" t="s">
        <v>47</v>
      </c>
      <c r="E234" s="209">
        <f>E238</f>
        <v>9428.6200000000008</v>
      </c>
      <c r="F234" s="204">
        <f t="shared" si="60"/>
        <v>0</v>
      </c>
      <c r="G234" s="209">
        <f t="shared" ref="G234:H234" si="67">G238</f>
        <v>0</v>
      </c>
      <c r="H234" s="209">
        <f t="shared" si="67"/>
        <v>0</v>
      </c>
      <c r="I234" s="321">
        <f>I238</f>
        <v>0</v>
      </c>
      <c r="J234" s="321"/>
      <c r="K234" s="321"/>
      <c r="L234" s="321"/>
      <c r="M234" s="321"/>
      <c r="N234" s="209">
        <f t="shared" ref="N234:O234" si="68">N238</f>
        <v>0</v>
      </c>
      <c r="O234" s="209">
        <f t="shared" si="68"/>
        <v>0</v>
      </c>
      <c r="P234" s="314"/>
      <c r="T234" s="205"/>
      <c r="U234" s="205"/>
    </row>
    <row r="235" spans="1:21" s="199" customFormat="1" ht="34.799999999999997" hidden="1" x14ac:dyDescent="0.3">
      <c r="A235" s="394"/>
      <c r="B235" s="356"/>
      <c r="C235" s="356"/>
      <c r="D235" s="206" t="s">
        <v>87</v>
      </c>
      <c r="E235" s="209"/>
      <c r="F235" s="204">
        <f t="shared" si="60"/>
        <v>0</v>
      </c>
      <c r="G235" s="209">
        <f t="shared" ref="G235:H235" si="69">G239</f>
        <v>0</v>
      </c>
      <c r="H235" s="209">
        <f t="shared" si="69"/>
        <v>0</v>
      </c>
      <c r="I235" s="321">
        <f>I239</f>
        <v>0</v>
      </c>
      <c r="J235" s="321"/>
      <c r="K235" s="321"/>
      <c r="L235" s="321"/>
      <c r="M235" s="321"/>
      <c r="N235" s="209">
        <f t="shared" ref="N235:O235" si="70">N239</f>
        <v>0</v>
      </c>
      <c r="O235" s="209">
        <f t="shared" si="70"/>
        <v>0</v>
      </c>
      <c r="P235" s="314"/>
      <c r="T235" s="205"/>
      <c r="U235" s="205"/>
    </row>
    <row r="236" spans="1:21" s="199" customFormat="1" ht="36" hidden="1" customHeight="1" x14ac:dyDescent="0.3">
      <c r="A236" s="393" t="s">
        <v>52</v>
      </c>
      <c r="B236" s="391" t="s">
        <v>189</v>
      </c>
      <c r="C236" s="356" t="s">
        <v>86</v>
      </c>
      <c r="D236" s="198" t="s">
        <v>40</v>
      </c>
      <c r="E236" s="209"/>
      <c r="F236" s="204">
        <f t="shared" si="60"/>
        <v>0</v>
      </c>
      <c r="G236" s="210">
        <v>0</v>
      </c>
      <c r="H236" s="210">
        <v>0</v>
      </c>
      <c r="I236" s="310">
        <v>0</v>
      </c>
      <c r="J236" s="310"/>
      <c r="K236" s="310"/>
      <c r="L236" s="310"/>
      <c r="M236" s="310"/>
      <c r="N236" s="210">
        <v>0</v>
      </c>
      <c r="O236" s="210">
        <v>0</v>
      </c>
      <c r="P236" s="320" t="s">
        <v>3</v>
      </c>
      <c r="T236" s="205"/>
      <c r="U236" s="205"/>
    </row>
    <row r="237" spans="1:21" s="199" customFormat="1" ht="34.799999999999997" hidden="1" x14ac:dyDescent="0.3">
      <c r="A237" s="393"/>
      <c r="B237" s="391"/>
      <c r="C237" s="356"/>
      <c r="D237" s="198" t="s">
        <v>1</v>
      </c>
      <c r="E237" s="209"/>
      <c r="F237" s="204">
        <f t="shared" si="60"/>
        <v>0</v>
      </c>
      <c r="G237" s="210">
        <v>0</v>
      </c>
      <c r="H237" s="210">
        <v>0</v>
      </c>
      <c r="I237" s="310">
        <v>0</v>
      </c>
      <c r="J237" s="310"/>
      <c r="K237" s="310"/>
      <c r="L237" s="310"/>
      <c r="M237" s="310"/>
      <c r="N237" s="210">
        <v>0</v>
      </c>
      <c r="O237" s="210">
        <v>0</v>
      </c>
      <c r="P237" s="320"/>
      <c r="T237" s="205"/>
      <c r="U237" s="205"/>
    </row>
    <row r="238" spans="1:21" s="199" customFormat="1" ht="52.2" hidden="1" x14ac:dyDescent="0.3">
      <c r="A238" s="393"/>
      <c r="B238" s="391"/>
      <c r="C238" s="356"/>
      <c r="D238" s="198" t="s">
        <v>47</v>
      </c>
      <c r="E238" s="210">
        <v>9428.6200000000008</v>
      </c>
      <c r="F238" s="204">
        <f t="shared" si="60"/>
        <v>0</v>
      </c>
      <c r="G238" s="210">
        <v>0</v>
      </c>
      <c r="H238" s="210">
        <v>0</v>
      </c>
      <c r="I238" s="310">
        <v>0</v>
      </c>
      <c r="J238" s="310"/>
      <c r="K238" s="310"/>
      <c r="L238" s="310"/>
      <c r="M238" s="310"/>
      <c r="N238" s="210">
        <v>0</v>
      </c>
      <c r="O238" s="210">
        <v>0</v>
      </c>
      <c r="P238" s="320"/>
    </row>
    <row r="239" spans="1:21" s="199" customFormat="1" ht="34.799999999999997" hidden="1" x14ac:dyDescent="0.3">
      <c r="A239" s="393"/>
      <c r="B239" s="391"/>
      <c r="C239" s="356"/>
      <c r="D239" s="198" t="s">
        <v>87</v>
      </c>
      <c r="E239" s="210"/>
      <c r="F239" s="204">
        <f t="shared" si="60"/>
        <v>0</v>
      </c>
      <c r="G239" s="210">
        <v>0</v>
      </c>
      <c r="H239" s="210">
        <v>0</v>
      </c>
      <c r="I239" s="310">
        <v>0</v>
      </c>
      <c r="J239" s="310"/>
      <c r="K239" s="310"/>
      <c r="L239" s="310"/>
      <c r="M239" s="310"/>
      <c r="N239" s="210">
        <v>0</v>
      </c>
      <c r="O239" s="210">
        <v>0</v>
      </c>
      <c r="P239" s="320"/>
    </row>
    <row r="240" spans="1:21" s="199" customFormat="1" ht="22.5" hidden="1" customHeight="1" x14ac:dyDescent="0.3">
      <c r="A240" s="393"/>
      <c r="B240" s="392" t="s">
        <v>190</v>
      </c>
      <c r="C240" s="357" t="s">
        <v>116</v>
      </c>
      <c r="D240" s="358" t="s">
        <v>116</v>
      </c>
      <c r="E240" s="200"/>
      <c r="F240" s="409" t="s">
        <v>117</v>
      </c>
      <c r="G240" s="201" t="s">
        <v>234</v>
      </c>
      <c r="H240" s="201" t="s">
        <v>235</v>
      </c>
      <c r="I240" s="410" t="s">
        <v>123</v>
      </c>
      <c r="J240" s="411" t="s">
        <v>118</v>
      </c>
      <c r="K240" s="411"/>
      <c r="L240" s="411"/>
      <c r="M240" s="411"/>
      <c r="N240" s="201" t="s">
        <v>124</v>
      </c>
      <c r="O240" s="201" t="s">
        <v>125</v>
      </c>
      <c r="P240" s="315" t="s">
        <v>116</v>
      </c>
      <c r="Q240" s="202"/>
    </row>
    <row r="241" spans="1:21" s="199" customFormat="1" ht="24.75" hidden="1" customHeight="1" x14ac:dyDescent="0.3">
      <c r="A241" s="393"/>
      <c r="B241" s="392"/>
      <c r="C241" s="357"/>
      <c r="D241" s="358"/>
      <c r="E241" s="200"/>
      <c r="F241" s="409"/>
      <c r="G241" s="200"/>
      <c r="H241" s="200"/>
      <c r="I241" s="410"/>
      <c r="J241" s="200" t="s">
        <v>119</v>
      </c>
      <c r="K241" s="200" t="s">
        <v>120</v>
      </c>
      <c r="L241" s="200" t="s">
        <v>121</v>
      </c>
      <c r="M241" s="200" t="s">
        <v>122</v>
      </c>
      <c r="N241" s="200"/>
      <c r="O241" s="200"/>
      <c r="P241" s="315"/>
      <c r="Q241" s="202"/>
    </row>
    <row r="242" spans="1:21" s="199" customFormat="1" ht="31.5" hidden="1" customHeight="1" x14ac:dyDescent="0.3">
      <c r="A242" s="393"/>
      <c r="B242" s="392"/>
      <c r="C242" s="357"/>
      <c r="D242" s="358"/>
      <c r="E242" s="200"/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315"/>
      <c r="Q242" s="202"/>
    </row>
    <row r="243" spans="1:21" s="9" customFormat="1" ht="27.75" customHeight="1" x14ac:dyDescent="0.3">
      <c r="A243" s="395" t="s">
        <v>37</v>
      </c>
      <c r="B243" s="329" t="s">
        <v>98</v>
      </c>
      <c r="C243" s="329" t="s">
        <v>45</v>
      </c>
      <c r="D243" s="186" t="s">
        <v>2</v>
      </c>
      <c r="E243" s="242">
        <f>E246</f>
        <v>0</v>
      </c>
      <c r="F243" s="135">
        <f t="shared" ref="F243:F251" si="71">SUM(G243:O243)</f>
        <v>147396.42741</v>
      </c>
      <c r="G243" s="242">
        <f t="shared" ref="G243:H243" si="72">G244+G245+G246+G247</f>
        <v>147396.42741</v>
      </c>
      <c r="H243" s="242">
        <f t="shared" si="72"/>
        <v>0</v>
      </c>
      <c r="I243" s="292">
        <f>I244+I245+I246+I247</f>
        <v>0</v>
      </c>
      <c r="J243" s="292"/>
      <c r="K243" s="292"/>
      <c r="L243" s="292"/>
      <c r="M243" s="292"/>
      <c r="N243" s="242">
        <f t="shared" ref="N243:O243" si="73">N244+N245+N246+N247</f>
        <v>0</v>
      </c>
      <c r="O243" s="242">
        <f t="shared" si="73"/>
        <v>0</v>
      </c>
      <c r="P243" s="300"/>
      <c r="T243" s="45"/>
      <c r="U243" s="45"/>
    </row>
    <row r="244" spans="1:21" s="9" customFormat="1" ht="32.25" customHeight="1" x14ac:dyDescent="0.3">
      <c r="A244" s="395"/>
      <c r="B244" s="329"/>
      <c r="C244" s="329"/>
      <c r="D244" s="186" t="s">
        <v>40</v>
      </c>
      <c r="E244" s="242"/>
      <c r="F244" s="135">
        <f t="shared" si="71"/>
        <v>0</v>
      </c>
      <c r="G244" s="246">
        <f t="shared" ref="G244:H244" si="74">G248</f>
        <v>0</v>
      </c>
      <c r="H244" s="246">
        <f t="shared" si="74"/>
        <v>0</v>
      </c>
      <c r="I244" s="308">
        <f>I248</f>
        <v>0</v>
      </c>
      <c r="J244" s="308"/>
      <c r="K244" s="308"/>
      <c r="L244" s="308"/>
      <c r="M244" s="308"/>
      <c r="N244" s="246">
        <f t="shared" ref="N244:O244" si="75">N248</f>
        <v>0</v>
      </c>
      <c r="O244" s="246">
        <f t="shared" si="75"/>
        <v>0</v>
      </c>
      <c r="P244" s="300"/>
      <c r="T244" s="45"/>
      <c r="U244" s="45"/>
    </row>
    <row r="245" spans="1:21" s="9" customFormat="1" ht="34.799999999999997" x14ac:dyDescent="0.3">
      <c r="A245" s="395"/>
      <c r="B245" s="329"/>
      <c r="C245" s="329"/>
      <c r="D245" s="186" t="s">
        <v>1</v>
      </c>
      <c r="E245" s="242"/>
      <c r="F245" s="135">
        <f t="shared" si="71"/>
        <v>61976.218000000001</v>
      </c>
      <c r="G245" s="246">
        <f>G249</f>
        <v>61976.218000000001</v>
      </c>
      <c r="H245" s="246">
        <f>H249</f>
        <v>0</v>
      </c>
      <c r="I245" s="308">
        <f t="shared" ref="I245:I246" si="76">I249</f>
        <v>0</v>
      </c>
      <c r="J245" s="308"/>
      <c r="K245" s="308"/>
      <c r="L245" s="308"/>
      <c r="M245" s="308"/>
      <c r="N245" s="246">
        <f t="shared" ref="N245:O245" si="77">N249</f>
        <v>0</v>
      </c>
      <c r="O245" s="246">
        <f t="shared" si="77"/>
        <v>0</v>
      </c>
      <c r="P245" s="300"/>
      <c r="T245" s="45"/>
      <c r="U245" s="45"/>
    </row>
    <row r="246" spans="1:21" s="9" customFormat="1" ht="52.2" x14ac:dyDescent="0.3">
      <c r="A246" s="395"/>
      <c r="B246" s="329"/>
      <c r="C246" s="329"/>
      <c r="D246" s="186" t="s">
        <v>47</v>
      </c>
      <c r="E246" s="130">
        <f>E249</f>
        <v>0</v>
      </c>
      <c r="F246" s="135">
        <f t="shared" si="71"/>
        <v>85420.209409999996</v>
      </c>
      <c r="G246" s="246">
        <f>G250</f>
        <v>85420.209409999996</v>
      </c>
      <c r="H246" s="246">
        <f>H250</f>
        <v>0</v>
      </c>
      <c r="I246" s="308">
        <f t="shared" si="76"/>
        <v>0</v>
      </c>
      <c r="J246" s="308"/>
      <c r="K246" s="308"/>
      <c r="L246" s="308"/>
      <c r="M246" s="308"/>
      <c r="N246" s="130">
        <f t="shared" ref="N246:O246" si="78">N250</f>
        <v>0</v>
      </c>
      <c r="O246" s="130">
        <f t="shared" si="78"/>
        <v>0</v>
      </c>
      <c r="P246" s="300"/>
      <c r="T246" s="45"/>
      <c r="U246" s="45"/>
    </row>
    <row r="247" spans="1:21" s="9" customFormat="1" ht="33" customHeight="1" x14ac:dyDescent="0.3">
      <c r="A247" s="395"/>
      <c r="B247" s="329"/>
      <c r="C247" s="329"/>
      <c r="D247" s="186" t="s">
        <v>87</v>
      </c>
      <c r="E247" s="130"/>
      <c r="F247" s="135">
        <f t="shared" si="71"/>
        <v>0</v>
      </c>
      <c r="G247" s="130">
        <f t="shared" ref="G247:H247" si="79">G251</f>
        <v>0</v>
      </c>
      <c r="H247" s="130">
        <f t="shared" si="79"/>
        <v>0</v>
      </c>
      <c r="I247" s="293">
        <f>I251</f>
        <v>0</v>
      </c>
      <c r="J247" s="293"/>
      <c r="K247" s="293"/>
      <c r="L247" s="293"/>
      <c r="M247" s="293"/>
      <c r="N247" s="130">
        <f t="shared" ref="N247:O247" si="80">N251</f>
        <v>0</v>
      </c>
      <c r="O247" s="130">
        <f t="shared" si="80"/>
        <v>0</v>
      </c>
      <c r="P247" s="300"/>
      <c r="T247" s="45"/>
      <c r="U247" s="45"/>
    </row>
    <row r="248" spans="1:21" s="9" customFormat="1" ht="40.5" customHeight="1" x14ac:dyDescent="0.3">
      <c r="A248" s="265" t="s">
        <v>51</v>
      </c>
      <c r="B248" s="349" t="s">
        <v>99</v>
      </c>
      <c r="C248" s="318" t="s">
        <v>45</v>
      </c>
      <c r="D248" s="187" t="s">
        <v>40</v>
      </c>
      <c r="E248" s="71"/>
      <c r="F248" s="135">
        <f t="shared" si="71"/>
        <v>0</v>
      </c>
      <c r="G248" s="244">
        <v>0</v>
      </c>
      <c r="H248" s="244">
        <v>0</v>
      </c>
      <c r="I248" s="309">
        <v>0</v>
      </c>
      <c r="J248" s="309"/>
      <c r="K248" s="309"/>
      <c r="L248" s="309"/>
      <c r="M248" s="309"/>
      <c r="N248" s="244">
        <v>0</v>
      </c>
      <c r="O248" s="244">
        <v>0</v>
      </c>
      <c r="P248" s="295" t="s">
        <v>3</v>
      </c>
      <c r="T248" s="45"/>
      <c r="U248" s="45"/>
    </row>
    <row r="249" spans="1:21" s="40" customFormat="1" ht="34.799999999999997" x14ac:dyDescent="0.3">
      <c r="A249" s="266"/>
      <c r="B249" s="349"/>
      <c r="C249" s="318"/>
      <c r="D249" s="183" t="s">
        <v>1</v>
      </c>
      <c r="E249" s="120">
        <v>0</v>
      </c>
      <c r="F249" s="135">
        <f t="shared" si="71"/>
        <v>61976.218000000001</v>
      </c>
      <c r="G249" s="120">
        <v>61976.218000000001</v>
      </c>
      <c r="H249" s="120">
        <v>0</v>
      </c>
      <c r="I249" s="281">
        <f>114716.441-114716.441</f>
        <v>0</v>
      </c>
      <c r="J249" s="281"/>
      <c r="K249" s="281"/>
      <c r="L249" s="281"/>
      <c r="M249" s="281"/>
      <c r="N249" s="120">
        <v>0</v>
      </c>
      <c r="O249" s="120">
        <v>0</v>
      </c>
      <c r="P249" s="295"/>
    </row>
    <row r="250" spans="1:21" s="40" customFormat="1" ht="52.2" x14ac:dyDescent="0.3">
      <c r="A250" s="266"/>
      <c r="B250" s="349"/>
      <c r="C250" s="318"/>
      <c r="D250" s="183" t="s">
        <v>47</v>
      </c>
      <c r="E250" s="120">
        <v>0</v>
      </c>
      <c r="F250" s="135">
        <f t="shared" si="71"/>
        <v>85420.209409999996</v>
      </c>
      <c r="G250" s="120">
        <v>85420.209409999996</v>
      </c>
      <c r="H250" s="120">
        <v>0</v>
      </c>
      <c r="I250" s="281">
        <f>69830.1+42839.82134-112669.92134</f>
        <v>0</v>
      </c>
      <c r="J250" s="281"/>
      <c r="K250" s="281"/>
      <c r="L250" s="281"/>
      <c r="M250" s="281"/>
      <c r="N250" s="120">
        <v>0</v>
      </c>
      <c r="O250" s="120">
        <v>0</v>
      </c>
      <c r="P250" s="295"/>
      <c r="Q250" s="41"/>
    </row>
    <row r="251" spans="1:21" s="40" customFormat="1" ht="34.799999999999997" x14ac:dyDescent="0.3">
      <c r="A251" s="266"/>
      <c r="B251" s="349"/>
      <c r="C251" s="318"/>
      <c r="D251" s="183" t="s">
        <v>87</v>
      </c>
      <c r="E251" s="120"/>
      <c r="F251" s="135">
        <f t="shared" si="71"/>
        <v>0</v>
      </c>
      <c r="G251" s="120">
        <v>0</v>
      </c>
      <c r="H251" s="120">
        <v>0</v>
      </c>
      <c r="I251" s="281">
        <v>0</v>
      </c>
      <c r="J251" s="281"/>
      <c r="K251" s="281"/>
      <c r="L251" s="281"/>
      <c r="M251" s="281"/>
      <c r="N251" s="120">
        <v>0</v>
      </c>
      <c r="O251" s="120">
        <v>0</v>
      </c>
      <c r="P251" s="295"/>
      <c r="Q251" s="41"/>
    </row>
    <row r="252" spans="1:21" s="40" customFormat="1" ht="24" customHeight="1" x14ac:dyDescent="0.3">
      <c r="A252" s="266"/>
      <c r="B252" s="286" t="s">
        <v>162</v>
      </c>
      <c r="C252" s="288" t="s">
        <v>116</v>
      </c>
      <c r="D252" s="289" t="s">
        <v>116</v>
      </c>
      <c r="E252" s="228"/>
      <c r="F252" s="290" t="s">
        <v>117</v>
      </c>
      <c r="G252" s="227" t="s">
        <v>234</v>
      </c>
      <c r="H252" s="227" t="s">
        <v>235</v>
      </c>
      <c r="I252" s="283" t="s">
        <v>123</v>
      </c>
      <c r="J252" s="284" t="s">
        <v>118</v>
      </c>
      <c r="K252" s="284"/>
      <c r="L252" s="284"/>
      <c r="M252" s="284"/>
      <c r="N252" s="227" t="s">
        <v>124</v>
      </c>
      <c r="O252" s="227" t="s">
        <v>125</v>
      </c>
      <c r="P252" s="295" t="s">
        <v>116</v>
      </c>
      <c r="Q252" s="41"/>
    </row>
    <row r="253" spans="1:21" s="40" customFormat="1" ht="24" customHeight="1" x14ac:dyDescent="0.3">
      <c r="A253" s="266"/>
      <c r="B253" s="286"/>
      <c r="C253" s="288"/>
      <c r="D253" s="289"/>
      <c r="E253" s="228"/>
      <c r="F253" s="290"/>
      <c r="G253" s="228"/>
      <c r="H253" s="228"/>
      <c r="I253" s="283"/>
      <c r="J253" s="228" t="s">
        <v>119</v>
      </c>
      <c r="K253" s="228" t="s">
        <v>120</v>
      </c>
      <c r="L253" s="228" t="s">
        <v>121</v>
      </c>
      <c r="M253" s="228" t="s">
        <v>122</v>
      </c>
      <c r="N253" s="228"/>
      <c r="O253" s="228"/>
      <c r="P253" s="295"/>
      <c r="Q253" s="41"/>
    </row>
    <row r="254" spans="1:21" s="40" customFormat="1" ht="21.75" customHeight="1" x14ac:dyDescent="0.3">
      <c r="A254" s="267"/>
      <c r="B254" s="286"/>
      <c r="C254" s="288"/>
      <c r="D254" s="289"/>
      <c r="E254" s="228"/>
      <c r="F254" s="136">
        <v>0</v>
      </c>
      <c r="G254" s="121">
        <v>0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295"/>
      <c r="Q254" s="41"/>
    </row>
    <row r="255" spans="1:21" s="9" customFormat="1" ht="29.25" customHeight="1" x14ac:dyDescent="0.3">
      <c r="A255" s="374" t="s">
        <v>9</v>
      </c>
      <c r="B255" s="351" t="s">
        <v>80</v>
      </c>
      <c r="C255" s="351" t="s">
        <v>45</v>
      </c>
      <c r="D255" s="181" t="s">
        <v>2</v>
      </c>
      <c r="E255" s="230">
        <f>E257+E258</f>
        <v>0</v>
      </c>
      <c r="F255" s="135">
        <f t="shared" ref="F255:F263" si="81">SUM(G255:O255)</f>
        <v>806006.23083000001</v>
      </c>
      <c r="G255" s="230">
        <f t="shared" ref="G255:H255" si="82">G256+G257+G258+G259</f>
        <v>806006.23083000001</v>
      </c>
      <c r="H255" s="230">
        <f t="shared" si="82"/>
        <v>0</v>
      </c>
      <c r="I255" s="306">
        <f>I256+I257+I258+I259</f>
        <v>0</v>
      </c>
      <c r="J255" s="306"/>
      <c r="K255" s="306"/>
      <c r="L255" s="306"/>
      <c r="M255" s="306"/>
      <c r="N255" s="230">
        <f t="shared" ref="N255:O255" si="83">N256+N257+N258+N259</f>
        <v>0</v>
      </c>
      <c r="O255" s="230">
        <f t="shared" si="83"/>
        <v>0</v>
      </c>
      <c r="P255" s="305"/>
      <c r="T255" s="45"/>
      <c r="U255" s="45"/>
    </row>
    <row r="256" spans="1:21" s="9" customFormat="1" ht="32.25" customHeight="1" x14ac:dyDescent="0.3">
      <c r="A256" s="374"/>
      <c r="B256" s="351"/>
      <c r="C256" s="351"/>
      <c r="D256" s="181" t="s">
        <v>40</v>
      </c>
      <c r="E256" s="230"/>
      <c r="F256" s="135">
        <f t="shared" si="81"/>
        <v>58761.3</v>
      </c>
      <c r="G256" s="225">
        <f>G260+G270+G277+G284+G291</f>
        <v>58761.3</v>
      </c>
      <c r="H256" s="225">
        <f>H260+H270+H277+H284+H291</f>
        <v>0</v>
      </c>
      <c r="I256" s="301">
        <f>I260+I270+I277+I284+I291</f>
        <v>0</v>
      </c>
      <c r="J256" s="301"/>
      <c r="K256" s="301"/>
      <c r="L256" s="301"/>
      <c r="M256" s="301"/>
      <c r="N256" s="225">
        <f>N260+N270+N277+N284+N291</f>
        <v>0</v>
      </c>
      <c r="O256" s="225">
        <f>O260+O270+O277+O284+O291</f>
        <v>0</v>
      </c>
      <c r="P256" s="305"/>
      <c r="T256" s="45"/>
      <c r="U256" s="45"/>
    </row>
    <row r="257" spans="1:21" s="9" customFormat="1" ht="39.75" customHeight="1" x14ac:dyDescent="0.3">
      <c r="A257" s="374"/>
      <c r="B257" s="351"/>
      <c r="C257" s="351"/>
      <c r="D257" s="181" t="s">
        <v>1</v>
      </c>
      <c r="E257" s="225">
        <f>E261</f>
        <v>0</v>
      </c>
      <c r="F257" s="135">
        <f t="shared" si="81"/>
        <v>408038.41587999999</v>
      </c>
      <c r="G257" s="225">
        <f t="shared" ref="G257:I257" si="84">G261+G271+G278+G285+G292</f>
        <v>408038.41587999999</v>
      </c>
      <c r="H257" s="225">
        <f t="shared" si="84"/>
        <v>0</v>
      </c>
      <c r="I257" s="301">
        <f t="shared" si="84"/>
        <v>0</v>
      </c>
      <c r="J257" s="301"/>
      <c r="K257" s="301"/>
      <c r="L257" s="301"/>
      <c r="M257" s="301"/>
      <c r="N257" s="225">
        <f t="shared" ref="N257:O257" si="85">N261+N271+N278+N285+N292</f>
        <v>0</v>
      </c>
      <c r="O257" s="225">
        <f t="shared" si="85"/>
        <v>0</v>
      </c>
      <c r="P257" s="305"/>
      <c r="T257" s="45"/>
      <c r="U257" s="45"/>
    </row>
    <row r="258" spans="1:21" s="9" customFormat="1" ht="46.5" customHeight="1" x14ac:dyDescent="0.3">
      <c r="A258" s="374"/>
      <c r="B258" s="351"/>
      <c r="C258" s="351"/>
      <c r="D258" s="181" t="s">
        <v>48</v>
      </c>
      <c r="E258" s="225">
        <f>E262</f>
        <v>0</v>
      </c>
      <c r="F258" s="135">
        <f t="shared" si="81"/>
        <v>339206.51494999998</v>
      </c>
      <c r="G258" s="225">
        <f>G262+G272+G279+G286+G293+G300</f>
        <v>339206.51494999998</v>
      </c>
      <c r="H258" s="225">
        <f t="shared" ref="G258:I259" si="86">H262+H272+H279+H286+H293</f>
        <v>0</v>
      </c>
      <c r="I258" s="301">
        <f t="shared" si="86"/>
        <v>0</v>
      </c>
      <c r="J258" s="301"/>
      <c r="K258" s="301"/>
      <c r="L258" s="301"/>
      <c r="M258" s="301"/>
      <c r="N258" s="225">
        <f t="shared" ref="N258:O258" si="87">N262+N272+N279+N286+N293</f>
        <v>0</v>
      </c>
      <c r="O258" s="225">
        <f t="shared" si="87"/>
        <v>0</v>
      </c>
      <c r="P258" s="305"/>
      <c r="T258" s="45"/>
      <c r="U258" s="45"/>
    </row>
    <row r="259" spans="1:21" s="9" customFormat="1" ht="34.799999999999997" x14ac:dyDescent="0.3">
      <c r="A259" s="374"/>
      <c r="B259" s="351"/>
      <c r="C259" s="351"/>
      <c r="D259" s="181" t="s">
        <v>87</v>
      </c>
      <c r="E259" s="225"/>
      <c r="F259" s="135">
        <f t="shared" si="81"/>
        <v>0</v>
      </c>
      <c r="G259" s="225">
        <f t="shared" si="86"/>
        <v>0</v>
      </c>
      <c r="H259" s="225">
        <f t="shared" si="86"/>
        <v>0</v>
      </c>
      <c r="I259" s="301">
        <f t="shared" si="86"/>
        <v>0</v>
      </c>
      <c r="J259" s="301"/>
      <c r="K259" s="301"/>
      <c r="L259" s="301"/>
      <c r="M259" s="301"/>
      <c r="N259" s="225">
        <f t="shared" ref="N259:O259" si="88">N263+N273+N280+N287+N294</f>
        <v>0</v>
      </c>
      <c r="O259" s="225">
        <f t="shared" si="88"/>
        <v>0</v>
      </c>
      <c r="P259" s="305"/>
      <c r="T259" s="45"/>
      <c r="U259" s="45"/>
    </row>
    <row r="260" spans="1:21" s="40" customFormat="1" ht="36.75" customHeight="1" x14ac:dyDescent="0.3">
      <c r="A260" s="354" t="s">
        <v>52</v>
      </c>
      <c r="B260" s="352" t="s">
        <v>136</v>
      </c>
      <c r="C260" s="350" t="s">
        <v>45</v>
      </c>
      <c r="D260" s="184" t="s">
        <v>40</v>
      </c>
      <c r="E260" s="115"/>
      <c r="F260" s="135">
        <f t="shared" si="81"/>
        <v>54593.9</v>
      </c>
      <c r="G260" s="231">
        <v>54593.9</v>
      </c>
      <c r="H260" s="231">
        <v>0</v>
      </c>
      <c r="I260" s="285">
        <v>0</v>
      </c>
      <c r="J260" s="285"/>
      <c r="K260" s="285"/>
      <c r="L260" s="285"/>
      <c r="M260" s="285"/>
      <c r="N260" s="231">
        <v>0</v>
      </c>
      <c r="O260" s="231">
        <v>0</v>
      </c>
      <c r="P260" s="307" t="s">
        <v>90</v>
      </c>
    </row>
    <row r="261" spans="1:21" s="40" customFormat="1" ht="34.799999999999997" x14ac:dyDescent="0.3">
      <c r="A261" s="354"/>
      <c r="B261" s="352"/>
      <c r="C261" s="350"/>
      <c r="D261" s="184" t="s">
        <v>1</v>
      </c>
      <c r="E261" s="235">
        <v>0</v>
      </c>
      <c r="F261" s="135">
        <f t="shared" si="81"/>
        <v>326667.27737999998</v>
      </c>
      <c r="G261" s="235">
        <v>326667.27737999998</v>
      </c>
      <c r="H261" s="235">
        <v>0</v>
      </c>
      <c r="I261" s="294">
        <f>513435.04025-513435.04025</f>
        <v>0</v>
      </c>
      <c r="J261" s="294"/>
      <c r="K261" s="294"/>
      <c r="L261" s="294"/>
      <c r="M261" s="294"/>
      <c r="N261" s="235">
        <f>508568.72-508568.72</f>
        <v>0</v>
      </c>
      <c r="O261" s="235">
        <v>0</v>
      </c>
      <c r="P261" s="307"/>
    </row>
    <row r="262" spans="1:21" s="40" customFormat="1" ht="52.2" x14ac:dyDescent="0.3">
      <c r="A262" s="354"/>
      <c r="B262" s="352"/>
      <c r="C262" s="350"/>
      <c r="D262" s="184" t="s">
        <v>48</v>
      </c>
      <c r="E262" s="235">
        <v>0</v>
      </c>
      <c r="F262" s="135">
        <f t="shared" si="81"/>
        <v>156526.48230999999</v>
      </c>
      <c r="G262" s="235">
        <v>156526.48230999999</v>
      </c>
      <c r="H262" s="235">
        <v>0</v>
      </c>
      <c r="I262" s="294">
        <f>67451.08779+13947.78634-81398.87413</f>
        <v>0</v>
      </c>
      <c r="J262" s="294"/>
      <c r="K262" s="294"/>
      <c r="L262" s="294"/>
      <c r="M262" s="294"/>
      <c r="N262" s="235">
        <f>56507.64-56507.64</f>
        <v>0</v>
      </c>
      <c r="O262" s="235">
        <v>0</v>
      </c>
      <c r="P262" s="307"/>
    </row>
    <row r="263" spans="1:21" s="40" customFormat="1" ht="34.799999999999997" x14ac:dyDescent="0.3">
      <c r="A263" s="354"/>
      <c r="B263" s="352"/>
      <c r="C263" s="350"/>
      <c r="D263" s="184" t="s">
        <v>87</v>
      </c>
      <c r="E263" s="235"/>
      <c r="F263" s="135">
        <f t="shared" si="81"/>
        <v>0</v>
      </c>
      <c r="G263" s="235">
        <v>0</v>
      </c>
      <c r="H263" s="235">
        <v>0</v>
      </c>
      <c r="I263" s="294">
        <v>0</v>
      </c>
      <c r="J263" s="294"/>
      <c r="K263" s="294"/>
      <c r="L263" s="294"/>
      <c r="M263" s="294"/>
      <c r="N263" s="235">
        <v>0</v>
      </c>
      <c r="O263" s="235">
        <v>0</v>
      </c>
      <c r="P263" s="307"/>
    </row>
    <row r="264" spans="1:21" s="40" customFormat="1" ht="33" customHeight="1" x14ac:dyDescent="0.3">
      <c r="A264" s="354"/>
      <c r="B264" s="286" t="s">
        <v>163</v>
      </c>
      <c r="C264" s="288" t="s">
        <v>116</v>
      </c>
      <c r="D264" s="289" t="s">
        <v>116</v>
      </c>
      <c r="E264" s="228"/>
      <c r="F264" s="290" t="s">
        <v>117</v>
      </c>
      <c r="G264" s="227" t="s">
        <v>234</v>
      </c>
      <c r="H264" s="227" t="s">
        <v>235</v>
      </c>
      <c r="I264" s="283" t="s">
        <v>123</v>
      </c>
      <c r="J264" s="284" t="s">
        <v>118</v>
      </c>
      <c r="K264" s="284"/>
      <c r="L264" s="284"/>
      <c r="M264" s="284"/>
      <c r="N264" s="227" t="s">
        <v>124</v>
      </c>
      <c r="O264" s="227" t="s">
        <v>125</v>
      </c>
      <c r="P264" s="295" t="s">
        <v>116</v>
      </c>
      <c r="Q264" s="41"/>
    </row>
    <row r="265" spans="1:21" s="40" customFormat="1" ht="24" customHeight="1" x14ac:dyDescent="0.3">
      <c r="A265" s="354"/>
      <c r="B265" s="286"/>
      <c r="C265" s="288"/>
      <c r="D265" s="289"/>
      <c r="E265" s="228"/>
      <c r="F265" s="290"/>
      <c r="G265" s="228"/>
      <c r="H265" s="228"/>
      <c r="I265" s="283"/>
      <c r="J265" s="228" t="s">
        <v>119</v>
      </c>
      <c r="K265" s="228" t="s">
        <v>120</v>
      </c>
      <c r="L265" s="228" t="s">
        <v>121</v>
      </c>
      <c r="M265" s="228" t="s">
        <v>122</v>
      </c>
      <c r="N265" s="228"/>
      <c r="O265" s="228"/>
      <c r="P265" s="295"/>
      <c r="Q265" s="41"/>
    </row>
    <row r="266" spans="1:21" s="40" customFormat="1" ht="18.75" customHeight="1" x14ac:dyDescent="0.3">
      <c r="A266" s="354"/>
      <c r="B266" s="286"/>
      <c r="C266" s="288"/>
      <c r="D266" s="289"/>
      <c r="E266" s="228"/>
      <c r="F266" s="136">
        <f>I266+H266+G266+N266+O266</f>
        <v>1</v>
      </c>
      <c r="G266" s="121">
        <v>1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295"/>
      <c r="Q266" s="41"/>
    </row>
    <row r="267" spans="1:21" s="217" customFormat="1" ht="24" hidden="1" customHeight="1" x14ac:dyDescent="0.3">
      <c r="A267" s="354"/>
      <c r="B267" s="286" t="s">
        <v>208</v>
      </c>
      <c r="C267" s="288" t="s">
        <v>116</v>
      </c>
      <c r="D267" s="289" t="s">
        <v>116</v>
      </c>
      <c r="E267" s="228"/>
      <c r="F267" s="290" t="s">
        <v>117</v>
      </c>
      <c r="G267" s="227" t="s">
        <v>234</v>
      </c>
      <c r="H267" s="227" t="s">
        <v>235</v>
      </c>
      <c r="I267" s="283" t="s">
        <v>123</v>
      </c>
      <c r="J267" s="284" t="s">
        <v>118</v>
      </c>
      <c r="K267" s="284"/>
      <c r="L267" s="284"/>
      <c r="M267" s="284"/>
      <c r="N267" s="227" t="s">
        <v>124</v>
      </c>
      <c r="O267" s="227" t="s">
        <v>125</v>
      </c>
      <c r="P267" s="295" t="s">
        <v>116</v>
      </c>
      <c r="Q267" s="216"/>
    </row>
    <row r="268" spans="1:21" s="217" customFormat="1" ht="24" hidden="1" customHeight="1" x14ac:dyDescent="0.3">
      <c r="A268" s="354"/>
      <c r="B268" s="286"/>
      <c r="C268" s="288"/>
      <c r="D268" s="289"/>
      <c r="E268" s="228"/>
      <c r="F268" s="290"/>
      <c r="G268" s="228"/>
      <c r="H268" s="228"/>
      <c r="I268" s="283"/>
      <c r="J268" s="228" t="s">
        <v>119</v>
      </c>
      <c r="K268" s="228" t="s">
        <v>120</v>
      </c>
      <c r="L268" s="228" t="s">
        <v>121</v>
      </c>
      <c r="M268" s="228" t="s">
        <v>122</v>
      </c>
      <c r="N268" s="228"/>
      <c r="O268" s="228"/>
      <c r="P268" s="295"/>
      <c r="Q268" s="216"/>
    </row>
    <row r="269" spans="1:21" s="217" customFormat="1" ht="24" hidden="1" customHeight="1" x14ac:dyDescent="0.3">
      <c r="A269" s="354"/>
      <c r="B269" s="286"/>
      <c r="C269" s="288"/>
      <c r="D269" s="289"/>
      <c r="E269" s="228"/>
      <c r="F269" s="136">
        <f>I269+H269+G269+N269+O269</f>
        <v>0</v>
      </c>
      <c r="G269" s="121">
        <v>0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295"/>
      <c r="Q269" s="216"/>
    </row>
    <row r="270" spans="1:21" s="40" customFormat="1" ht="42" customHeight="1" x14ac:dyDescent="0.3">
      <c r="A270" s="354" t="s">
        <v>268</v>
      </c>
      <c r="B270" s="352" t="s">
        <v>211</v>
      </c>
      <c r="C270" s="350" t="s">
        <v>45</v>
      </c>
      <c r="D270" s="184" t="s">
        <v>40</v>
      </c>
      <c r="E270" s="235"/>
      <c r="F270" s="135">
        <f t="shared" ref="F270:F272" si="89">SUM(G270:O270)</f>
        <v>4167.3999999999996</v>
      </c>
      <c r="G270" s="235">
        <v>4167.3999999999996</v>
      </c>
      <c r="H270" s="235">
        <v>0</v>
      </c>
      <c r="I270" s="294">
        <v>0</v>
      </c>
      <c r="J270" s="294"/>
      <c r="K270" s="294"/>
      <c r="L270" s="294"/>
      <c r="M270" s="294"/>
      <c r="N270" s="235">
        <v>0</v>
      </c>
      <c r="O270" s="235">
        <v>0</v>
      </c>
      <c r="P270" s="307" t="s">
        <v>3</v>
      </c>
    </row>
    <row r="271" spans="1:21" s="40" customFormat="1" ht="34.799999999999997" x14ac:dyDescent="0.3">
      <c r="A271" s="354"/>
      <c r="B271" s="352"/>
      <c r="C271" s="350"/>
      <c r="D271" s="184" t="s">
        <v>1</v>
      </c>
      <c r="E271" s="235">
        <v>0</v>
      </c>
      <c r="F271" s="135">
        <f t="shared" si="89"/>
        <v>30721.122500000001</v>
      </c>
      <c r="G271" s="235">
        <v>30721.122500000001</v>
      </c>
      <c r="H271" s="235">
        <v>0</v>
      </c>
      <c r="I271" s="294">
        <f>45033.19-0.007-45033.183</f>
        <v>0</v>
      </c>
      <c r="J271" s="294"/>
      <c r="K271" s="294"/>
      <c r="L271" s="294"/>
      <c r="M271" s="294"/>
      <c r="N271" s="235">
        <f>39400.88-39400.88</f>
        <v>0</v>
      </c>
      <c r="O271" s="235">
        <v>0</v>
      </c>
      <c r="P271" s="307"/>
    </row>
    <row r="272" spans="1:21" s="40" customFormat="1" ht="57.75" customHeight="1" x14ac:dyDescent="0.3">
      <c r="A272" s="354"/>
      <c r="B272" s="352"/>
      <c r="C272" s="350"/>
      <c r="D272" s="184" t="s">
        <v>48</v>
      </c>
      <c r="E272" s="235">
        <v>0</v>
      </c>
      <c r="F272" s="135">
        <f t="shared" si="89"/>
        <v>58144.980499999998</v>
      </c>
      <c r="G272" s="235">
        <v>58144.980499999998</v>
      </c>
      <c r="H272" s="235">
        <v>0</v>
      </c>
      <c r="I272" s="294">
        <f>20837.23+8930.11611-29767.34611</f>
        <v>0</v>
      </c>
      <c r="J272" s="294"/>
      <c r="K272" s="294"/>
      <c r="L272" s="294"/>
      <c r="M272" s="294"/>
      <c r="N272" s="235">
        <f>4377.88-4377.88</f>
        <v>0</v>
      </c>
      <c r="O272" s="235">
        <v>0</v>
      </c>
      <c r="P272" s="307"/>
    </row>
    <row r="273" spans="1:17" s="40" customFormat="1" ht="34.799999999999997" x14ac:dyDescent="0.3">
      <c r="A273" s="354"/>
      <c r="B273" s="352"/>
      <c r="C273" s="350"/>
      <c r="D273" s="184" t="s">
        <v>87</v>
      </c>
      <c r="E273" s="235"/>
      <c r="F273" s="135">
        <f>SUM(H273:O273)</f>
        <v>0</v>
      </c>
      <c r="G273" s="235">
        <v>0</v>
      </c>
      <c r="H273" s="235">
        <v>0</v>
      </c>
      <c r="I273" s="294">
        <v>0</v>
      </c>
      <c r="J273" s="294"/>
      <c r="K273" s="294"/>
      <c r="L273" s="294"/>
      <c r="M273" s="294"/>
      <c r="N273" s="235">
        <v>0</v>
      </c>
      <c r="O273" s="235">
        <v>0</v>
      </c>
      <c r="P273" s="307"/>
    </row>
    <row r="274" spans="1:17" s="40" customFormat="1" ht="24" customHeight="1" x14ac:dyDescent="0.3">
      <c r="A274" s="354"/>
      <c r="B274" s="286" t="s">
        <v>164</v>
      </c>
      <c r="C274" s="288" t="s">
        <v>116</v>
      </c>
      <c r="D274" s="289" t="s">
        <v>116</v>
      </c>
      <c r="E274" s="228"/>
      <c r="F274" s="290" t="s">
        <v>117</v>
      </c>
      <c r="G274" s="227" t="s">
        <v>234</v>
      </c>
      <c r="H274" s="227" t="s">
        <v>235</v>
      </c>
      <c r="I274" s="283" t="s">
        <v>123</v>
      </c>
      <c r="J274" s="284" t="s">
        <v>118</v>
      </c>
      <c r="K274" s="284"/>
      <c r="L274" s="284"/>
      <c r="M274" s="284"/>
      <c r="N274" s="227" t="s">
        <v>124</v>
      </c>
      <c r="O274" s="227" t="s">
        <v>125</v>
      </c>
      <c r="P274" s="295" t="s">
        <v>116</v>
      </c>
      <c r="Q274" s="41"/>
    </row>
    <row r="275" spans="1:17" s="40" customFormat="1" ht="24" customHeight="1" x14ac:dyDescent="0.3">
      <c r="A275" s="354"/>
      <c r="B275" s="286"/>
      <c r="C275" s="288"/>
      <c r="D275" s="289"/>
      <c r="E275" s="228"/>
      <c r="F275" s="290"/>
      <c r="G275" s="228"/>
      <c r="H275" s="228"/>
      <c r="I275" s="283"/>
      <c r="J275" s="228" t="s">
        <v>119</v>
      </c>
      <c r="K275" s="228" t="s">
        <v>120</v>
      </c>
      <c r="L275" s="228" t="s">
        <v>121</v>
      </c>
      <c r="M275" s="228" t="s">
        <v>122</v>
      </c>
      <c r="N275" s="228"/>
      <c r="O275" s="228"/>
      <c r="P275" s="295"/>
      <c r="Q275" s="41"/>
    </row>
    <row r="276" spans="1:17" s="40" customFormat="1" ht="21.75" customHeight="1" x14ac:dyDescent="0.3">
      <c r="A276" s="354"/>
      <c r="B276" s="286"/>
      <c r="C276" s="288"/>
      <c r="D276" s="289"/>
      <c r="E276" s="228"/>
      <c r="F276" s="136">
        <f>I276+H276+G276+N276+O276</f>
        <v>1</v>
      </c>
      <c r="G276" s="121">
        <v>1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295"/>
      <c r="Q276" s="41"/>
    </row>
    <row r="277" spans="1:17" s="40" customFormat="1" ht="40.5" customHeight="1" x14ac:dyDescent="0.3">
      <c r="A277" s="354" t="s">
        <v>269</v>
      </c>
      <c r="B277" s="352" t="s">
        <v>100</v>
      </c>
      <c r="C277" s="350" t="s">
        <v>45</v>
      </c>
      <c r="D277" s="184" t="s">
        <v>40</v>
      </c>
      <c r="E277" s="235"/>
      <c r="F277" s="135">
        <f t="shared" ref="F277:F279" si="90">SUM(G277:O277)</f>
        <v>0</v>
      </c>
      <c r="G277" s="235">
        <v>0</v>
      </c>
      <c r="H277" s="235">
        <v>0</v>
      </c>
      <c r="I277" s="294">
        <v>0</v>
      </c>
      <c r="J277" s="294"/>
      <c r="K277" s="294"/>
      <c r="L277" s="294"/>
      <c r="M277" s="294"/>
      <c r="N277" s="235">
        <v>0</v>
      </c>
      <c r="O277" s="235">
        <v>0</v>
      </c>
      <c r="P277" s="307" t="s">
        <v>3</v>
      </c>
    </row>
    <row r="278" spans="1:17" s="40" customFormat="1" ht="34.799999999999997" x14ac:dyDescent="0.3">
      <c r="A278" s="354"/>
      <c r="B278" s="352"/>
      <c r="C278" s="350"/>
      <c r="D278" s="184" t="s">
        <v>1</v>
      </c>
      <c r="E278" s="235">
        <v>0</v>
      </c>
      <c r="F278" s="135">
        <f t="shared" si="90"/>
        <v>38367.31</v>
      </c>
      <c r="G278" s="235">
        <v>38367.31</v>
      </c>
      <c r="H278" s="235">
        <v>0</v>
      </c>
      <c r="I278" s="294">
        <f>30404.68-0.006-30404.674</f>
        <v>0</v>
      </c>
      <c r="J278" s="294"/>
      <c r="K278" s="294"/>
      <c r="L278" s="294"/>
      <c r="M278" s="294"/>
      <c r="N278" s="235">
        <f>38297.91-38297.91</f>
        <v>0</v>
      </c>
      <c r="O278" s="235">
        <v>0</v>
      </c>
      <c r="P278" s="307"/>
    </row>
    <row r="279" spans="1:17" s="40" customFormat="1" ht="52.2" x14ac:dyDescent="0.3">
      <c r="A279" s="354"/>
      <c r="B279" s="352"/>
      <c r="C279" s="350"/>
      <c r="D279" s="184" t="s">
        <v>48</v>
      </c>
      <c r="E279" s="235">
        <v>0</v>
      </c>
      <c r="F279" s="135">
        <f t="shared" si="90"/>
        <v>4263.0379999999996</v>
      </c>
      <c r="G279" s="235">
        <v>4263.0379999999996</v>
      </c>
      <c r="H279" s="235">
        <v>0</v>
      </c>
      <c r="I279" s="294">
        <f>3378.3-3378.3</f>
        <v>0</v>
      </c>
      <c r="J279" s="294"/>
      <c r="K279" s="294"/>
      <c r="L279" s="294"/>
      <c r="M279" s="294"/>
      <c r="N279" s="235">
        <f>4255.33-4255.33</f>
        <v>0</v>
      </c>
      <c r="O279" s="235">
        <v>0</v>
      </c>
      <c r="P279" s="307"/>
    </row>
    <row r="280" spans="1:17" s="40" customFormat="1" ht="34.799999999999997" x14ac:dyDescent="0.3">
      <c r="A280" s="354"/>
      <c r="B280" s="352"/>
      <c r="C280" s="350"/>
      <c r="D280" s="184" t="s">
        <v>87</v>
      </c>
      <c r="E280" s="235"/>
      <c r="F280" s="135">
        <f>SUM(H280:O280)</f>
        <v>0</v>
      </c>
      <c r="G280" s="235">
        <v>0</v>
      </c>
      <c r="H280" s="235">
        <v>0</v>
      </c>
      <c r="I280" s="294">
        <v>0</v>
      </c>
      <c r="J280" s="294"/>
      <c r="K280" s="294"/>
      <c r="L280" s="294"/>
      <c r="M280" s="294"/>
      <c r="N280" s="235">
        <v>0</v>
      </c>
      <c r="O280" s="235">
        <v>0</v>
      </c>
      <c r="P280" s="307"/>
    </row>
    <row r="281" spans="1:17" s="40" customFormat="1" ht="24" customHeight="1" x14ac:dyDescent="0.3">
      <c r="A281" s="354"/>
      <c r="B281" s="286" t="s">
        <v>165</v>
      </c>
      <c r="C281" s="288" t="s">
        <v>116</v>
      </c>
      <c r="D281" s="289" t="s">
        <v>116</v>
      </c>
      <c r="E281" s="228"/>
      <c r="F281" s="290" t="s">
        <v>117</v>
      </c>
      <c r="G281" s="227" t="s">
        <v>234</v>
      </c>
      <c r="H281" s="227" t="s">
        <v>235</v>
      </c>
      <c r="I281" s="283" t="s">
        <v>123</v>
      </c>
      <c r="J281" s="284" t="s">
        <v>118</v>
      </c>
      <c r="K281" s="284"/>
      <c r="L281" s="284"/>
      <c r="M281" s="284"/>
      <c r="N281" s="227" t="s">
        <v>124</v>
      </c>
      <c r="O281" s="227" t="s">
        <v>125</v>
      </c>
      <c r="P281" s="295" t="s">
        <v>116</v>
      </c>
      <c r="Q281" s="41"/>
    </row>
    <row r="282" spans="1:17" s="40" customFormat="1" ht="21.75" customHeight="1" x14ac:dyDescent="0.3">
      <c r="A282" s="354"/>
      <c r="B282" s="286"/>
      <c r="C282" s="288"/>
      <c r="D282" s="289"/>
      <c r="E282" s="228"/>
      <c r="F282" s="290"/>
      <c r="G282" s="228"/>
      <c r="H282" s="228"/>
      <c r="I282" s="283"/>
      <c r="J282" s="228" t="s">
        <v>119</v>
      </c>
      <c r="K282" s="228" t="s">
        <v>120</v>
      </c>
      <c r="L282" s="228" t="s">
        <v>121</v>
      </c>
      <c r="M282" s="228" t="s">
        <v>122</v>
      </c>
      <c r="N282" s="228"/>
      <c r="O282" s="228"/>
      <c r="P282" s="295"/>
      <c r="Q282" s="41"/>
    </row>
    <row r="283" spans="1:17" s="40" customFormat="1" ht="19.8" customHeight="1" x14ac:dyDescent="0.3">
      <c r="A283" s="354"/>
      <c r="B283" s="286"/>
      <c r="C283" s="288"/>
      <c r="D283" s="289"/>
      <c r="E283" s="228"/>
      <c r="F283" s="136">
        <f>I283+H283+G283+N283</f>
        <v>1</v>
      </c>
      <c r="G283" s="121">
        <v>1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295"/>
      <c r="Q283" s="41"/>
    </row>
    <row r="284" spans="1:17" s="40" customFormat="1" ht="36.75" customHeight="1" x14ac:dyDescent="0.3">
      <c r="A284" s="354" t="s">
        <v>270</v>
      </c>
      <c r="B284" s="352" t="s">
        <v>101</v>
      </c>
      <c r="C284" s="350" t="s">
        <v>45</v>
      </c>
      <c r="D284" s="184" t="s">
        <v>40</v>
      </c>
      <c r="E284" s="235"/>
      <c r="F284" s="135">
        <f t="shared" ref="F284:F286" si="91">SUM(G284:O284)</f>
        <v>0</v>
      </c>
      <c r="G284" s="235">
        <v>0</v>
      </c>
      <c r="H284" s="235">
        <v>0</v>
      </c>
      <c r="I284" s="294">
        <v>0</v>
      </c>
      <c r="J284" s="294"/>
      <c r="K284" s="294"/>
      <c r="L284" s="294"/>
      <c r="M284" s="294"/>
      <c r="N284" s="235">
        <v>0</v>
      </c>
      <c r="O284" s="235">
        <v>0</v>
      </c>
      <c r="P284" s="307" t="s">
        <v>3</v>
      </c>
    </row>
    <row r="285" spans="1:17" s="40" customFormat="1" ht="30.75" customHeight="1" x14ac:dyDescent="0.3">
      <c r="A285" s="354"/>
      <c r="B285" s="352"/>
      <c r="C285" s="350"/>
      <c r="D285" s="184" t="s">
        <v>1</v>
      </c>
      <c r="E285" s="235">
        <v>0</v>
      </c>
      <c r="F285" s="135">
        <f t="shared" si="91"/>
        <v>12282.706</v>
      </c>
      <c r="G285" s="235">
        <v>12282.706</v>
      </c>
      <c r="H285" s="235">
        <v>0</v>
      </c>
      <c r="I285" s="294">
        <f>47052.14-0.005-47052.135</f>
        <v>0</v>
      </c>
      <c r="J285" s="294"/>
      <c r="K285" s="294"/>
      <c r="L285" s="294"/>
      <c r="M285" s="294"/>
      <c r="N285" s="235">
        <f>18000-18000</f>
        <v>0</v>
      </c>
      <c r="O285" s="235">
        <v>0</v>
      </c>
      <c r="P285" s="307"/>
    </row>
    <row r="286" spans="1:17" s="40" customFormat="1" ht="57.75" customHeight="1" x14ac:dyDescent="0.3">
      <c r="A286" s="354"/>
      <c r="B286" s="352"/>
      <c r="C286" s="350"/>
      <c r="D286" s="184" t="s">
        <v>48</v>
      </c>
      <c r="E286" s="235">
        <v>0</v>
      </c>
      <c r="F286" s="135">
        <f t="shared" si="91"/>
        <v>73705.050189999994</v>
      </c>
      <c r="G286" s="235">
        <v>73705.050189999994</v>
      </c>
      <c r="H286" s="235">
        <v>0</v>
      </c>
      <c r="I286" s="294">
        <f>25683.5+6941.93543-32625.43543</f>
        <v>0</v>
      </c>
      <c r="J286" s="294"/>
      <c r="K286" s="294"/>
      <c r="L286" s="294"/>
      <c r="M286" s="294"/>
      <c r="N286" s="235">
        <f>2000-2000</f>
        <v>0</v>
      </c>
      <c r="O286" s="235">
        <v>0</v>
      </c>
      <c r="P286" s="307"/>
    </row>
    <row r="287" spans="1:17" s="40" customFormat="1" ht="34.799999999999997" x14ac:dyDescent="0.3">
      <c r="A287" s="354"/>
      <c r="B287" s="352"/>
      <c r="C287" s="350"/>
      <c r="D287" s="184" t="s">
        <v>87</v>
      </c>
      <c r="E287" s="235"/>
      <c r="F287" s="135">
        <f>SUM(H287:O287)</f>
        <v>0</v>
      </c>
      <c r="G287" s="235">
        <v>0</v>
      </c>
      <c r="H287" s="235">
        <v>0</v>
      </c>
      <c r="I287" s="294">
        <v>0</v>
      </c>
      <c r="J287" s="294"/>
      <c r="K287" s="294"/>
      <c r="L287" s="294"/>
      <c r="M287" s="294"/>
      <c r="N287" s="235">
        <v>0</v>
      </c>
      <c r="O287" s="235">
        <v>0</v>
      </c>
      <c r="P287" s="307"/>
    </row>
    <row r="288" spans="1:17" s="40" customFormat="1" ht="24" customHeight="1" x14ac:dyDescent="0.3">
      <c r="A288" s="354"/>
      <c r="B288" s="286" t="s">
        <v>185</v>
      </c>
      <c r="C288" s="288" t="s">
        <v>116</v>
      </c>
      <c r="D288" s="289" t="s">
        <v>116</v>
      </c>
      <c r="E288" s="228"/>
      <c r="F288" s="290" t="s">
        <v>117</v>
      </c>
      <c r="G288" s="227" t="s">
        <v>234</v>
      </c>
      <c r="H288" s="227" t="s">
        <v>235</v>
      </c>
      <c r="I288" s="283" t="s">
        <v>123</v>
      </c>
      <c r="J288" s="284" t="s">
        <v>118</v>
      </c>
      <c r="K288" s="284"/>
      <c r="L288" s="284"/>
      <c r="M288" s="284"/>
      <c r="N288" s="227" t="s">
        <v>124</v>
      </c>
      <c r="O288" s="227" t="s">
        <v>125</v>
      </c>
      <c r="P288" s="295" t="s">
        <v>116</v>
      </c>
      <c r="Q288" s="41"/>
    </row>
    <row r="289" spans="1:17" s="40" customFormat="1" ht="18.75" customHeight="1" x14ac:dyDescent="0.3">
      <c r="A289" s="354"/>
      <c r="B289" s="286"/>
      <c r="C289" s="288"/>
      <c r="D289" s="289"/>
      <c r="E289" s="228"/>
      <c r="F289" s="290"/>
      <c r="G289" s="228"/>
      <c r="H289" s="228"/>
      <c r="I289" s="283"/>
      <c r="J289" s="228" t="s">
        <v>119</v>
      </c>
      <c r="K289" s="228" t="s">
        <v>120</v>
      </c>
      <c r="L289" s="228" t="s">
        <v>121</v>
      </c>
      <c r="M289" s="228" t="s">
        <v>122</v>
      </c>
      <c r="N289" s="228"/>
      <c r="O289" s="228"/>
      <c r="P289" s="295"/>
      <c r="Q289" s="41"/>
    </row>
    <row r="290" spans="1:17" s="40" customFormat="1" ht="16.5" customHeight="1" x14ac:dyDescent="0.3">
      <c r="A290" s="354"/>
      <c r="B290" s="286"/>
      <c r="C290" s="288"/>
      <c r="D290" s="289"/>
      <c r="E290" s="228"/>
      <c r="F290" s="136">
        <f>I290+H290+G290+N290+O290</f>
        <v>1</v>
      </c>
      <c r="G290" s="121">
        <v>1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1">
        <v>0</v>
      </c>
      <c r="P290" s="295"/>
      <c r="Q290" s="41"/>
    </row>
    <row r="291" spans="1:17" s="40" customFormat="1" ht="37.5" customHeight="1" x14ac:dyDescent="0.3">
      <c r="A291" s="354" t="s">
        <v>271</v>
      </c>
      <c r="B291" s="352" t="s">
        <v>102</v>
      </c>
      <c r="C291" s="350" t="s">
        <v>45</v>
      </c>
      <c r="D291" s="184" t="s">
        <v>40</v>
      </c>
      <c r="E291" s="235"/>
      <c r="F291" s="135">
        <f t="shared" ref="F291:F292" si="92">SUM(G291:O291)</f>
        <v>0</v>
      </c>
      <c r="G291" s="235">
        <v>0</v>
      </c>
      <c r="H291" s="235">
        <v>0</v>
      </c>
      <c r="I291" s="294">
        <v>0</v>
      </c>
      <c r="J291" s="294"/>
      <c r="K291" s="294"/>
      <c r="L291" s="294"/>
      <c r="M291" s="294"/>
      <c r="N291" s="235">
        <v>0</v>
      </c>
      <c r="O291" s="235">
        <v>0</v>
      </c>
      <c r="P291" s="307" t="s">
        <v>3</v>
      </c>
    </row>
    <row r="292" spans="1:17" s="40" customFormat="1" ht="37.5" customHeight="1" x14ac:dyDescent="0.3">
      <c r="A292" s="354"/>
      <c r="B292" s="352"/>
      <c r="C292" s="350"/>
      <c r="D292" s="184" t="s">
        <v>1</v>
      </c>
      <c r="E292" s="235">
        <v>0</v>
      </c>
      <c r="F292" s="135">
        <f t="shared" si="92"/>
        <v>0</v>
      </c>
      <c r="G292" s="235">
        <v>0</v>
      </c>
      <c r="H292" s="235">
        <v>0</v>
      </c>
      <c r="I292" s="294">
        <v>0</v>
      </c>
      <c r="J292" s="294"/>
      <c r="K292" s="294"/>
      <c r="L292" s="294"/>
      <c r="M292" s="294"/>
      <c r="N292" s="235">
        <v>0</v>
      </c>
      <c r="O292" s="235">
        <v>0</v>
      </c>
      <c r="P292" s="307"/>
    </row>
    <row r="293" spans="1:17" s="40" customFormat="1" ht="52.2" x14ac:dyDescent="0.3">
      <c r="A293" s="354"/>
      <c r="B293" s="352"/>
      <c r="C293" s="350"/>
      <c r="D293" s="184" t="s">
        <v>48</v>
      </c>
      <c r="E293" s="235">
        <v>0</v>
      </c>
      <c r="F293" s="135">
        <f>SUM(G293:O293)</f>
        <v>2375.0113900000001</v>
      </c>
      <c r="G293" s="235">
        <v>2375.0113900000001</v>
      </c>
      <c r="H293" s="235">
        <v>0</v>
      </c>
      <c r="I293" s="294">
        <v>0</v>
      </c>
      <c r="J293" s="294"/>
      <c r="K293" s="294"/>
      <c r="L293" s="294"/>
      <c r="M293" s="294"/>
      <c r="N293" s="235">
        <v>0</v>
      </c>
      <c r="O293" s="235">
        <v>0</v>
      </c>
      <c r="P293" s="307"/>
    </row>
    <row r="294" spans="1:17" s="40" customFormat="1" ht="34.799999999999997" x14ac:dyDescent="0.3">
      <c r="A294" s="354"/>
      <c r="B294" s="352"/>
      <c r="C294" s="350"/>
      <c r="D294" s="184" t="s">
        <v>87</v>
      </c>
      <c r="E294" s="235"/>
      <c r="F294" s="135">
        <f t="shared" ref="F294" si="93">SUM(G294:O294)</f>
        <v>0</v>
      </c>
      <c r="G294" s="235">
        <v>0</v>
      </c>
      <c r="H294" s="235">
        <v>0</v>
      </c>
      <c r="I294" s="294">
        <v>0</v>
      </c>
      <c r="J294" s="294"/>
      <c r="K294" s="294"/>
      <c r="L294" s="294"/>
      <c r="M294" s="294"/>
      <c r="N294" s="235">
        <v>0</v>
      </c>
      <c r="O294" s="235">
        <v>0</v>
      </c>
      <c r="P294" s="307"/>
    </row>
    <row r="295" spans="1:17" s="40" customFormat="1" ht="25.5" customHeight="1" x14ac:dyDescent="0.3">
      <c r="A295" s="354"/>
      <c r="B295" s="286" t="s">
        <v>166</v>
      </c>
      <c r="C295" s="288" t="s">
        <v>116</v>
      </c>
      <c r="D295" s="289" t="s">
        <v>116</v>
      </c>
      <c r="E295" s="228"/>
      <c r="F295" s="290" t="s">
        <v>117</v>
      </c>
      <c r="G295" s="227" t="s">
        <v>234</v>
      </c>
      <c r="H295" s="227" t="s">
        <v>235</v>
      </c>
      <c r="I295" s="283" t="s">
        <v>123</v>
      </c>
      <c r="J295" s="284" t="s">
        <v>118</v>
      </c>
      <c r="K295" s="284"/>
      <c r="L295" s="284"/>
      <c r="M295" s="284"/>
      <c r="N295" s="227" t="s">
        <v>124</v>
      </c>
      <c r="O295" s="227" t="s">
        <v>125</v>
      </c>
      <c r="P295" s="295" t="s">
        <v>116</v>
      </c>
      <c r="Q295" s="41"/>
    </row>
    <row r="296" spans="1:17" s="40" customFormat="1" ht="20.25" customHeight="1" x14ac:dyDescent="0.3">
      <c r="A296" s="354"/>
      <c r="B296" s="286"/>
      <c r="C296" s="288"/>
      <c r="D296" s="289"/>
      <c r="E296" s="228"/>
      <c r="F296" s="290"/>
      <c r="G296" s="228"/>
      <c r="H296" s="228"/>
      <c r="I296" s="283"/>
      <c r="J296" s="228" t="s">
        <v>119</v>
      </c>
      <c r="K296" s="228" t="s">
        <v>120</v>
      </c>
      <c r="L296" s="228" t="s">
        <v>121</v>
      </c>
      <c r="M296" s="228" t="s">
        <v>122</v>
      </c>
      <c r="N296" s="228"/>
      <c r="O296" s="228"/>
      <c r="P296" s="295"/>
      <c r="Q296" s="41"/>
    </row>
    <row r="297" spans="1:17" s="40" customFormat="1" ht="22.8" customHeight="1" x14ac:dyDescent="0.3">
      <c r="A297" s="354"/>
      <c r="B297" s="286"/>
      <c r="C297" s="288"/>
      <c r="D297" s="289"/>
      <c r="E297" s="228"/>
      <c r="F297" s="136">
        <f>I297+H297+G297+N297+O297</f>
        <v>1</v>
      </c>
      <c r="G297" s="121">
        <v>1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>
        <v>0</v>
      </c>
      <c r="P297" s="295"/>
      <c r="Q297" s="41"/>
    </row>
    <row r="298" spans="1:17" s="40" customFormat="1" ht="36.75" customHeight="1" x14ac:dyDescent="0.3">
      <c r="A298" s="354" t="s">
        <v>272</v>
      </c>
      <c r="B298" s="352" t="s">
        <v>147</v>
      </c>
      <c r="C298" s="350" t="s">
        <v>45</v>
      </c>
      <c r="D298" s="184" t="s">
        <v>40</v>
      </c>
      <c r="E298" s="235"/>
      <c r="F298" s="135">
        <f t="shared" ref="F298:F300" si="94">SUM(G298:O298)</f>
        <v>0</v>
      </c>
      <c r="G298" s="235">
        <v>0</v>
      </c>
      <c r="H298" s="235">
        <v>0</v>
      </c>
      <c r="I298" s="294">
        <v>0</v>
      </c>
      <c r="J298" s="294"/>
      <c r="K298" s="294"/>
      <c r="L298" s="294"/>
      <c r="M298" s="294"/>
      <c r="N298" s="235">
        <v>0</v>
      </c>
      <c r="O298" s="235">
        <v>0</v>
      </c>
      <c r="P298" s="307" t="s">
        <v>3</v>
      </c>
    </row>
    <row r="299" spans="1:17" s="40" customFormat="1" ht="34.799999999999997" x14ac:dyDescent="0.3">
      <c r="A299" s="354"/>
      <c r="B299" s="352"/>
      <c r="C299" s="350"/>
      <c r="D299" s="184" t="s">
        <v>1</v>
      </c>
      <c r="E299" s="235">
        <v>0</v>
      </c>
      <c r="F299" s="135">
        <f t="shared" si="94"/>
        <v>0</v>
      </c>
      <c r="G299" s="235">
        <v>0</v>
      </c>
      <c r="H299" s="235">
        <v>0</v>
      </c>
      <c r="I299" s="294">
        <f>72165.6-72165.6</f>
        <v>0</v>
      </c>
      <c r="J299" s="294"/>
      <c r="K299" s="294"/>
      <c r="L299" s="294"/>
      <c r="M299" s="294"/>
      <c r="N299" s="235">
        <v>0</v>
      </c>
      <c r="O299" s="235">
        <v>0</v>
      </c>
      <c r="P299" s="307"/>
    </row>
    <row r="300" spans="1:17" s="40" customFormat="1" ht="52.2" x14ac:dyDescent="0.3">
      <c r="A300" s="354"/>
      <c r="B300" s="352"/>
      <c r="C300" s="350"/>
      <c r="D300" s="184" t="s">
        <v>48</v>
      </c>
      <c r="E300" s="235">
        <v>0</v>
      </c>
      <c r="F300" s="135">
        <f t="shared" si="94"/>
        <v>44191.952559999998</v>
      </c>
      <c r="G300" s="235">
        <v>44191.952559999998</v>
      </c>
      <c r="H300" s="235">
        <v>0</v>
      </c>
      <c r="I300" s="294">
        <f>8018.4-8018.4</f>
        <v>0</v>
      </c>
      <c r="J300" s="294"/>
      <c r="K300" s="294"/>
      <c r="L300" s="294"/>
      <c r="M300" s="294"/>
      <c r="N300" s="235">
        <v>0</v>
      </c>
      <c r="O300" s="235">
        <v>0</v>
      </c>
      <c r="P300" s="307"/>
    </row>
    <row r="301" spans="1:17" s="40" customFormat="1" ht="33" customHeight="1" x14ac:dyDescent="0.3">
      <c r="A301" s="354"/>
      <c r="B301" s="352"/>
      <c r="C301" s="350"/>
      <c r="D301" s="184" t="s">
        <v>87</v>
      </c>
      <c r="E301" s="235"/>
      <c r="F301" s="135">
        <f>SUM(H301:O301)</f>
        <v>0</v>
      </c>
      <c r="G301" s="235">
        <v>0</v>
      </c>
      <c r="H301" s="235">
        <v>0</v>
      </c>
      <c r="I301" s="294">
        <v>0</v>
      </c>
      <c r="J301" s="294"/>
      <c r="K301" s="294"/>
      <c r="L301" s="294"/>
      <c r="M301" s="294"/>
      <c r="N301" s="235">
        <v>0</v>
      </c>
      <c r="O301" s="235">
        <v>0</v>
      </c>
      <c r="P301" s="307"/>
    </row>
    <row r="302" spans="1:17" s="40" customFormat="1" ht="24" customHeight="1" x14ac:dyDescent="0.3">
      <c r="A302" s="354"/>
      <c r="B302" s="286" t="s">
        <v>167</v>
      </c>
      <c r="C302" s="288" t="s">
        <v>116</v>
      </c>
      <c r="D302" s="289" t="s">
        <v>116</v>
      </c>
      <c r="E302" s="228"/>
      <c r="F302" s="290" t="s">
        <v>117</v>
      </c>
      <c r="G302" s="227" t="s">
        <v>234</v>
      </c>
      <c r="H302" s="227" t="s">
        <v>235</v>
      </c>
      <c r="I302" s="283" t="s">
        <v>123</v>
      </c>
      <c r="J302" s="284" t="s">
        <v>118</v>
      </c>
      <c r="K302" s="284"/>
      <c r="L302" s="284"/>
      <c r="M302" s="284"/>
      <c r="N302" s="227" t="s">
        <v>124</v>
      </c>
      <c r="O302" s="227" t="s">
        <v>125</v>
      </c>
      <c r="P302" s="295" t="s">
        <v>116</v>
      </c>
      <c r="Q302" s="41"/>
    </row>
    <row r="303" spans="1:17" s="40" customFormat="1" ht="19.5" customHeight="1" x14ac:dyDescent="0.3">
      <c r="A303" s="354"/>
      <c r="B303" s="286"/>
      <c r="C303" s="288"/>
      <c r="D303" s="289"/>
      <c r="E303" s="228"/>
      <c r="F303" s="290"/>
      <c r="G303" s="228"/>
      <c r="H303" s="228"/>
      <c r="I303" s="283"/>
      <c r="J303" s="228" t="s">
        <v>119</v>
      </c>
      <c r="K303" s="228" t="s">
        <v>120</v>
      </c>
      <c r="L303" s="228" t="s">
        <v>121</v>
      </c>
      <c r="M303" s="228" t="s">
        <v>122</v>
      </c>
      <c r="N303" s="228"/>
      <c r="O303" s="228"/>
      <c r="P303" s="295"/>
      <c r="Q303" s="41"/>
    </row>
    <row r="304" spans="1:17" s="40" customFormat="1" ht="20.25" customHeight="1" x14ac:dyDescent="0.3">
      <c r="A304" s="354"/>
      <c r="B304" s="286"/>
      <c r="C304" s="288"/>
      <c r="D304" s="289"/>
      <c r="E304" s="228"/>
      <c r="F304" s="136">
        <f>I304+H304+G304+N304+O304</f>
        <v>1</v>
      </c>
      <c r="G304" s="121">
        <v>1</v>
      </c>
      <c r="H304" s="121">
        <v>0</v>
      </c>
      <c r="I304" s="121">
        <v>0</v>
      </c>
      <c r="J304" s="121">
        <v>0</v>
      </c>
      <c r="K304" s="121">
        <v>0</v>
      </c>
      <c r="L304" s="121">
        <v>0</v>
      </c>
      <c r="M304" s="121">
        <v>0</v>
      </c>
      <c r="N304" s="121">
        <v>0</v>
      </c>
      <c r="O304" s="121">
        <v>0</v>
      </c>
      <c r="P304" s="295"/>
      <c r="Q304" s="41"/>
    </row>
    <row r="305" spans="1:21" s="9" customFormat="1" ht="18.75" customHeight="1" x14ac:dyDescent="0.3">
      <c r="A305" s="395" t="s">
        <v>35</v>
      </c>
      <c r="B305" s="329" t="s">
        <v>112</v>
      </c>
      <c r="C305" s="329" t="s">
        <v>45</v>
      </c>
      <c r="D305" s="181" t="s">
        <v>2</v>
      </c>
      <c r="E305" s="242">
        <f>E308</f>
        <v>0</v>
      </c>
      <c r="F305" s="135">
        <f t="shared" ref="F305:F313" si="95">SUM(G305:O305)</f>
        <v>3053.4900000000002</v>
      </c>
      <c r="G305" s="242">
        <f t="shared" ref="G305:H305" si="96">G306+G307+G308+G309</f>
        <v>3053.4900000000002</v>
      </c>
      <c r="H305" s="242">
        <f t="shared" si="96"/>
        <v>0</v>
      </c>
      <c r="I305" s="292">
        <f>I306+I307+I308+I309</f>
        <v>0</v>
      </c>
      <c r="J305" s="292"/>
      <c r="K305" s="292"/>
      <c r="L305" s="292"/>
      <c r="M305" s="292"/>
      <c r="N305" s="242">
        <f t="shared" ref="N305:O305" si="97">N306+N307+N308+N309</f>
        <v>0</v>
      </c>
      <c r="O305" s="242">
        <f t="shared" si="97"/>
        <v>0</v>
      </c>
      <c r="P305" s="300"/>
      <c r="T305" s="45"/>
      <c r="U305" s="45"/>
    </row>
    <row r="306" spans="1:21" s="9" customFormat="1" ht="36" customHeight="1" x14ac:dyDescent="0.3">
      <c r="A306" s="395"/>
      <c r="B306" s="329"/>
      <c r="C306" s="329"/>
      <c r="D306" s="186" t="s">
        <v>40</v>
      </c>
      <c r="E306" s="242"/>
      <c r="F306" s="135">
        <f t="shared" si="95"/>
        <v>0</v>
      </c>
      <c r="G306" s="246">
        <f t="shared" ref="G306:H306" si="98">G310</f>
        <v>0</v>
      </c>
      <c r="H306" s="246">
        <f t="shared" si="98"/>
        <v>0</v>
      </c>
      <c r="I306" s="308">
        <f>I310</f>
        <v>0</v>
      </c>
      <c r="J306" s="308"/>
      <c r="K306" s="308"/>
      <c r="L306" s="308"/>
      <c r="M306" s="308"/>
      <c r="N306" s="246">
        <f t="shared" ref="N306:O306" si="99">N310</f>
        <v>0</v>
      </c>
      <c r="O306" s="246">
        <f t="shared" si="99"/>
        <v>0</v>
      </c>
      <c r="P306" s="300"/>
      <c r="T306" s="45"/>
      <c r="U306" s="45"/>
    </row>
    <row r="307" spans="1:21" s="9" customFormat="1" ht="37.5" customHeight="1" x14ac:dyDescent="0.3">
      <c r="A307" s="395"/>
      <c r="B307" s="329"/>
      <c r="C307" s="329"/>
      <c r="D307" s="186" t="s">
        <v>1</v>
      </c>
      <c r="E307" s="242"/>
      <c r="F307" s="135">
        <f t="shared" si="95"/>
        <v>2775.9</v>
      </c>
      <c r="G307" s="246">
        <f t="shared" ref="G307:H307" si="100">G311</f>
        <v>2775.9</v>
      </c>
      <c r="H307" s="246">
        <f t="shared" si="100"/>
        <v>0</v>
      </c>
      <c r="I307" s="308">
        <f>I311</f>
        <v>0</v>
      </c>
      <c r="J307" s="308"/>
      <c r="K307" s="308"/>
      <c r="L307" s="308"/>
      <c r="M307" s="308"/>
      <c r="N307" s="246">
        <f t="shared" ref="N307:O307" si="101">N311</f>
        <v>0</v>
      </c>
      <c r="O307" s="246">
        <f t="shared" si="101"/>
        <v>0</v>
      </c>
      <c r="P307" s="300"/>
      <c r="T307" s="45"/>
      <c r="U307" s="45"/>
    </row>
    <row r="308" spans="1:21" s="9" customFormat="1" ht="52.2" x14ac:dyDescent="0.3">
      <c r="A308" s="395"/>
      <c r="B308" s="329"/>
      <c r="C308" s="329"/>
      <c r="D308" s="186" t="s">
        <v>47</v>
      </c>
      <c r="E308" s="130">
        <f>E311</f>
        <v>0</v>
      </c>
      <c r="F308" s="135">
        <f t="shared" si="95"/>
        <v>277.58999999999997</v>
      </c>
      <c r="G308" s="130">
        <f t="shared" ref="G308:H308" si="102">G312</f>
        <v>277.58999999999997</v>
      </c>
      <c r="H308" s="130">
        <f t="shared" si="102"/>
        <v>0</v>
      </c>
      <c r="I308" s="293">
        <f>I312</f>
        <v>0</v>
      </c>
      <c r="J308" s="293"/>
      <c r="K308" s="293"/>
      <c r="L308" s="293"/>
      <c r="M308" s="293"/>
      <c r="N308" s="130">
        <f t="shared" ref="N308:O308" si="103">N312</f>
        <v>0</v>
      </c>
      <c r="O308" s="130">
        <f t="shared" si="103"/>
        <v>0</v>
      </c>
      <c r="P308" s="300"/>
      <c r="T308" s="45"/>
      <c r="U308" s="45"/>
    </row>
    <row r="309" spans="1:21" s="9" customFormat="1" ht="37.5" customHeight="1" x14ac:dyDescent="0.3">
      <c r="A309" s="395"/>
      <c r="B309" s="329"/>
      <c r="C309" s="329"/>
      <c r="D309" s="186" t="s">
        <v>87</v>
      </c>
      <c r="E309" s="130"/>
      <c r="F309" s="135">
        <f t="shared" si="95"/>
        <v>0</v>
      </c>
      <c r="G309" s="130">
        <f t="shared" ref="G309:H309" si="104">G313</f>
        <v>0</v>
      </c>
      <c r="H309" s="130">
        <f t="shared" si="104"/>
        <v>0</v>
      </c>
      <c r="I309" s="293">
        <f>I313</f>
        <v>0</v>
      </c>
      <c r="J309" s="293"/>
      <c r="K309" s="293"/>
      <c r="L309" s="293"/>
      <c r="M309" s="293"/>
      <c r="N309" s="130">
        <f t="shared" ref="N309:O309" si="105">N313</f>
        <v>0</v>
      </c>
      <c r="O309" s="130">
        <f t="shared" si="105"/>
        <v>0</v>
      </c>
      <c r="P309" s="300"/>
      <c r="T309" s="45"/>
      <c r="U309" s="45"/>
    </row>
    <row r="310" spans="1:21" s="9" customFormat="1" ht="37.5" customHeight="1" x14ac:dyDescent="0.3">
      <c r="A310" s="265" t="s">
        <v>57</v>
      </c>
      <c r="B310" s="349" t="s">
        <v>103</v>
      </c>
      <c r="C310" s="318" t="s">
        <v>45</v>
      </c>
      <c r="D310" s="187" t="s">
        <v>40</v>
      </c>
      <c r="E310" s="71"/>
      <c r="F310" s="135">
        <f t="shared" si="95"/>
        <v>0</v>
      </c>
      <c r="G310" s="244">
        <v>0</v>
      </c>
      <c r="H310" s="244">
        <v>0</v>
      </c>
      <c r="I310" s="309">
        <v>0</v>
      </c>
      <c r="J310" s="309"/>
      <c r="K310" s="309"/>
      <c r="L310" s="309"/>
      <c r="M310" s="309"/>
      <c r="N310" s="244">
        <v>0</v>
      </c>
      <c r="O310" s="244">
        <v>0</v>
      </c>
      <c r="P310" s="295" t="s">
        <v>3</v>
      </c>
      <c r="T310" s="45"/>
      <c r="U310" s="45"/>
    </row>
    <row r="311" spans="1:21" s="40" customFormat="1" ht="37.5" customHeight="1" x14ac:dyDescent="0.3">
      <c r="A311" s="266"/>
      <c r="B311" s="349"/>
      <c r="C311" s="318"/>
      <c r="D311" s="183" t="s">
        <v>1</v>
      </c>
      <c r="E311" s="120">
        <v>0</v>
      </c>
      <c r="F311" s="135">
        <f t="shared" si="95"/>
        <v>2775.9</v>
      </c>
      <c r="G311" s="120">
        <v>2775.9</v>
      </c>
      <c r="H311" s="120">
        <v>0</v>
      </c>
      <c r="I311" s="281">
        <v>0</v>
      </c>
      <c r="J311" s="281"/>
      <c r="K311" s="281"/>
      <c r="L311" s="281"/>
      <c r="M311" s="281"/>
      <c r="N311" s="120">
        <v>0</v>
      </c>
      <c r="O311" s="120">
        <v>0</v>
      </c>
      <c r="P311" s="295"/>
    </row>
    <row r="312" spans="1:21" s="40" customFormat="1" ht="56.25" customHeight="1" x14ac:dyDescent="0.3">
      <c r="A312" s="266"/>
      <c r="B312" s="349"/>
      <c r="C312" s="318"/>
      <c r="D312" s="183" t="s">
        <v>47</v>
      </c>
      <c r="E312" s="120">
        <v>0</v>
      </c>
      <c r="F312" s="135">
        <f t="shared" si="95"/>
        <v>277.58999999999997</v>
      </c>
      <c r="G312" s="120">
        <v>277.58999999999997</v>
      </c>
      <c r="H312" s="120">
        <v>0</v>
      </c>
      <c r="I312" s="281">
        <v>0</v>
      </c>
      <c r="J312" s="281"/>
      <c r="K312" s="281"/>
      <c r="L312" s="281"/>
      <c r="M312" s="281"/>
      <c r="N312" s="120">
        <v>0</v>
      </c>
      <c r="O312" s="120">
        <v>0</v>
      </c>
      <c r="P312" s="295"/>
      <c r="Q312" s="41"/>
    </row>
    <row r="313" spans="1:21" s="40" customFormat="1" ht="37.5" customHeight="1" x14ac:dyDescent="0.3">
      <c r="A313" s="266"/>
      <c r="B313" s="349"/>
      <c r="C313" s="318"/>
      <c r="D313" s="183" t="s">
        <v>87</v>
      </c>
      <c r="E313" s="120"/>
      <c r="F313" s="135">
        <f t="shared" si="95"/>
        <v>0</v>
      </c>
      <c r="G313" s="120">
        <v>0</v>
      </c>
      <c r="H313" s="120">
        <v>0</v>
      </c>
      <c r="I313" s="281">
        <v>0</v>
      </c>
      <c r="J313" s="281"/>
      <c r="K313" s="281"/>
      <c r="L313" s="281"/>
      <c r="M313" s="281"/>
      <c r="N313" s="120">
        <v>0</v>
      </c>
      <c r="O313" s="120">
        <v>0</v>
      </c>
      <c r="P313" s="295"/>
      <c r="Q313" s="41"/>
    </row>
    <row r="314" spans="1:21" s="40" customFormat="1" ht="32.4" customHeight="1" x14ac:dyDescent="0.3">
      <c r="A314" s="266"/>
      <c r="B314" s="353" t="s">
        <v>168</v>
      </c>
      <c r="C314" s="288" t="s">
        <v>116</v>
      </c>
      <c r="D314" s="289" t="s">
        <v>116</v>
      </c>
      <c r="E314" s="228"/>
      <c r="F314" s="290" t="s">
        <v>117</v>
      </c>
      <c r="G314" s="227" t="s">
        <v>234</v>
      </c>
      <c r="H314" s="227" t="s">
        <v>235</v>
      </c>
      <c r="I314" s="283" t="s">
        <v>123</v>
      </c>
      <c r="J314" s="284" t="s">
        <v>118</v>
      </c>
      <c r="K314" s="284"/>
      <c r="L314" s="284"/>
      <c r="M314" s="284"/>
      <c r="N314" s="227" t="s">
        <v>124</v>
      </c>
      <c r="O314" s="227" t="s">
        <v>125</v>
      </c>
      <c r="P314" s="295" t="s">
        <v>116</v>
      </c>
      <c r="Q314" s="41"/>
    </row>
    <row r="315" spans="1:21" s="40" customFormat="1" ht="30.6" customHeight="1" x14ac:dyDescent="0.3">
      <c r="A315" s="266"/>
      <c r="B315" s="353"/>
      <c r="C315" s="288"/>
      <c r="D315" s="289"/>
      <c r="E315" s="228"/>
      <c r="F315" s="290"/>
      <c r="G315" s="228"/>
      <c r="H315" s="228"/>
      <c r="I315" s="283"/>
      <c r="J315" s="228" t="s">
        <v>119</v>
      </c>
      <c r="K315" s="228" t="s">
        <v>120</v>
      </c>
      <c r="L315" s="228" t="s">
        <v>121</v>
      </c>
      <c r="M315" s="228" t="s">
        <v>122</v>
      </c>
      <c r="N315" s="228"/>
      <c r="O315" s="228"/>
      <c r="P315" s="295"/>
      <c r="Q315" s="41"/>
    </row>
    <row r="316" spans="1:21" s="40" customFormat="1" ht="51" customHeight="1" x14ac:dyDescent="0.3">
      <c r="A316" s="267"/>
      <c r="B316" s="353"/>
      <c r="C316" s="288"/>
      <c r="D316" s="289"/>
      <c r="E316" s="228"/>
      <c r="F316" s="136">
        <f>H316+G316+I316+N316+O316</f>
        <v>1</v>
      </c>
      <c r="G316" s="121">
        <v>1</v>
      </c>
      <c r="H316" s="121">
        <v>0</v>
      </c>
      <c r="I316" s="121">
        <v>0</v>
      </c>
      <c r="J316" s="121">
        <v>0</v>
      </c>
      <c r="K316" s="121">
        <v>0</v>
      </c>
      <c r="L316" s="121">
        <v>0</v>
      </c>
      <c r="M316" s="121">
        <v>0</v>
      </c>
      <c r="N316" s="121">
        <v>0</v>
      </c>
      <c r="O316" s="121">
        <v>0</v>
      </c>
      <c r="P316" s="295"/>
      <c r="Q316" s="41"/>
    </row>
    <row r="317" spans="1:21" s="9" customFormat="1" ht="18.75" customHeight="1" x14ac:dyDescent="0.3">
      <c r="A317" s="374" t="s">
        <v>10</v>
      </c>
      <c r="B317" s="351" t="s">
        <v>149</v>
      </c>
      <c r="C317" s="351" t="s">
        <v>250</v>
      </c>
      <c r="D317" s="181" t="s">
        <v>2</v>
      </c>
      <c r="E317" s="230" t="e">
        <f>E319+E320+E318</f>
        <v>#REF!</v>
      </c>
      <c r="F317" s="135">
        <f t="shared" ref="F317:F325" si="106">SUM(G317:O317)</f>
        <v>20520.5</v>
      </c>
      <c r="G317" s="230">
        <f t="shared" ref="G317:H317" si="107">G318+G319+G320+G321</f>
        <v>9771.2999999999993</v>
      </c>
      <c r="H317" s="230">
        <f t="shared" si="107"/>
        <v>10749.2</v>
      </c>
      <c r="I317" s="306">
        <f>I318+I319+I320+I321</f>
        <v>0</v>
      </c>
      <c r="J317" s="306"/>
      <c r="K317" s="306"/>
      <c r="L317" s="306"/>
      <c r="M317" s="306"/>
      <c r="N317" s="230">
        <f t="shared" ref="N317:O317" si="108">N318+N319+N320+N321</f>
        <v>0</v>
      </c>
      <c r="O317" s="230">
        <f t="shared" si="108"/>
        <v>0</v>
      </c>
      <c r="P317" s="305"/>
      <c r="Q317" s="107"/>
      <c r="R317" s="107"/>
      <c r="S317" s="107"/>
      <c r="T317" s="45"/>
      <c r="U317" s="45"/>
    </row>
    <row r="318" spans="1:21" s="9" customFormat="1" ht="36.75" customHeight="1" x14ac:dyDescent="0.3">
      <c r="A318" s="374"/>
      <c r="B318" s="351"/>
      <c r="C318" s="351"/>
      <c r="D318" s="181" t="s">
        <v>40</v>
      </c>
      <c r="E318" s="225">
        <f>E432</f>
        <v>0</v>
      </c>
      <c r="F318" s="135">
        <f t="shared" si="106"/>
        <v>15390.374980000001</v>
      </c>
      <c r="G318" s="225">
        <f t="shared" ref="G318:H318" si="109">G322</f>
        <v>7328.47498</v>
      </c>
      <c r="H318" s="225">
        <f t="shared" si="109"/>
        <v>8061.9</v>
      </c>
      <c r="I318" s="301">
        <f>I322</f>
        <v>0</v>
      </c>
      <c r="J318" s="301"/>
      <c r="K318" s="301"/>
      <c r="L318" s="301"/>
      <c r="M318" s="301"/>
      <c r="N318" s="225">
        <f t="shared" ref="N318:O321" si="110">N322</f>
        <v>0</v>
      </c>
      <c r="O318" s="225">
        <f t="shared" si="110"/>
        <v>0</v>
      </c>
      <c r="P318" s="305"/>
      <c r="Q318" s="107"/>
      <c r="R318" s="107"/>
      <c r="S318" s="107"/>
      <c r="T318" s="45"/>
      <c r="U318" s="45"/>
    </row>
    <row r="319" spans="1:21" s="9" customFormat="1" ht="39.75" customHeight="1" x14ac:dyDescent="0.3">
      <c r="A319" s="374"/>
      <c r="B319" s="351"/>
      <c r="C319" s="351"/>
      <c r="D319" s="181" t="s">
        <v>1</v>
      </c>
      <c r="E319" s="225" t="e">
        <f>#REF!+E322+E323+#REF!+#REF!+#REF!+E433+E438</f>
        <v>#REF!</v>
      </c>
      <c r="F319" s="135">
        <f t="shared" si="106"/>
        <v>5130.1250200000004</v>
      </c>
      <c r="G319" s="225">
        <f t="shared" ref="G319:H319" si="111">G323</f>
        <v>2442.8250200000002</v>
      </c>
      <c r="H319" s="225">
        <f t="shared" si="111"/>
        <v>2687.3</v>
      </c>
      <c r="I319" s="301">
        <f>I323</f>
        <v>0</v>
      </c>
      <c r="J319" s="301"/>
      <c r="K319" s="301"/>
      <c r="L319" s="301"/>
      <c r="M319" s="301"/>
      <c r="N319" s="225">
        <f t="shared" si="110"/>
        <v>0</v>
      </c>
      <c r="O319" s="225">
        <f t="shared" si="110"/>
        <v>0</v>
      </c>
      <c r="P319" s="305"/>
      <c r="Q319" s="107"/>
      <c r="R319" s="107"/>
      <c r="S319" s="107"/>
      <c r="T319" s="45"/>
      <c r="U319" s="45"/>
    </row>
    <row r="320" spans="1:21" s="9" customFormat="1" ht="52.2" x14ac:dyDescent="0.3">
      <c r="A320" s="374"/>
      <c r="B320" s="351"/>
      <c r="C320" s="351"/>
      <c r="D320" s="181" t="s">
        <v>48</v>
      </c>
      <c r="E320" s="225" t="e">
        <f>#REF!+E417+#REF!+#REF!+#REF!+E434+E440</f>
        <v>#REF!</v>
      </c>
      <c r="F320" s="135">
        <f t="shared" si="106"/>
        <v>0</v>
      </c>
      <c r="G320" s="225">
        <f t="shared" ref="G320:H320" si="112">G324</f>
        <v>0</v>
      </c>
      <c r="H320" s="225">
        <f t="shared" si="112"/>
        <v>0</v>
      </c>
      <c r="I320" s="301">
        <f>I324</f>
        <v>0</v>
      </c>
      <c r="J320" s="301"/>
      <c r="K320" s="301"/>
      <c r="L320" s="301"/>
      <c r="M320" s="301"/>
      <c r="N320" s="225">
        <f t="shared" si="110"/>
        <v>0</v>
      </c>
      <c r="O320" s="225">
        <f t="shared" si="110"/>
        <v>0</v>
      </c>
      <c r="P320" s="305"/>
      <c r="Q320" s="107"/>
      <c r="R320" s="107"/>
      <c r="S320" s="107"/>
      <c r="T320" s="45"/>
      <c r="U320" s="45"/>
    </row>
    <row r="321" spans="1:21" s="9" customFormat="1" ht="34.799999999999997" x14ac:dyDescent="0.3">
      <c r="A321" s="374"/>
      <c r="B321" s="351"/>
      <c r="C321" s="351"/>
      <c r="D321" s="181" t="s">
        <v>87</v>
      </c>
      <c r="E321" s="225"/>
      <c r="F321" s="135">
        <f t="shared" si="106"/>
        <v>0</v>
      </c>
      <c r="G321" s="225">
        <f t="shared" ref="G321:H321" si="113">G325</f>
        <v>0</v>
      </c>
      <c r="H321" s="225">
        <f t="shared" si="113"/>
        <v>0</v>
      </c>
      <c r="I321" s="301">
        <f>I325</f>
        <v>0</v>
      </c>
      <c r="J321" s="301"/>
      <c r="K321" s="301"/>
      <c r="L321" s="301"/>
      <c r="M321" s="301"/>
      <c r="N321" s="225">
        <f t="shared" si="110"/>
        <v>0</v>
      </c>
      <c r="O321" s="225">
        <f t="shared" si="110"/>
        <v>0</v>
      </c>
      <c r="P321" s="305"/>
      <c r="Q321" s="107"/>
      <c r="R321" s="107"/>
      <c r="S321" s="107"/>
      <c r="T321" s="45"/>
      <c r="U321" s="45"/>
    </row>
    <row r="322" spans="1:21" s="40" customFormat="1" ht="68.400000000000006" customHeight="1" x14ac:dyDescent="0.3">
      <c r="A322" s="354" t="s">
        <v>58</v>
      </c>
      <c r="B322" s="386" t="s">
        <v>148</v>
      </c>
      <c r="C322" s="350" t="s">
        <v>250</v>
      </c>
      <c r="D322" s="185" t="s">
        <v>40</v>
      </c>
      <c r="E322" s="231">
        <v>200475</v>
      </c>
      <c r="F322" s="135">
        <f t="shared" si="106"/>
        <v>15390.374980000001</v>
      </c>
      <c r="G322" s="231">
        <v>7328.47498</v>
      </c>
      <c r="H322" s="231">
        <v>8061.9</v>
      </c>
      <c r="I322" s="285">
        <v>0</v>
      </c>
      <c r="J322" s="285"/>
      <c r="K322" s="285"/>
      <c r="L322" s="285"/>
      <c r="M322" s="285"/>
      <c r="N322" s="231">
        <v>0</v>
      </c>
      <c r="O322" s="231">
        <v>0</v>
      </c>
      <c r="P322" s="303" t="s">
        <v>3</v>
      </c>
      <c r="Q322" s="106"/>
      <c r="R322" s="106"/>
      <c r="S322" s="106"/>
    </row>
    <row r="323" spans="1:21" s="40" customFormat="1" ht="70.2" customHeight="1" x14ac:dyDescent="0.3">
      <c r="A323" s="354"/>
      <c r="B323" s="386"/>
      <c r="C323" s="350"/>
      <c r="D323" s="185" t="s">
        <v>1</v>
      </c>
      <c r="E323" s="231">
        <v>93</v>
      </c>
      <c r="F323" s="135">
        <f t="shared" si="106"/>
        <v>5130.1250200000004</v>
      </c>
      <c r="G323" s="231">
        <v>2442.8250200000002</v>
      </c>
      <c r="H323" s="231">
        <v>2687.3</v>
      </c>
      <c r="I323" s="285">
        <v>0</v>
      </c>
      <c r="J323" s="285"/>
      <c r="K323" s="285"/>
      <c r="L323" s="285"/>
      <c r="M323" s="285"/>
      <c r="N323" s="231">
        <v>0</v>
      </c>
      <c r="O323" s="231">
        <v>0</v>
      </c>
      <c r="P323" s="303"/>
      <c r="Q323" s="106"/>
      <c r="R323" s="106"/>
      <c r="S323" s="106"/>
    </row>
    <row r="324" spans="1:21" s="40" customFormat="1" ht="78" customHeight="1" x14ac:dyDescent="0.3">
      <c r="A324" s="354"/>
      <c r="B324" s="386"/>
      <c r="C324" s="350"/>
      <c r="D324" s="185" t="s">
        <v>47</v>
      </c>
      <c r="E324" s="231"/>
      <c r="F324" s="135">
        <f t="shared" si="106"/>
        <v>0</v>
      </c>
      <c r="G324" s="231">
        <v>0</v>
      </c>
      <c r="H324" s="231">
        <v>0</v>
      </c>
      <c r="I324" s="285">
        <v>0</v>
      </c>
      <c r="J324" s="285"/>
      <c r="K324" s="285"/>
      <c r="L324" s="285"/>
      <c r="M324" s="285"/>
      <c r="N324" s="231">
        <v>0</v>
      </c>
      <c r="O324" s="231">
        <v>0</v>
      </c>
      <c r="P324" s="303"/>
      <c r="Q324" s="106"/>
      <c r="R324" s="106"/>
      <c r="S324" s="106"/>
    </row>
    <row r="325" spans="1:21" s="40" customFormat="1" ht="63.75" customHeight="1" x14ac:dyDescent="0.3">
      <c r="A325" s="354"/>
      <c r="B325" s="386"/>
      <c r="C325" s="350"/>
      <c r="D325" s="185" t="s">
        <v>87</v>
      </c>
      <c r="E325" s="231"/>
      <c r="F325" s="135">
        <f t="shared" si="106"/>
        <v>0</v>
      </c>
      <c r="G325" s="231">
        <v>0</v>
      </c>
      <c r="H325" s="231">
        <v>0</v>
      </c>
      <c r="I325" s="285">
        <v>0</v>
      </c>
      <c r="J325" s="285"/>
      <c r="K325" s="285"/>
      <c r="L325" s="285"/>
      <c r="M325" s="285"/>
      <c r="N325" s="231">
        <v>0</v>
      </c>
      <c r="O325" s="231">
        <v>0</v>
      </c>
      <c r="P325" s="303"/>
      <c r="Q325" s="106"/>
      <c r="R325" s="106"/>
      <c r="S325" s="106"/>
    </row>
    <row r="326" spans="1:21" s="40" customFormat="1" ht="31.5" customHeight="1" x14ac:dyDescent="0.3">
      <c r="A326" s="354"/>
      <c r="B326" s="286" t="s">
        <v>209</v>
      </c>
      <c r="C326" s="288" t="s">
        <v>116</v>
      </c>
      <c r="D326" s="289" t="s">
        <v>116</v>
      </c>
      <c r="E326" s="228"/>
      <c r="F326" s="290" t="s">
        <v>117</v>
      </c>
      <c r="G326" s="227" t="s">
        <v>234</v>
      </c>
      <c r="H326" s="227" t="s">
        <v>235</v>
      </c>
      <c r="I326" s="283" t="s">
        <v>123</v>
      </c>
      <c r="J326" s="284" t="s">
        <v>118</v>
      </c>
      <c r="K326" s="284"/>
      <c r="L326" s="284"/>
      <c r="M326" s="284"/>
      <c r="N326" s="227" t="s">
        <v>124</v>
      </c>
      <c r="O326" s="227" t="s">
        <v>125</v>
      </c>
      <c r="P326" s="295" t="s">
        <v>116</v>
      </c>
      <c r="Q326" s="41"/>
    </row>
    <row r="327" spans="1:21" s="40" customFormat="1" ht="29.25" customHeight="1" x14ac:dyDescent="0.3">
      <c r="A327" s="354"/>
      <c r="B327" s="286"/>
      <c r="C327" s="288"/>
      <c r="D327" s="289"/>
      <c r="E327" s="228"/>
      <c r="F327" s="290"/>
      <c r="G327" s="228"/>
      <c r="H327" s="228"/>
      <c r="I327" s="283"/>
      <c r="J327" s="228" t="s">
        <v>119</v>
      </c>
      <c r="K327" s="228" t="s">
        <v>120</v>
      </c>
      <c r="L327" s="228" t="s">
        <v>121</v>
      </c>
      <c r="M327" s="228" t="s">
        <v>122</v>
      </c>
      <c r="N327" s="228"/>
      <c r="O327" s="228"/>
      <c r="P327" s="295"/>
      <c r="Q327" s="41"/>
    </row>
    <row r="328" spans="1:21" s="40" customFormat="1" ht="28.5" customHeight="1" x14ac:dyDescent="0.3">
      <c r="A328" s="354"/>
      <c r="B328" s="286"/>
      <c r="C328" s="288"/>
      <c r="D328" s="289"/>
      <c r="E328" s="228"/>
      <c r="F328" s="136">
        <v>23</v>
      </c>
      <c r="G328" s="121">
        <v>23</v>
      </c>
      <c r="H328" s="121">
        <v>23</v>
      </c>
      <c r="I328" s="121">
        <v>0</v>
      </c>
      <c r="J328" s="121">
        <v>0</v>
      </c>
      <c r="K328" s="121">
        <v>0</v>
      </c>
      <c r="L328" s="121">
        <v>0</v>
      </c>
      <c r="M328" s="121">
        <v>0</v>
      </c>
      <c r="N328" s="121">
        <v>0</v>
      </c>
      <c r="O328" s="121">
        <v>0</v>
      </c>
      <c r="P328" s="295"/>
      <c r="Q328" s="41"/>
    </row>
    <row r="329" spans="1:21" s="9" customFormat="1" ht="18.75" customHeight="1" x14ac:dyDescent="0.3">
      <c r="A329" s="374" t="s">
        <v>36</v>
      </c>
      <c r="B329" s="351" t="s">
        <v>231</v>
      </c>
      <c r="C329" s="351" t="s">
        <v>250</v>
      </c>
      <c r="D329" s="181" t="s">
        <v>2</v>
      </c>
      <c r="E329" s="230" t="e">
        <f>E330+E331+E332</f>
        <v>#REF!</v>
      </c>
      <c r="F329" s="135">
        <f t="shared" ref="F329:F336" si="114">SUM(G329:O329)</f>
        <v>31080.206989999999</v>
      </c>
      <c r="G329" s="230">
        <f>G330+G331+G332+G333</f>
        <v>15328.57841</v>
      </c>
      <c r="H329" s="230">
        <f>H330+H331+H332+H333</f>
        <v>15751.628580000001</v>
      </c>
      <c r="I329" s="306">
        <f>I330+I331+I332+I333</f>
        <v>0</v>
      </c>
      <c r="J329" s="306"/>
      <c r="K329" s="306"/>
      <c r="L329" s="306"/>
      <c r="M329" s="306"/>
      <c r="N329" s="230">
        <f t="shared" ref="N329:O329" si="115">N330+N331+N332+N333</f>
        <v>0</v>
      </c>
      <c r="O329" s="230">
        <f t="shared" si="115"/>
        <v>0</v>
      </c>
      <c r="P329" s="305"/>
      <c r="T329" s="45"/>
      <c r="U329" s="45"/>
    </row>
    <row r="330" spans="1:21" s="9" customFormat="1" ht="37.5" customHeight="1" x14ac:dyDescent="0.3">
      <c r="A330" s="374"/>
      <c r="B330" s="351"/>
      <c r="C330" s="351"/>
      <c r="D330" s="181" t="s">
        <v>40</v>
      </c>
      <c r="E330" s="225" t="e">
        <f>#REF!+E348</f>
        <v>#REF!</v>
      </c>
      <c r="F330" s="135">
        <f t="shared" si="114"/>
        <v>18351.37095</v>
      </c>
      <c r="G330" s="225">
        <f>G334+G341+G348</f>
        <v>7557.4963900000002</v>
      </c>
      <c r="H330" s="225">
        <f>H334+H341+H348</f>
        <v>10793.87456</v>
      </c>
      <c r="I330" s="301">
        <f>I334+I341+I348</f>
        <v>0</v>
      </c>
      <c r="J330" s="301"/>
      <c r="K330" s="301"/>
      <c r="L330" s="301"/>
      <c r="M330" s="301"/>
      <c r="N330" s="225">
        <f>N334+N341+N348</f>
        <v>0</v>
      </c>
      <c r="O330" s="225">
        <f>O334+O341+O348</f>
        <v>0</v>
      </c>
      <c r="P330" s="305"/>
      <c r="T330" s="45"/>
      <c r="U330" s="45"/>
    </row>
    <row r="331" spans="1:21" s="9" customFormat="1" ht="39.75" customHeight="1" x14ac:dyDescent="0.3">
      <c r="A331" s="374"/>
      <c r="B331" s="351"/>
      <c r="C331" s="351"/>
      <c r="D331" s="181" t="s">
        <v>1</v>
      </c>
      <c r="E331" s="225" t="e">
        <f>#REF!+E349+E342+#REF!+#REF!</f>
        <v>#REF!</v>
      </c>
      <c r="F331" s="135">
        <f t="shared" si="114"/>
        <v>6117.1236699999999</v>
      </c>
      <c r="G331" s="225">
        <f>G335+G342+G349</f>
        <v>2519.1654699999999</v>
      </c>
      <c r="H331" s="225">
        <f>H335+H342+H349</f>
        <v>3597.9582</v>
      </c>
      <c r="I331" s="301">
        <f t="shared" ref="I331:I333" si="116">I335+I342+I349</f>
        <v>0</v>
      </c>
      <c r="J331" s="301"/>
      <c r="K331" s="301"/>
      <c r="L331" s="301"/>
      <c r="M331" s="301"/>
      <c r="N331" s="225">
        <f t="shared" ref="N331:O331" si="117">N335+N342+N349</f>
        <v>0</v>
      </c>
      <c r="O331" s="225">
        <f t="shared" si="117"/>
        <v>0</v>
      </c>
      <c r="P331" s="305"/>
      <c r="T331" s="45"/>
      <c r="U331" s="45"/>
    </row>
    <row r="332" spans="1:21" s="9" customFormat="1" ht="58.5" customHeight="1" x14ac:dyDescent="0.3">
      <c r="A332" s="374"/>
      <c r="B332" s="351"/>
      <c r="C332" s="351"/>
      <c r="D332" s="181" t="s">
        <v>48</v>
      </c>
      <c r="E332" s="225" t="e">
        <f>#REF!+E350+E343+#REF!+#REF!+#REF!</f>
        <v>#REF!</v>
      </c>
      <c r="F332" s="135">
        <f t="shared" si="114"/>
        <v>6611.7123699999993</v>
      </c>
      <c r="G332" s="225">
        <f t="shared" ref="G332:H332" si="118">G336+G343+G350</f>
        <v>5251.9165499999999</v>
      </c>
      <c r="H332" s="225">
        <f t="shared" si="118"/>
        <v>1359.7958199999998</v>
      </c>
      <c r="I332" s="301">
        <f t="shared" si="116"/>
        <v>0</v>
      </c>
      <c r="J332" s="301"/>
      <c r="K332" s="301"/>
      <c r="L332" s="301"/>
      <c r="M332" s="301"/>
      <c r="N332" s="225">
        <f t="shared" ref="N332:O332" si="119">N336+N343+N350</f>
        <v>0</v>
      </c>
      <c r="O332" s="225">
        <f t="shared" si="119"/>
        <v>0</v>
      </c>
      <c r="P332" s="305"/>
      <c r="T332" s="45"/>
      <c r="U332" s="45"/>
    </row>
    <row r="333" spans="1:21" s="9" customFormat="1" ht="34.799999999999997" x14ac:dyDescent="0.3">
      <c r="A333" s="374"/>
      <c r="B333" s="351"/>
      <c r="C333" s="351"/>
      <c r="D333" s="181" t="s">
        <v>87</v>
      </c>
      <c r="E333" s="225"/>
      <c r="F333" s="135">
        <f t="shared" si="114"/>
        <v>0</v>
      </c>
      <c r="G333" s="225">
        <f t="shared" ref="G333:H333" si="120">G337+G344+G351</f>
        <v>0</v>
      </c>
      <c r="H333" s="225">
        <f t="shared" si="120"/>
        <v>0</v>
      </c>
      <c r="I333" s="301">
        <f t="shared" si="116"/>
        <v>0</v>
      </c>
      <c r="J333" s="301"/>
      <c r="K333" s="301"/>
      <c r="L333" s="301"/>
      <c r="M333" s="301"/>
      <c r="N333" s="225">
        <f t="shared" ref="N333:O333" si="121">N337+N344+N351</f>
        <v>0</v>
      </c>
      <c r="O333" s="225">
        <f t="shared" si="121"/>
        <v>0</v>
      </c>
      <c r="P333" s="305"/>
      <c r="T333" s="45"/>
      <c r="U333" s="45"/>
    </row>
    <row r="334" spans="1:21" s="40" customFormat="1" ht="49.8" customHeight="1" x14ac:dyDescent="0.3">
      <c r="A334" s="399" t="s">
        <v>54</v>
      </c>
      <c r="B334" s="352" t="s">
        <v>142</v>
      </c>
      <c r="C334" s="350" t="s">
        <v>250</v>
      </c>
      <c r="D334" s="184" t="s">
        <v>40</v>
      </c>
      <c r="E334" s="231">
        <v>2407.6675399999999</v>
      </c>
      <c r="F334" s="135">
        <f t="shared" si="114"/>
        <v>8995.4685600000012</v>
      </c>
      <c r="G334" s="231">
        <v>7557.4963900000002</v>
      </c>
      <c r="H334" s="231">
        <v>1437.97217</v>
      </c>
      <c r="I334" s="285">
        <v>0</v>
      </c>
      <c r="J334" s="285"/>
      <c r="K334" s="285"/>
      <c r="L334" s="285"/>
      <c r="M334" s="285"/>
      <c r="N334" s="231">
        <v>0</v>
      </c>
      <c r="O334" s="231">
        <v>0</v>
      </c>
      <c r="P334" s="303" t="s">
        <v>3</v>
      </c>
    </row>
    <row r="335" spans="1:21" s="40" customFormat="1" ht="34.799999999999997" x14ac:dyDescent="0.3">
      <c r="A335" s="400"/>
      <c r="B335" s="352"/>
      <c r="C335" s="350"/>
      <c r="D335" s="184" t="s">
        <v>1</v>
      </c>
      <c r="E335" s="231">
        <v>802.55584999999996</v>
      </c>
      <c r="F335" s="135">
        <f t="shared" si="114"/>
        <v>2998.4895299999998</v>
      </c>
      <c r="G335" s="231">
        <v>2519.1654699999999</v>
      </c>
      <c r="H335" s="231">
        <v>479.32405999999997</v>
      </c>
      <c r="I335" s="285">
        <v>0</v>
      </c>
      <c r="J335" s="285"/>
      <c r="K335" s="285"/>
      <c r="L335" s="285"/>
      <c r="M335" s="285"/>
      <c r="N335" s="231">
        <v>0</v>
      </c>
      <c r="O335" s="231">
        <v>0</v>
      </c>
      <c r="P335" s="303"/>
    </row>
    <row r="336" spans="1:21" s="40" customFormat="1" ht="52.2" x14ac:dyDescent="0.3">
      <c r="A336" s="400"/>
      <c r="B336" s="352"/>
      <c r="C336" s="350"/>
      <c r="D336" s="184" t="s">
        <v>49</v>
      </c>
      <c r="E336" s="231">
        <v>80.255589999999998</v>
      </c>
      <c r="F336" s="135">
        <f t="shared" si="114"/>
        <v>299.84895</v>
      </c>
      <c r="G336" s="231">
        <v>251.91655</v>
      </c>
      <c r="H336" s="231">
        <v>47.932400000000001</v>
      </c>
      <c r="I336" s="285">
        <v>0</v>
      </c>
      <c r="J336" s="285"/>
      <c r="K336" s="285"/>
      <c r="L336" s="285"/>
      <c r="M336" s="285"/>
      <c r="N336" s="231">
        <v>0</v>
      </c>
      <c r="O336" s="231">
        <v>0</v>
      </c>
      <c r="P336" s="303"/>
    </row>
    <row r="337" spans="1:17" s="40" customFormat="1" ht="34.799999999999997" x14ac:dyDescent="0.3">
      <c r="A337" s="400"/>
      <c r="B337" s="352"/>
      <c r="C337" s="350"/>
      <c r="D337" s="184" t="s">
        <v>87</v>
      </c>
      <c r="E337" s="231"/>
      <c r="F337" s="135">
        <f t="shared" ref="F337" si="122">SUM(H337:O337)</f>
        <v>0</v>
      </c>
      <c r="G337" s="231">
        <v>0</v>
      </c>
      <c r="H337" s="231">
        <v>0</v>
      </c>
      <c r="I337" s="285">
        <v>0</v>
      </c>
      <c r="J337" s="285"/>
      <c r="K337" s="285"/>
      <c r="L337" s="285"/>
      <c r="M337" s="285"/>
      <c r="N337" s="231">
        <v>0</v>
      </c>
      <c r="O337" s="231">
        <v>0</v>
      </c>
      <c r="P337" s="303"/>
    </row>
    <row r="338" spans="1:17" s="40" customFormat="1" ht="32.25" customHeight="1" x14ac:dyDescent="0.3">
      <c r="A338" s="400"/>
      <c r="B338" s="286" t="s">
        <v>169</v>
      </c>
      <c r="C338" s="288" t="s">
        <v>116</v>
      </c>
      <c r="D338" s="289" t="s">
        <v>116</v>
      </c>
      <c r="E338" s="228"/>
      <c r="F338" s="290" t="s">
        <v>117</v>
      </c>
      <c r="G338" s="227" t="s">
        <v>234</v>
      </c>
      <c r="H338" s="227" t="s">
        <v>235</v>
      </c>
      <c r="I338" s="283" t="s">
        <v>123</v>
      </c>
      <c r="J338" s="284" t="s">
        <v>118</v>
      </c>
      <c r="K338" s="284"/>
      <c r="L338" s="284"/>
      <c r="M338" s="284"/>
      <c r="N338" s="227" t="s">
        <v>124</v>
      </c>
      <c r="O338" s="227" t="s">
        <v>125</v>
      </c>
      <c r="P338" s="295" t="s">
        <v>116</v>
      </c>
      <c r="Q338" s="41"/>
    </row>
    <row r="339" spans="1:17" s="40" customFormat="1" ht="27" customHeight="1" x14ac:dyDescent="0.3">
      <c r="A339" s="400"/>
      <c r="B339" s="286"/>
      <c r="C339" s="288"/>
      <c r="D339" s="289"/>
      <c r="E339" s="228"/>
      <c r="F339" s="290"/>
      <c r="G339" s="228"/>
      <c r="H339" s="228"/>
      <c r="I339" s="283"/>
      <c r="J339" s="228" t="s">
        <v>119</v>
      </c>
      <c r="K339" s="228" t="s">
        <v>120</v>
      </c>
      <c r="L339" s="228" t="s">
        <v>121</v>
      </c>
      <c r="M339" s="228" t="s">
        <v>122</v>
      </c>
      <c r="N339" s="228"/>
      <c r="O339" s="228"/>
      <c r="P339" s="295"/>
      <c r="Q339" s="41"/>
    </row>
    <row r="340" spans="1:17" s="40" customFormat="1" ht="23.25" customHeight="1" x14ac:dyDescent="0.3">
      <c r="A340" s="401"/>
      <c r="B340" s="286"/>
      <c r="C340" s="288"/>
      <c r="D340" s="289"/>
      <c r="E340" s="228"/>
      <c r="F340" s="136">
        <f>I340+H340+G340+N340+O340</f>
        <v>8</v>
      </c>
      <c r="G340" s="121">
        <v>5</v>
      </c>
      <c r="H340" s="121">
        <v>3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>
        <v>0</v>
      </c>
      <c r="P340" s="295"/>
      <c r="Q340" s="41"/>
    </row>
    <row r="341" spans="1:17" s="40" customFormat="1" ht="44.25" customHeight="1" x14ac:dyDescent="0.3">
      <c r="A341" s="354" t="s">
        <v>273</v>
      </c>
      <c r="B341" s="352" t="s">
        <v>104</v>
      </c>
      <c r="C341" s="350" t="s">
        <v>250</v>
      </c>
      <c r="D341" s="184" t="s">
        <v>40</v>
      </c>
      <c r="E341" s="231"/>
      <c r="F341" s="135">
        <f t="shared" ref="F341:F344" si="123">SUM(G341:O341)</f>
        <v>0</v>
      </c>
      <c r="G341" s="231">
        <v>0</v>
      </c>
      <c r="H341" s="231">
        <v>0</v>
      </c>
      <c r="I341" s="285">
        <v>0</v>
      </c>
      <c r="J341" s="285"/>
      <c r="K341" s="285"/>
      <c r="L341" s="285"/>
      <c r="M341" s="285"/>
      <c r="N341" s="231">
        <v>0</v>
      </c>
      <c r="O341" s="231">
        <v>0</v>
      </c>
      <c r="P341" s="307" t="s">
        <v>3</v>
      </c>
    </row>
    <row r="342" spans="1:17" s="40" customFormat="1" ht="34.799999999999997" x14ac:dyDescent="0.3">
      <c r="A342" s="354"/>
      <c r="B342" s="352"/>
      <c r="C342" s="350"/>
      <c r="D342" s="184" t="s">
        <v>1</v>
      </c>
      <c r="E342" s="235">
        <v>497</v>
      </c>
      <c r="F342" s="135">
        <f t="shared" si="123"/>
        <v>0</v>
      </c>
      <c r="G342" s="235">
        <v>0</v>
      </c>
      <c r="H342" s="235">
        <v>0</v>
      </c>
      <c r="I342" s="294">
        <v>0</v>
      </c>
      <c r="J342" s="294"/>
      <c r="K342" s="294"/>
      <c r="L342" s="294"/>
      <c r="M342" s="294"/>
      <c r="N342" s="235">
        <v>0</v>
      </c>
      <c r="O342" s="235">
        <v>0</v>
      </c>
      <c r="P342" s="307"/>
    </row>
    <row r="343" spans="1:17" s="40" customFormat="1" ht="58.5" customHeight="1" x14ac:dyDescent="0.3">
      <c r="A343" s="354"/>
      <c r="B343" s="352"/>
      <c r="C343" s="350"/>
      <c r="D343" s="184" t="s">
        <v>49</v>
      </c>
      <c r="E343" s="235">
        <v>1488.3896299999999</v>
      </c>
      <c r="F343" s="135">
        <f t="shared" si="123"/>
        <v>6000</v>
      </c>
      <c r="G343" s="235">
        <v>5000</v>
      </c>
      <c r="H343" s="235">
        <v>1000</v>
      </c>
      <c r="I343" s="294">
        <v>0</v>
      </c>
      <c r="J343" s="294"/>
      <c r="K343" s="294"/>
      <c r="L343" s="294"/>
      <c r="M343" s="294"/>
      <c r="N343" s="235">
        <v>0</v>
      </c>
      <c r="O343" s="235">
        <v>0</v>
      </c>
      <c r="P343" s="307"/>
    </row>
    <row r="344" spans="1:17" s="40" customFormat="1" ht="34.5" customHeight="1" x14ac:dyDescent="0.3">
      <c r="A344" s="354"/>
      <c r="B344" s="352"/>
      <c r="C344" s="350"/>
      <c r="D344" s="184" t="s">
        <v>87</v>
      </c>
      <c r="E344" s="235"/>
      <c r="F344" s="135">
        <f t="shared" si="123"/>
        <v>0</v>
      </c>
      <c r="G344" s="235">
        <v>0</v>
      </c>
      <c r="H344" s="235">
        <v>0</v>
      </c>
      <c r="I344" s="294">
        <v>0</v>
      </c>
      <c r="J344" s="294"/>
      <c r="K344" s="294"/>
      <c r="L344" s="294"/>
      <c r="M344" s="294"/>
      <c r="N344" s="235">
        <v>0</v>
      </c>
      <c r="O344" s="235">
        <v>0</v>
      </c>
      <c r="P344" s="307"/>
    </row>
    <row r="345" spans="1:17" s="40" customFormat="1" ht="32.4" customHeight="1" x14ac:dyDescent="0.3">
      <c r="A345" s="354"/>
      <c r="B345" s="286" t="s">
        <v>170</v>
      </c>
      <c r="C345" s="288" t="s">
        <v>116</v>
      </c>
      <c r="D345" s="289" t="s">
        <v>116</v>
      </c>
      <c r="E345" s="228"/>
      <c r="F345" s="290" t="s">
        <v>117</v>
      </c>
      <c r="G345" s="227" t="s">
        <v>234</v>
      </c>
      <c r="H345" s="227" t="s">
        <v>235</v>
      </c>
      <c r="I345" s="283" t="s">
        <v>123</v>
      </c>
      <c r="J345" s="284" t="s">
        <v>118</v>
      </c>
      <c r="K345" s="284"/>
      <c r="L345" s="284"/>
      <c r="M345" s="284"/>
      <c r="N345" s="227" t="s">
        <v>124</v>
      </c>
      <c r="O345" s="227" t="s">
        <v>125</v>
      </c>
      <c r="P345" s="295" t="s">
        <v>116</v>
      </c>
      <c r="Q345" s="41"/>
    </row>
    <row r="346" spans="1:17" s="40" customFormat="1" ht="34.5" customHeight="1" x14ac:dyDescent="0.3">
      <c r="A346" s="354"/>
      <c r="B346" s="286"/>
      <c r="C346" s="288"/>
      <c r="D346" s="289"/>
      <c r="E346" s="228"/>
      <c r="F346" s="290"/>
      <c r="G346" s="228"/>
      <c r="H346" s="228"/>
      <c r="I346" s="283"/>
      <c r="J346" s="228" t="s">
        <v>119</v>
      </c>
      <c r="K346" s="228" t="s">
        <v>120</v>
      </c>
      <c r="L346" s="228" t="s">
        <v>121</v>
      </c>
      <c r="M346" s="228" t="s">
        <v>122</v>
      </c>
      <c r="N346" s="228"/>
      <c r="O346" s="228"/>
      <c r="P346" s="295"/>
      <c r="Q346" s="41"/>
    </row>
    <row r="347" spans="1:17" s="40" customFormat="1" ht="22.5" customHeight="1" x14ac:dyDescent="0.3">
      <c r="A347" s="354"/>
      <c r="B347" s="286"/>
      <c r="C347" s="288"/>
      <c r="D347" s="289"/>
      <c r="E347" s="228"/>
      <c r="F347" s="136">
        <f>I347+H347+G347+N347+O347</f>
        <v>8</v>
      </c>
      <c r="G347" s="121">
        <v>5</v>
      </c>
      <c r="H347" s="121">
        <v>3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>
        <v>0</v>
      </c>
      <c r="P347" s="295"/>
      <c r="Q347" s="41"/>
    </row>
    <row r="348" spans="1:17" s="40" customFormat="1" ht="34.799999999999997" x14ac:dyDescent="0.3">
      <c r="A348" s="354" t="s">
        <v>274</v>
      </c>
      <c r="B348" s="352" t="s">
        <v>137</v>
      </c>
      <c r="C348" s="350" t="s">
        <v>46</v>
      </c>
      <c r="D348" s="184" t="s">
        <v>40</v>
      </c>
      <c r="E348" s="231">
        <v>3107.4</v>
      </c>
      <c r="F348" s="135">
        <f t="shared" ref="F348:F351" si="124">SUM(G348:O348)</f>
        <v>9355.9023899999993</v>
      </c>
      <c r="G348" s="231">
        <v>0</v>
      </c>
      <c r="H348" s="231">
        <v>9355.9023899999993</v>
      </c>
      <c r="I348" s="285">
        <v>0</v>
      </c>
      <c r="J348" s="285"/>
      <c r="K348" s="285"/>
      <c r="L348" s="285"/>
      <c r="M348" s="285"/>
      <c r="N348" s="231">
        <v>0</v>
      </c>
      <c r="O348" s="231">
        <v>0</v>
      </c>
      <c r="P348" s="303" t="s">
        <v>3</v>
      </c>
    </row>
    <row r="349" spans="1:17" s="40" customFormat="1" ht="34.799999999999997" x14ac:dyDescent="0.3">
      <c r="A349" s="354"/>
      <c r="B349" s="352"/>
      <c r="C349" s="350"/>
      <c r="D349" s="184" t="s">
        <v>1</v>
      </c>
      <c r="E349" s="231">
        <v>1035.8</v>
      </c>
      <c r="F349" s="135">
        <f t="shared" si="124"/>
        <v>3118.6341400000001</v>
      </c>
      <c r="G349" s="231">
        <v>0</v>
      </c>
      <c r="H349" s="231">
        <v>3118.6341400000001</v>
      </c>
      <c r="I349" s="285">
        <v>0</v>
      </c>
      <c r="J349" s="285"/>
      <c r="K349" s="285"/>
      <c r="L349" s="285"/>
      <c r="M349" s="285"/>
      <c r="N349" s="231">
        <v>0</v>
      </c>
      <c r="O349" s="231">
        <v>0</v>
      </c>
      <c r="P349" s="303"/>
    </row>
    <row r="350" spans="1:17" s="40" customFormat="1" ht="52.2" x14ac:dyDescent="0.3">
      <c r="A350" s="354"/>
      <c r="B350" s="352"/>
      <c r="C350" s="350"/>
      <c r="D350" s="184" t="s">
        <v>49</v>
      </c>
      <c r="E350" s="231">
        <v>103.58</v>
      </c>
      <c r="F350" s="135">
        <f t="shared" si="124"/>
        <v>311.86342000000002</v>
      </c>
      <c r="G350" s="231">
        <v>0</v>
      </c>
      <c r="H350" s="231">
        <v>311.86342000000002</v>
      </c>
      <c r="I350" s="285">
        <v>0</v>
      </c>
      <c r="J350" s="285"/>
      <c r="K350" s="285"/>
      <c r="L350" s="285"/>
      <c r="M350" s="285"/>
      <c r="N350" s="231">
        <v>0</v>
      </c>
      <c r="O350" s="231">
        <v>0</v>
      </c>
      <c r="P350" s="303"/>
    </row>
    <row r="351" spans="1:17" s="40" customFormat="1" ht="34.799999999999997" x14ac:dyDescent="0.3">
      <c r="A351" s="354"/>
      <c r="B351" s="352"/>
      <c r="C351" s="350"/>
      <c r="D351" s="184" t="s">
        <v>87</v>
      </c>
      <c r="E351" s="231"/>
      <c r="F351" s="135">
        <f t="shared" si="124"/>
        <v>0</v>
      </c>
      <c r="G351" s="231">
        <v>0</v>
      </c>
      <c r="H351" s="231">
        <v>0</v>
      </c>
      <c r="I351" s="285">
        <v>0</v>
      </c>
      <c r="J351" s="285"/>
      <c r="K351" s="285"/>
      <c r="L351" s="285"/>
      <c r="M351" s="285"/>
      <c r="N351" s="231">
        <v>0</v>
      </c>
      <c r="O351" s="231">
        <v>0</v>
      </c>
      <c r="P351" s="303"/>
    </row>
    <row r="352" spans="1:17" s="40" customFormat="1" ht="33" customHeight="1" x14ac:dyDescent="0.3">
      <c r="A352" s="354"/>
      <c r="B352" s="286" t="s">
        <v>171</v>
      </c>
      <c r="C352" s="288" t="s">
        <v>116</v>
      </c>
      <c r="D352" s="289" t="s">
        <v>116</v>
      </c>
      <c r="E352" s="228"/>
      <c r="F352" s="290" t="s">
        <v>117</v>
      </c>
      <c r="G352" s="227" t="s">
        <v>234</v>
      </c>
      <c r="H352" s="227" t="s">
        <v>235</v>
      </c>
      <c r="I352" s="283" t="s">
        <v>123</v>
      </c>
      <c r="J352" s="284" t="s">
        <v>118</v>
      </c>
      <c r="K352" s="284"/>
      <c r="L352" s="284"/>
      <c r="M352" s="284"/>
      <c r="N352" s="227" t="s">
        <v>124</v>
      </c>
      <c r="O352" s="227" t="s">
        <v>125</v>
      </c>
      <c r="P352" s="295" t="s">
        <v>116</v>
      </c>
      <c r="Q352" s="41"/>
    </row>
    <row r="353" spans="1:20" s="40" customFormat="1" ht="25.8" customHeight="1" x14ac:dyDescent="0.3">
      <c r="A353" s="354"/>
      <c r="B353" s="286"/>
      <c r="C353" s="288"/>
      <c r="D353" s="289"/>
      <c r="E353" s="228"/>
      <c r="F353" s="290"/>
      <c r="G353" s="228"/>
      <c r="H353" s="228"/>
      <c r="I353" s="283"/>
      <c r="J353" s="228" t="s">
        <v>119</v>
      </c>
      <c r="K353" s="228" t="s">
        <v>120</v>
      </c>
      <c r="L353" s="228" t="s">
        <v>121</v>
      </c>
      <c r="M353" s="228" t="s">
        <v>122</v>
      </c>
      <c r="N353" s="228"/>
      <c r="O353" s="228"/>
      <c r="P353" s="295"/>
      <c r="Q353" s="41"/>
    </row>
    <row r="354" spans="1:20" s="40" customFormat="1" ht="33" customHeight="1" x14ac:dyDescent="0.3">
      <c r="A354" s="354"/>
      <c r="B354" s="286"/>
      <c r="C354" s="288"/>
      <c r="D354" s="289"/>
      <c r="E354" s="228"/>
      <c r="F354" s="136">
        <f>I354+H354+G354+N354+O354</f>
        <v>3</v>
      </c>
      <c r="G354" s="121">
        <v>0</v>
      </c>
      <c r="H354" s="121">
        <v>3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>
        <v>0</v>
      </c>
      <c r="P354" s="295"/>
      <c r="Q354" s="41"/>
    </row>
    <row r="355" spans="1:20" s="9" customFormat="1" ht="18.75" customHeight="1" x14ac:dyDescent="0.3">
      <c r="A355" s="345" t="s">
        <v>11</v>
      </c>
      <c r="B355" s="346" t="s">
        <v>232</v>
      </c>
      <c r="C355" s="347" t="s">
        <v>250</v>
      </c>
      <c r="D355" s="188" t="s">
        <v>2</v>
      </c>
      <c r="E355" s="232" t="e">
        <f>E357+E358+E356</f>
        <v>#REF!</v>
      </c>
      <c r="F355" s="135">
        <f t="shared" ref="F355:F363" si="125">SUM(G355:O355)</f>
        <v>132135</v>
      </c>
      <c r="G355" s="232">
        <f t="shared" ref="G355:H355" si="126">G356+G357+G358+G359</f>
        <v>69708</v>
      </c>
      <c r="H355" s="232">
        <f t="shared" si="126"/>
        <v>62427</v>
      </c>
      <c r="I355" s="298">
        <f>I356+I357+I358+I359</f>
        <v>0</v>
      </c>
      <c r="J355" s="298"/>
      <c r="K355" s="298"/>
      <c r="L355" s="298"/>
      <c r="M355" s="298"/>
      <c r="N355" s="232">
        <f t="shared" ref="N355:O355" si="127">N356+N357+N358+N359</f>
        <v>0</v>
      </c>
      <c r="O355" s="232">
        <f t="shared" si="127"/>
        <v>0</v>
      </c>
      <c r="P355" s="299"/>
      <c r="T355" s="45"/>
    </row>
    <row r="356" spans="1:20" s="9" customFormat="1" ht="39" customHeight="1" x14ac:dyDescent="0.3">
      <c r="A356" s="345"/>
      <c r="B356" s="346"/>
      <c r="C356" s="347"/>
      <c r="D356" s="189" t="s">
        <v>40</v>
      </c>
      <c r="E356" s="233" t="e">
        <f>E405</f>
        <v>#REF!</v>
      </c>
      <c r="F356" s="135">
        <f t="shared" si="125"/>
        <v>0</v>
      </c>
      <c r="G356" s="233">
        <f>G360</f>
        <v>0</v>
      </c>
      <c r="H356" s="233">
        <f>H360</f>
        <v>0</v>
      </c>
      <c r="I356" s="282">
        <f>I360</f>
        <v>0</v>
      </c>
      <c r="J356" s="282"/>
      <c r="K356" s="282"/>
      <c r="L356" s="282"/>
      <c r="M356" s="282"/>
      <c r="N356" s="233">
        <f>N360</f>
        <v>0</v>
      </c>
      <c r="O356" s="233">
        <f>O360</f>
        <v>0</v>
      </c>
      <c r="P356" s="299"/>
      <c r="T356" s="45"/>
    </row>
    <row r="357" spans="1:20" s="9" customFormat="1" ht="36.75" customHeight="1" x14ac:dyDescent="0.3">
      <c r="A357" s="345"/>
      <c r="B357" s="346"/>
      <c r="C357" s="347"/>
      <c r="D357" s="189" t="s">
        <v>1</v>
      </c>
      <c r="E357" s="233" t="e">
        <f>E361+E406</f>
        <v>#REF!</v>
      </c>
      <c r="F357" s="135">
        <f t="shared" si="125"/>
        <v>81615</v>
      </c>
      <c r="G357" s="233">
        <f t="shared" ref="G357:I357" si="128">G361</f>
        <v>42661</v>
      </c>
      <c r="H357" s="233">
        <f t="shared" si="128"/>
        <v>38954</v>
      </c>
      <c r="I357" s="282">
        <f t="shared" si="128"/>
        <v>0</v>
      </c>
      <c r="J357" s="282"/>
      <c r="K357" s="282"/>
      <c r="L357" s="282"/>
      <c r="M357" s="282"/>
      <c r="N357" s="233">
        <f t="shared" ref="N357:O357" si="129">N361</f>
        <v>0</v>
      </c>
      <c r="O357" s="233">
        <f t="shared" si="129"/>
        <v>0</v>
      </c>
      <c r="P357" s="299"/>
      <c r="T357" s="45"/>
    </row>
    <row r="358" spans="1:20" s="9" customFormat="1" ht="57" customHeight="1" x14ac:dyDescent="0.3">
      <c r="A358" s="345"/>
      <c r="B358" s="346"/>
      <c r="C358" s="347"/>
      <c r="D358" s="189" t="s">
        <v>47</v>
      </c>
      <c r="E358" s="229" t="e">
        <f>E362+E407</f>
        <v>#REF!</v>
      </c>
      <c r="F358" s="135">
        <f t="shared" si="125"/>
        <v>50520</v>
      </c>
      <c r="G358" s="233">
        <f t="shared" ref="G358:I358" si="130">G362</f>
        <v>27047</v>
      </c>
      <c r="H358" s="233">
        <f t="shared" si="130"/>
        <v>23473</v>
      </c>
      <c r="I358" s="282">
        <f t="shared" si="130"/>
        <v>0</v>
      </c>
      <c r="J358" s="282"/>
      <c r="K358" s="282"/>
      <c r="L358" s="282"/>
      <c r="M358" s="282"/>
      <c r="N358" s="233">
        <f t="shared" ref="N358:O358" si="131">N362</f>
        <v>0</v>
      </c>
      <c r="O358" s="233">
        <f t="shared" si="131"/>
        <v>0</v>
      </c>
      <c r="P358" s="299"/>
      <c r="T358" s="45"/>
    </row>
    <row r="359" spans="1:20" s="9" customFormat="1" ht="34.799999999999997" x14ac:dyDescent="0.3">
      <c r="A359" s="345"/>
      <c r="B359" s="346"/>
      <c r="C359" s="347"/>
      <c r="D359" s="189" t="s">
        <v>87</v>
      </c>
      <c r="E359" s="229"/>
      <c r="F359" s="135">
        <f t="shared" si="125"/>
        <v>0</v>
      </c>
      <c r="G359" s="233">
        <f t="shared" ref="G359:I359" si="132">G363</f>
        <v>0</v>
      </c>
      <c r="H359" s="233">
        <f t="shared" si="132"/>
        <v>0</v>
      </c>
      <c r="I359" s="282">
        <f t="shared" si="132"/>
        <v>0</v>
      </c>
      <c r="J359" s="282"/>
      <c r="K359" s="282"/>
      <c r="L359" s="282"/>
      <c r="M359" s="282"/>
      <c r="N359" s="233">
        <f t="shared" ref="N359:O359" si="133">N363</f>
        <v>0</v>
      </c>
      <c r="O359" s="233">
        <f t="shared" si="133"/>
        <v>0</v>
      </c>
      <c r="P359" s="299"/>
      <c r="T359" s="45"/>
    </row>
    <row r="360" spans="1:20" s="9" customFormat="1" ht="46.5" customHeight="1" x14ac:dyDescent="0.3">
      <c r="A360" s="316" t="s">
        <v>105</v>
      </c>
      <c r="B360" s="349" t="s">
        <v>107</v>
      </c>
      <c r="C360" s="318" t="s">
        <v>250</v>
      </c>
      <c r="D360" s="185" t="s">
        <v>40</v>
      </c>
      <c r="E360" s="116"/>
      <c r="F360" s="135">
        <f t="shared" si="125"/>
        <v>0</v>
      </c>
      <c r="G360" s="116">
        <v>0</v>
      </c>
      <c r="H360" s="116">
        <v>0</v>
      </c>
      <c r="I360" s="344">
        <v>0</v>
      </c>
      <c r="J360" s="344"/>
      <c r="K360" s="344"/>
      <c r="L360" s="344"/>
      <c r="M360" s="344"/>
      <c r="N360" s="116">
        <v>0</v>
      </c>
      <c r="O360" s="116">
        <v>0</v>
      </c>
      <c r="P360" s="296" t="s">
        <v>3</v>
      </c>
      <c r="T360" s="45"/>
    </row>
    <row r="361" spans="1:20" s="40" customFormat="1" ht="34.799999999999997" x14ac:dyDescent="0.3">
      <c r="A361" s="316"/>
      <c r="B361" s="349"/>
      <c r="C361" s="318"/>
      <c r="D361" s="183" t="s">
        <v>1</v>
      </c>
      <c r="E361" s="120">
        <v>34122</v>
      </c>
      <c r="F361" s="135">
        <f t="shared" si="125"/>
        <v>81615</v>
      </c>
      <c r="G361" s="120">
        <v>42661</v>
      </c>
      <c r="H361" s="120">
        <v>38954</v>
      </c>
      <c r="I361" s="281">
        <v>0</v>
      </c>
      <c r="J361" s="281"/>
      <c r="K361" s="281"/>
      <c r="L361" s="281"/>
      <c r="M361" s="281"/>
      <c r="N361" s="120">
        <v>0</v>
      </c>
      <c r="O361" s="120">
        <v>0</v>
      </c>
      <c r="P361" s="296"/>
    </row>
    <row r="362" spans="1:20" s="40" customFormat="1" ht="52.2" x14ac:dyDescent="0.3">
      <c r="A362" s="316"/>
      <c r="B362" s="349"/>
      <c r="C362" s="318"/>
      <c r="D362" s="183" t="s">
        <v>47</v>
      </c>
      <c r="E362" s="120">
        <v>20473</v>
      </c>
      <c r="F362" s="135">
        <f t="shared" si="125"/>
        <v>50520</v>
      </c>
      <c r="G362" s="120">
        <v>27047</v>
      </c>
      <c r="H362" s="120">
        <v>23473</v>
      </c>
      <c r="I362" s="281">
        <v>0</v>
      </c>
      <c r="J362" s="281"/>
      <c r="K362" s="281"/>
      <c r="L362" s="281"/>
      <c r="M362" s="281"/>
      <c r="N362" s="120">
        <v>0</v>
      </c>
      <c r="O362" s="120">
        <v>0</v>
      </c>
      <c r="P362" s="296"/>
    </row>
    <row r="363" spans="1:20" s="40" customFormat="1" ht="34.799999999999997" x14ac:dyDescent="0.3">
      <c r="A363" s="316"/>
      <c r="B363" s="349"/>
      <c r="C363" s="318"/>
      <c r="D363" s="183" t="s">
        <v>87</v>
      </c>
      <c r="E363" s="120"/>
      <c r="F363" s="135">
        <f t="shared" si="125"/>
        <v>0</v>
      </c>
      <c r="G363" s="120">
        <v>0</v>
      </c>
      <c r="H363" s="120">
        <v>0</v>
      </c>
      <c r="I363" s="281">
        <v>0</v>
      </c>
      <c r="J363" s="281"/>
      <c r="K363" s="281"/>
      <c r="L363" s="281"/>
      <c r="M363" s="281"/>
      <c r="N363" s="120">
        <v>0</v>
      </c>
      <c r="O363" s="120">
        <v>0</v>
      </c>
      <c r="P363" s="296"/>
    </row>
    <row r="364" spans="1:20" s="40" customFormat="1" ht="90.75" customHeight="1" x14ac:dyDescent="0.3">
      <c r="A364" s="316"/>
      <c r="B364" s="286" t="s">
        <v>172</v>
      </c>
      <c r="C364" s="288" t="s">
        <v>116</v>
      </c>
      <c r="D364" s="289" t="s">
        <v>116</v>
      </c>
      <c r="E364" s="228"/>
      <c r="F364" s="290" t="s">
        <v>117</v>
      </c>
      <c r="G364" s="227" t="s">
        <v>234</v>
      </c>
      <c r="H364" s="227" t="s">
        <v>235</v>
      </c>
      <c r="I364" s="283" t="s">
        <v>123</v>
      </c>
      <c r="J364" s="284" t="s">
        <v>118</v>
      </c>
      <c r="K364" s="284"/>
      <c r="L364" s="284"/>
      <c r="M364" s="284"/>
      <c r="N364" s="227" t="s">
        <v>124</v>
      </c>
      <c r="O364" s="227" t="s">
        <v>125</v>
      </c>
      <c r="P364" s="295" t="s">
        <v>116</v>
      </c>
      <c r="Q364" s="41"/>
    </row>
    <row r="365" spans="1:20" s="40" customFormat="1" ht="66" customHeight="1" x14ac:dyDescent="0.3">
      <c r="A365" s="316"/>
      <c r="B365" s="286"/>
      <c r="C365" s="288"/>
      <c r="D365" s="289"/>
      <c r="E365" s="228"/>
      <c r="F365" s="290"/>
      <c r="G365" s="228"/>
      <c r="H365" s="228"/>
      <c r="I365" s="283"/>
      <c r="J365" s="228" t="s">
        <v>119</v>
      </c>
      <c r="K365" s="228" t="s">
        <v>120</v>
      </c>
      <c r="L365" s="228" t="s">
        <v>121</v>
      </c>
      <c r="M365" s="228" t="s">
        <v>122</v>
      </c>
      <c r="N365" s="228"/>
      <c r="O365" s="228"/>
      <c r="P365" s="295"/>
      <c r="Q365" s="41"/>
    </row>
    <row r="366" spans="1:20" s="40" customFormat="1" ht="78.75" customHeight="1" x14ac:dyDescent="0.3">
      <c r="A366" s="316"/>
      <c r="B366" s="286"/>
      <c r="C366" s="288"/>
      <c r="D366" s="289"/>
      <c r="E366" s="228"/>
      <c r="F366" s="136">
        <v>77</v>
      </c>
      <c r="G366" s="121">
        <v>77</v>
      </c>
      <c r="H366" s="121">
        <v>77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>
        <v>0</v>
      </c>
      <c r="P366" s="295"/>
      <c r="Q366" s="41"/>
    </row>
    <row r="367" spans="1:20" s="212" customFormat="1" ht="27.75" customHeight="1" x14ac:dyDescent="0.3">
      <c r="A367" s="345" t="s">
        <v>12</v>
      </c>
      <c r="B367" s="346" t="s">
        <v>238</v>
      </c>
      <c r="C367" s="347" t="s">
        <v>82</v>
      </c>
      <c r="D367" s="188" t="s">
        <v>2</v>
      </c>
      <c r="E367" s="232">
        <f>E369+E370+E368</f>
        <v>54595</v>
      </c>
      <c r="F367" s="135">
        <f t="shared" ref="F367:F377" si="134">SUM(G367:O367)</f>
        <v>9604.7956400000003</v>
      </c>
      <c r="G367" s="232">
        <f t="shared" ref="G367:H367" si="135">G368+G369+G370+G371</f>
        <v>0</v>
      </c>
      <c r="H367" s="232">
        <f t="shared" si="135"/>
        <v>0</v>
      </c>
      <c r="I367" s="298">
        <f>I368+I369+I370+I371</f>
        <v>9604.7956400000003</v>
      </c>
      <c r="J367" s="298"/>
      <c r="K367" s="298"/>
      <c r="L367" s="298"/>
      <c r="M367" s="298"/>
      <c r="N367" s="232">
        <f t="shared" ref="N367:O367" si="136">N368+N369+N370+N371</f>
        <v>0</v>
      </c>
      <c r="O367" s="232">
        <f t="shared" si="136"/>
        <v>0</v>
      </c>
      <c r="P367" s="299"/>
      <c r="T367" s="214"/>
    </row>
    <row r="368" spans="1:20" s="212" customFormat="1" ht="37.5" customHeight="1" x14ac:dyDescent="0.3">
      <c r="A368" s="345"/>
      <c r="B368" s="346"/>
      <c r="C368" s="347"/>
      <c r="D368" s="189" t="s">
        <v>40</v>
      </c>
      <c r="E368" s="233">
        <f>E417</f>
        <v>0</v>
      </c>
      <c r="F368" s="135">
        <f t="shared" si="134"/>
        <v>6927.4436099999994</v>
      </c>
      <c r="G368" s="233">
        <f>G372</f>
        <v>0</v>
      </c>
      <c r="H368" s="233">
        <f>H372</f>
        <v>0</v>
      </c>
      <c r="I368" s="282">
        <f>I372</f>
        <v>6927.4436099999994</v>
      </c>
      <c r="J368" s="282"/>
      <c r="K368" s="282"/>
      <c r="L368" s="282"/>
      <c r="M368" s="282"/>
      <c r="N368" s="233">
        <f>N372</f>
        <v>0</v>
      </c>
      <c r="O368" s="233">
        <f>O372</f>
        <v>0</v>
      </c>
      <c r="P368" s="299"/>
      <c r="T368" s="214"/>
    </row>
    <row r="369" spans="1:20" s="212" customFormat="1" ht="34.799999999999997" x14ac:dyDescent="0.3">
      <c r="A369" s="345"/>
      <c r="B369" s="346"/>
      <c r="C369" s="347"/>
      <c r="D369" s="189" t="s">
        <v>1</v>
      </c>
      <c r="E369" s="233">
        <f>E373+E418</f>
        <v>34122</v>
      </c>
      <c r="F369" s="135">
        <f t="shared" si="134"/>
        <v>2433.9563899999998</v>
      </c>
      <c r="G369" s="233">
        <f t="shared" ref="G369:I369" si="137">G373</f>
        <v>0</v>
      </c>
      <c r="H369" s="233">
        <f t="shared" si="137"/>
        <v>0</v>
      </c>
      <c r="I369" s="282">
        <f t="shared" si="137"/>
        <v>2433.9563899999998</v>
      </c>
      <c r="J369" s="282"/>
      <c r="K369" s="282"/>
      <c r="L369" s="282"/>
      <c r="M369" s="282"/>
      <c r="N369" s="233">
        <f t="shared" ref="N369:O369" si="138">N373</f>
        <v>0</v>
      </c>
      <c r="O369" s="233">
        <f t="shared" si="138"/>
        <v>0</v>
      </c>
      <c r="P369" s="299"/>
      <c r="T369" s="214"/>
    </row>
    <row r="370" spans="1:20" s="212" customFormat="1" ht="57" customHeight="1" x14ac:dyDescent="0.3">
      <c r="A370" s="345"/>
      <c r="B370" s="346"/>
      <c r="C370" s="347"/>
      <c r="D370" s="189" t="s">
        <v>47</v>
      </c>
      <c r="E370" s="229">
        <f>E374+E419</f>
        <v>20473</v>
      </c>
      <c r="F370" s="135">
        <f t="shared" si="134"/>
        <v>243.39564000000018</v>
      </c>
      <c r="G370" s="233">
        <f t="shared" ref="G370:I370" si="139">G374</f>
        <v>0</v>
      </c>
      <c r="H370" s="233">
        <f t="shared" si="139"/>
        <v>0</v>
      </c>
      <c r="I370" s="282">
        <f t="shared" si="139"/>
        <v>243.39564000000018</v>
      </c>
      <c r="J370" s="282"/>
      <c r="K370" s="282"/>
      <c r="L370" s="282"/>
      <c r="M370" s="282"/>
      <c r="N370" s="229">
        <f t="shared" ref="N370:O370" si="140">N374</f>
        <v>0</v>
      </c>
      <c r="O370" s="229">
        <f t="shared" si="140"/>
        <v>0</v>
      </c>
      <c r="P370" s="299"/>
      <c r="T370" s="214"/>
    </row>
    <row r="371" spans="1:20" s="212" customFormat="1" ht="34.5" customHeight="1" x14ac:dyDescent="0.3">
      <c r="A371" s="345"/>
      <c r="B371" s="346"/>
      <c r="C371" s="347"/>
      <c r="D371" s="189" t="s">
        <v>87</v>
      </c>
      <c r="E371" s="229"/>
      <c r="F371" s="135">
        <f t="shared" si="134"/>
        <v>0</v>
      </c>
      <c r="G371" s="233">
        <f t="shared" ref="G371:I371" si="141">G375</f>
        <v>0</v>
      </c>
      <c r="H371" s="233">
        <f t="shared" si="141"/>
        <v>0</v>
      </c>
      <c r="I371" s="282">
        <f t="shared" si="141"/>
        <v>0</v>
      </c>
      <c r="J371" s="282"/>
      <c r="K371" s="282"/>
      <c r="L371" s="282"/>
      <c r="M371" s="282"/>
      <c r="N371" s="229">
        <f t="shared" ref="N371:O371" si="142">N375</f>
        <v>0</v>
      </c>
      <c r="O371" s="229">
        <f t="shared" si="142"/>
        <v>0</v>
      </c>
      <c r="P371" s="299"/>
      <c r="T371" s="214"/>
    </row>
    <row r="372" spans="1:20" s="212" customFormat="1" ht="34.799999999999997" x14ac:dyDescent="0.3">
      <c r="A372" s="316" t="s">
        <v>106</v>
      </c>
      <c r="B372" s="349" t="s">
        <v>239</v>
      </c>
      <c r="C372" s="318" t="s">
        <v>82</v>
      </c>
      <c r="D372" s="185" t="s">
        <v>40</v>
      </c>
      <c r="E372" s="116"/>
      <c r="F372" s="135">
        <f t="shared" si="134"/>
        <v>6927.4436099999994</v>
      </c>
      <c r="G372" s="116">
        <v>0</v>
      </c>
      <c r="H372" s="116">
        <v>0</v>
      </c>
      <c r="I372" s="302">
        <f>6927.4+0.04361</f>
        <v>6927.4436099999994</v>
      </c>
      <c r="J372" s="302"/>
      <c r="K372" s="302"/>
      <c r="L372" s="302"/>
      <c r="M372" s="302"/>
      <c r="N372" s="251">
        <v>0</v>
      </c>
      <c r="O372" s="251">
        <v>0</v>
      </c>
      <c r="P372" s="296" t="s">
        <v>3</v>
      </c>
      <c r="T372" s="214"/>
    </row>
    <row r="373" spans="1:20" s="84" customFormat="1" ht="34.799999999999997" x14ac:dyDescent="0.3">
      <c r="A373" s="316"/>
      <c r="B373" s="349"/>
      <c r="C373" s="318"/>
      <c r="D373" s="183" t="s">
        <v>1</v>
      </c>
      <c r="E373" s="120">
        <v>34122</v>
      </c>
      <c r="F373" s="135">
        <f t="shared" si="134"/>
        <v>2433.9563899999998</v>
      </c>
      <c r="G373" s="120">
        <v>0</v>
      </c>
      <c r="H373" s="120">
        <v>0</v>
      </c>
      <c r="I373" s="297">
        <f>2434-0.04361</f>
        <v>2433.9563899999998</v>
      </c>
      <c r="J373" s="297"/>
      <c r="K373" s="297"/>
      <c r="L373" s="297"/>
      <c r="M373" s="297"/>
      <c r="N373" s="120">
        <v>0</v>
      </c>
      <c r="O373" s="120">
        <v>0</v>
      </c>
      <c r="P373" s="296"/>
    </row>
    <row r="374" spans="1:20" s="84" customFormat="1" ht="52.2" x14ac:dyDescent="0.3">
      <c r="A374" s="316"/>
      <c r="B374" s="349"/>
      <c r="C374" s="318"/>
      <c r="D374" s="183" t="s">
        <v>47</v>
      </c>
      <c r="E374" s="120">
        <v>20473</v>
      </c>
      <c r="F374" s="135">
        <f t="shared" si="134"/>
        <v>243.39564000000018</v>
      </c>
      <c r="G374" s="120">
        <v>0</v>
      </c>
      <c r="H374" s="120">
        <v>0</v>
      </c>
      <c r="I374" s="297">
        <f>2434-2190.60436</f>
        <v>243.39564000000018</v>
      </c>
      <c r="J374" s="297"/>
      <c r="K374" s="297"/>
      <c r="L374" s="297"/>
      <c r="M374" s="297"/>
      <c r="N374" s="252">
        <v>0</v>
      </c>
      <c r="O374" s="252">
        <v>0</v>
      </c>
      <c r="P374" s="296"/>
    </row>
    <row r="375" spans="1:20" s="84" customFormat="1" ht="39.75" customHeight="1" x14ac:dyDescent="0.3">
      <c r="A375" s="316"/>
      <c r="B375" s="349"/>
      <c r="C375" s="318"/>
      <c r="D375" s="183" t="s">
        <v>87</v>
      </c>
      <c r="E375" s="120"/>
      <c r="F375" s="135">
        <f t="shared" si="134"/>
        <v>0</v>
      </c>
      <c r="G375" s="120">
        <v>0</v>
      </c>
      <c r="H375" s="120">
        <v>0</v>
      </c>
      <c r="I375" s="281">
        <v>0</v>
      </c>
      <c r="J375" s="281"/>
      <c r="K375" s="281"/>
      <c r="L375" s="281"/>
      <c r="M375" s="281"/>
      <c r="N375" s="120">
        <v>0</v>
      </c>
      <c r="O375" s="120">
        <v>0</v>
      </c>
      <c r="P375" s="296"/>
    </row>
    <row r="376" spans="1:20" s="84" customFormat="1" ht="31.8" customHeight="1" x14ac:dyDescent="0.3">
      <c r="A376" s="316"/>
      <c r="B376" s="286" t="s">
        <v>240</v>
      </c>
      <c r="C376" s="288" t="s">
        <v>116</v>
      </c>
      <c r="D376" s="289" t="s">
        <v>116</v>
      </c>
      <c r="E376" s="228"/>
      <c r="F376" s="290">
        <f t="shared" si="134"/>
        <v>0</v>
      </c>
      <c r="G376" s="227" t="s">
        <v>214</v>
      </c>
      <c r="H376" s="227" t="s">
        <v>215</v>
      </c>
      <c r="I376" s="283" t="s">
        <v>123</v>
      </c>
      <c r="J376" s="284" t="s">
        <v>118</v>
      </c>
      <c r="K376" s="284"/>
      <c r="L376" s="284"/>
      <c r="M376" s="284"/>
      <c r="N376" s="227" t="s">
        <v>124</v>
      </c>
      <c r="O376" s="227" t="s">
        <v>125</v>
      </c>
      <c r="P376" s="295" t="s">
        <v>116</v>
      </c>
      <c r="Q376" s="88"/>
    </row>
    <row r="377" spans="1:20" s="84" customFormat="1" ht="33" customHeight="1" x14ac:dyDescent="0.3">
      <c r="A377" s="316"/>
      <c r="B377" s="286"/>
      <c r="C377" s="288"/>
      <c r="D377" s="289"/>
      <c r="E377" s="228"/>
      <c r="F377" s="290">
        <f t="shared" si="134"/>
        <v>0</v>
      </c>
      <c r="G377" s="228"/>
      <c r="H377" s="228"/>
      <c r="I377" s="283"/>
      <c r="J377" s="228" t="s">
        <v>119</v>
      </c>
      <c r="K377" s="228" t="s">
        <v>120</v>
      </c>
      <c r="L377" s="228" t="s">
        <v>121</v>
      </c>
      <c r="M377" s="228" t="s">
        <v>122</v>
      </c>
      <c r="N377" s="228"/>
      <c r="O377" s="228"/>
      <c r="P377" s="295"/>
      <c r="Q377" s="88"/>
    </row>
    <row r="378" spans="1:20" s="84" customFormat="1" ht="34.5" customHeight="1" x14ac:dyDescent="0.3">
      <c r="A378" s="316"/>
      <c r="B378" s="286"/>
      <c r="C378" s="288"/>
      <c r="D378" s="289"/>
      <c r="E378" s="228"/>
      <c r="F378" s="136">
        <f>I378</f>
        <v>19</v>
      </c>
      <c r="G378" s="121">
        <v>0</v>
      </c>
      <c r="H378" s="121">
        <v>0</v>
      </c>
      <c r="I378" s="121">
        <v>19</v>
      </c>
      <c r="J378" s="121">
        <v>0</v>
      </c>
      <c r="K378" s="121">
        <v>0</v>
      </c>
      <c r="L378" s="121">
        <v>0</v>
      </c>
      <c r="M378" s="121">
        <v>19</v>
      </c>
      <c r="N378" s="121">
        <v>0</v>
      </c>
      <c r="O378" s="121">
        <v>0</v>
      </c>
      <c r="P378" s="295"/>
      <c r="Q378" s="88"/>
    </row>
    <row r="379" spans="1:20" s="212" customFormat="1" ht="17.399999999999999" x14ac:dyDescent="0.3">
      <c r="A379" s="345" t="s">
        <v>14</v>
      </c>
      <c r="B379" s="346" t="s">
        <v>230</v>
      </c>
      <c r="C379" s="347" t="s">
        <v>248</v>
      </c>
      <c r="D379" s="188" t="s">
        <v>2</v>
      </c>
      <c r="E379" s="232">
        <f>E381+E382+E380</f>
        <v>54595</v>
      </c>
      <c r="F379" s="135">
        <f t="shared" ref="F379:F412" si="143">SUM(G379:O379)</f>
        <v>841921.67999999993</v>
      </c>
      <c r="G379" s="232">
        <f t="shared" ref="G379:H379" si="144">G380+G381+G382+G383</f>
        <v>0</v>
      </c>
      <c r="H379" s="232">
        <f t="shared" si="144"/>
        <v>0</v>
      </c>
      <c r="I379" s="298">
        <f>I380+I381+I382+I383</f>
        <v>280429.56</v>
      </c>
      <c r="J379" s="298"/>
      <c r="K379" s="298"/>
      <c r="L379" s="298"/>
      <c r="M379" s="298"/>
      <c r="N379" s="232">
        <f t="shared" ref="N379:O379" si="145">N380+N381+N382+N383</f>
        <v>280626.56</v>
      </c>
      <c r="O379" s="232">
        <f t="shared" si="145"/>
        <v>280865.56</v>
      </c>
      <c r="P379" s="299"/>
      <c r="T379" s="214"/>
    </row>
    <row r="380" spans="1:20" s="212" customFormat="1" ht="34.799999999999997" x14ac:dyDescent="0.3">
      <c r="A380" s="345"/>
      <c r="B380" s="346"/>
      <c r="C380" s="347"/>
      <c r="D380" s="189" t="s">
        <v>40</v>
      </c>
      <c r="E380" s="233">
        <f>E436</f>
        <v>0</v>
      </c>
      <c r="F380" s="135">
        <f t="shared" si="143"/>
        <v>829991.32706000004</v>
      </c>
      <c r="G380" s="233">
        <f t="shared" ref="G380:I383" si="146">G384+G398</f>
        <v>0</v>
      </c>
      <c r="H380" s="233">
        <f t="shared" si="146"/>
        <v>0</v>
      </c>
      <c r="I380" s="282">
        <f>I384+I398+I391</f>
        <v>277042.50371999998</v>
      </c>
      <c r="J380" s="282"/>
      <c r="K380" s="282"/>
      <c r="L380" s="282"/>
      <c r="M380" s="282"/>
      <c r="N380" s="233">
        <f>N384+N398+N391</f>
        <v>276660.00334</v>
      </c>
      <c r="O380" s="233">
        <f>O384+O398+O391</f>
        <v>276288.82</v>
      </c>
      <c r="P380" s="299"/>
      <c r="T380" s="214"/>
    </row>
    <row r="381" spans="1:20" s="212" customFormat="1" ht="34.799999999999997" x14ac:dyDescent="0.3">
      <c r="A381" s="345"/>
      <c r="B381" s="346"/>
      <c r="C381" s="347"/>
      <c r="D381" s="189" t="s">
        <v>1</v>
      </c>
      <c r="E381" s="233">
        <f>E385+E437</f>
        <v>34122</v>
      </c>
      <c r="F381" s="135">
        <f t="shared" si="143"/>
        <v>11930.352940000001</v>
      </c>
      <c r="G381" s="233">
        <f t="shared" si="146"/>
        <v>0</v>
      </c>
      <c r="H381" s="233">
        <f t="shared" si="146"/>
        <v>0</v>
      </c>
      <c r="I381" s="282">
        <f t="shared" si="146"/>
        <v>3387.0562799999998</v>
      </c>
      <c r="J381" s="282"/>
      <c r="K381" s="282"/>
      <c r="L381" s="282"/>
      <c r="M381" s="282"/>
      <c r="N381" s="233">
        <f t="shared" ref="N381:O381" si="147">N385+N399+N392</f>
        <v>3966.5566600000002</v>
      </c>
      <c r="O381" s="233">
        <f t="shared" si="147"/>
        <v>4576.74</v>
      </c>
      <c r="P381" s="299"/>
      <c r="T381" s="214"/>
    </row>
    <row r="382" spans="1:20" s="212" customFormat="1" ht="52.2" x14ac:dyDescent="0.3">
      <c r="A382" s="345"/>
      <c r="B382" s="346"/>
      <c r="C382" s="347"/>
      <c r="D382" s="189" t="s">
        <v>47</v>
      </c>
      <c r="E382" s="229">
        <f>E386+E438</f>
        <v>20473</v>
      </c>
      <c r="F382" s="135">
        <f t="shared" si="143"/>
        <v>0</v>
      </c>
      <c r="G382" s="229">
        <f t="shared" si="146"/>
        <v>0</v>
      </c>
      <c r="H382" s="229">
        <f t="shared" si="146"/>
        <v>0</v>
      </c>
      <c r="I382" s="304">
        <f t="shared" si="146"/>
        <v>0</v>
      </c>
      <c r="J382" s="304"/>
      <c r="K382" s="304"/>
      <c r="L382" s="304"/>
      <c r="M382" s="304"/>
      <c r="N382" s="233">
        <f t="shared" ref="N382:O382" si="148">N386+N400+N393</f>
        <v>0</v>
      </c>
      <c r="O382" s="233">
        <f t="shared" si="148"/>
        <v>0</v>
      </c>
      <c r="P382" s="299"/>
      <c r="T382" s="214"/>
    </row>
    <row r="383" spans="1:20" s="212" customFormat="1" ht="34.799999999999997" x14ac:dyDescent="0.3">
      <c r="A383" s="345"/>
      <c r="B383" s="346"/>
      <c r="C383" s="347"/>
      <c r="D383" s="189" t="s">
        <v>87</v>
      </c>
      <c r="E383" s="229"/>
      <c r="F383" s="135">
        <f t="shared" si="143"/>
        <v>0</v>
      </c>
      <c r="G383" s="229">
        <f t="shared" si="146"/>
        <v>0</v>
      </c>
      <c r="H383" s="229">
        <f t="shared" si="146"/>
        <v>0</v>
      </c>
      <c r="I383" s="304">
        <f t="shared" si="146"/>
        <v>0</v>
      </c>
      <c r="J383" s="304"/>
      <c r="K383" s="304"/>
      <c r="L383" s="304"/>
      <c r="M383" s="304"/>
      <c r="N383" s="233">
        <f t="shared" ref="N383:O383" si="149">N387+N401+N394</f>
        <v>0</v>
      </c>
      <c r="O383" s="233">
        <f t="shared" si="149"/>
        <v>0</v>
      </c>
      <c r="P383" s="299"/>
      <c r="T383" s="214"/>
    </row>
    <row r="384" spans="1:20" s="212" customFormat="1" ht="34.799999999999997" x14ac:dyDescent="0.3">
      <c r="A384" s="316" t="s">
        <v>275</v>
      </c>
      <c r="B384" s="349" t="s">
        <v>227</v>
      </c>
      <c r="C384" s="318" t="s">
        <v>248</v>
      </c>
      <c r="D384" s="185" t="s">
        <v>40</v>
      </c>
      <c r="E384" s="116"/>
      <c r="F384" s="135">
        <f t="shared" si="143"/>
        <v>27777.647060000003</v>
      </c>
      <c r="G384" s="116">
        <v>0</v>
      </c>
      <c r="H384" s="116">
        <v>0</v>
      </c>
      <c r="I384" s="348">
        <f>9637.94+0.00372</f>
        <v>9637.9437200000011</v>
      </c>
      <c r="J384" s="348"/>
      <c r="K384" s="348"/>
      <c r="L384" s="348"/>
      <c r="M384" s="348"/>
      <c r="N384" s="251">
        <f>9255.33+0.11334</f>
        <v>9255.4433399999998</v>
      </c>
      <c r="O384" s="251">
        <f>8884.27-0.01</f>
        <v>8884.26</v>
      </c>
      <c r="P384" s="296" t="s">
        <v>246</v>
      </c>
      <c r="T384" s="214"/>
    </row>
    <row r="385" spans="1:17" s="84" customFormat="1" ht="34.799999999999997" x14ac:dyDescent="0.3">
      <c r="A385" s="316"/>
      <c r="B385" s="349"/>
      <c r="C385" s="318"/>
      <c r="D385" s="183" t="s">
        <v>1</v>
      </c>
      <c r="E385" s="120">
        <v>34122</v>
      </c>
      <c r="F385" s="135">
        <f t="shared" si="143"/>
        <v>11930.352940000001</v>
      </c>
      <c r="G385" s="120">
        <v>0</v>
      </c>
      <c r="H385" s="120">
        <v>0</v>
      </c>
      <c r="I385" s="302">
        <f>3387.06-0.00372</f>
        <v>3387.0562799999998</v>
      </c>
      <c r="J385" s="302"/>
      <c r="K385" s="302"/>
      <c r="L385" s="302"/>
      <c r="M385" s="302"/>
      <c r="N385" s="253">
        <f>3966.67-0.11334</f>
        <v>3966.5566600000002</v>
      </c>
      <c r="O385" s="253">
        <f>4576.73+0.01</f>
        <v>4576.74</v>
      </c>
      <c r="P385" s="296"/>
    </row>
    <row r="386" spans="1:17" s="84" customFormat="1" ht="52.2" x14ac:dyDescent="0.3">
      <c r="A386" s="316"/>
      <c r="B386" s="349"/>
      <c r="C386" s="318"/>
      <c r="D386" s="183" t="s">
        <v>47</v>
      </c>
      <c r="E386" s="120">
        <v>20473</v>
      </c>
      <c r="F386" s="135">
        <f t="shared" si="143"/>
        <v>0</v>
      </c>
      <c r="G386" s="120">
        <v>0</v>
      </c>
      <c r="H386" s="120">
        <v>0</v>
      </c>
      <c r="I386" s="297">
        <v>0</v>
      </c>
      <c r="J386" s="297"/>
      <c r="K386" s="297"/>
      <c r="L386" s="297"/>
      <c r="M386" s="297"/>
      <c r="N386" s="252">
        <v>0</v>
      </c>
      <c r="O386" s="252">
        <v>0</v>
      </c>
      <c r="P386" s="296"/>
    </row>
    <row r="387" spans="1:17" s="84" customFormat="1" ht="34.799999999999997" x14ac:dyDescent="0.3">
      <c r="A387" s="316"/>
      <c r="B387" s="349"/>
      <c r="C387" s="318"/>
      <c r="D387" s="183" t="s">
        <v>87</v>
      </c>
      <c r="E387" s="120"/>
      <c r="F387" s="135">
        <f t="shared" si="143"/>
        <v>0</v>
      </c>
      <c r="G387" s="120">
        <v>0</v>
      </c>
      <c r="H387" s="120">
        <v>0</v>
      </c>
      <c r="I387" s="281">
        <v>0</v>
      </c>
      <c r="J387" s="281"/>
      <c r="K387" s="281"/>
      <c r="L387" s="281"/>
      <c r="M387" s="281"/>
      <c r="N387" s="120">
        <v>0</v>
      </c>
      <c r="O387" s="120">
        <v>0</v>
      </c>
      <c r="P387" s="296"/>
    </row>
    <row r="388" spans="1:17" s="84" customFormat="1" ht="31.5" customHeight="1" x14ac:dyDescent="0.3">
      <c r="A388" s="316"/>
      <c r="B388" s="286" t="s">
        <v>261</v>
      </c>
      <c r="C388" s="288" t="s">
        <v>116</v>
      </c>
      <c r="D388" s="289" t="s">
        <v>116</v>
      </c>
      <c r="E388" s="228"/>
      <c r="F388" s="290">
        <f t="shared" si="143"/>
        <v>0</v>
      </c>
      <c r="G388" s="227" t="s">
        <v>214</v>
      </c>
      <c r="H388" s="227" t="s">
        <v>215</v>
      </c>
      <c r="I388" s="283" t="s">
        <v>123</v>
      </c>
      <c r="J388" s="284" t="s">
        <v>118</v>
      </c>
      <c r="K388" s="284"/>
      <c r="L388" s="284"/>
      <c r="M388" s="284"/>
      <c r="N388" s="227" t="s">
        <v>124</v>
      </c>
      <c r="O388" s="227" t="s">
        <v>125</v>
      </c>
      <c r="P388" s="295" t="s">
        <v>116</v>
      </c>
      <c r="Q388" s="88"/>
    </row>
    <row r="389" spans="1:17" s="84" customFormat="1" ht="25.8" customHeight="1" x14ac:dyDescent="0.3">
      <c r="A389" s="316"/>
      <c r="B389" s="286"/>
      <c r="C389" s="288"/>
      <c r="D389" s="289"/>
      <c r="E389" s="228"/>
      <c r="F389" s="290">
        <f t="shared" si="143"/>
        <v>0</v>
      </c>
      <c r="G389" s="228"/>
      <c r="H389" s="228"/>
      <c r="I389" s="283"/>
      <c r="J389" s="228" t="s">
        <v>119</v>
      </c>
      <c r="K389" s="228" t="s">
        <v>120</v>
      </c>
      <c r="L389" s="228" t="s">
        <v>121</v>
      </c>
      <c r="M389" s="228" t="s">
        <v>122</v>
      </c>
      <c r="N389" s="228"/>
      <c r="O389" s="228"/>
      <c r="P389" s="295"/>
      <c r="Q389" s="88"/>
    </row>
    <row r="390" spans="1:17" s="84" customFormat="1" ht="40.200000000000003" customHeight="1" x14ac:dyDescent="0.3">
      <c r="A390" s="316"/>
      <c r="B390" s="286"/>
      <c r="C390" s="288"/>
      <c r="D390" s="289"/>
      <c r="E390" s="228"/>
      <c r="F390" s="136">
        <f>I390</f>
        <v>31</v>
      </c>
      <c r="G390" s="121">
        <v>0</v>
      </c>
      <c r="H390" s="121">
        <v>0</v>
      </c>
      <c r="I390" s="121">
        <v>31</v>
      </c>
      <c r="J390" s="121">
        <v>31</v>
      </c>
      <c r="K390" s="121">
        <v>31</v>
      </c>
      <c r="L390" s="121">
        <v>31</v>
      </c>
      <c r="M390" s="121">
        <v>31</v>
      </c>
      <c r="N390" s="121">
        <v>31</v>
      </c>
      <c r="O390" s="121">
        <v>31</v>
      </c>
      <c r="P390" s="295"/>
      <c r="Q390" s="88"/>
    </row>
    <row r="391" spans="1:17" s="84" customFormat="1" ht="34.799999999999997" x14ac:dyDescent="0.3">
      <c r="A391" s="316" t="s">
        <v>276</v>
      </c>
      <c r="B391" s="349" t="s">
        <v>228</v>
      </c>
      <c r="C391" s="318" t="s">
        <v>248</v>
      </c>
      <c r="D391" s="183" t="s">
        <v>40</v>
      </c>
      <c r="E391" s="120">
        <v>0</v>
      </c>
      <c r="F391" s="254">
        <f t="shared" ref="F391:F396" si="150">SUM(G391:O391)</f>
        <v>793308</v>
      </c>
      <c r="G391" s="120">
        <v>0</v>
      </c>
      <c r="H391" s="120">
        <v>0</v>
      </c>
      <c r="I391" s="281">
        <v>264436</v>
      </c>
      <c r="J391" s="281"/>
      <c r="K391" s="281"/>
      <c r="L391" s="281"/>
      <c r="M391" s="281"/>
      <c r="N391" s="120">
        <v>264436</v>
      </c>
      <c r="O391" s="120">
        <v>264436</v>
      </c>
      <c r="P391" s="296" t="s">
        <v>246</v>
      </c>
    </row>
    <row r="392" spans="1:17" s="84" customFormat="1" ht="34.799999999999997" x14ac:dyDescent="0.3">
      <c r="A392" s="316"/>
      <c r="B392" s="349"/>
      <c r="C392" s="318"/>
      <c r="D392" s="183" t="s">
        <v>1</v>
      </c>
      <c r="E392" s="120">
        <v>0</v>
      </c>
      <c r="F392" s="254">
        <f t="shared" si="150"/>
        <v>0</v>
      </c>
      <c r="G392" s="120">
        <v>0</v>
      </c>
      <c r="H392" s="120">
        <v>0</v>
      </c>
      <c r="I392" s="281">
        <v>0</v>
      </c>
      <c r="J392" s="281"/>
      <c r="K392" s="281"/>
      <c r="L392" s="281"/>
      <c r="M392" s="281"/>
      <c r="N392" s="120">
        <v>0</v>
      </c>
      <c r="O392" s="120">
        <v>0</v>
      </c>
      <c r="P392" s="296"/>
    </row>
    <row r="393" spans="1:17" s="84" customFormat="1" ht="52.2" x14ac:dyDescent="0.3">
      <c r="A393" s="316"/>
      <c r="B393" s="349"/>
      <c r="C393" s="318"/>
      <c r="D393" s="183" t="s">
        <v>47</v>
      </c>
      <c r="E393" s="120">
        <v>0</v>
      </c>
      <c r="F393" s="254">
        <f t="shared" si="150"/>
        <v>0</v>
      </c>
      <c r="G393" s="120">
        <v>0</v>
      </c>
      <c r="H393" s="120">
        <v>0</v>
      </c>
      <c r="I393" s="281">
        <v>0</v>
      </c>
      <c r="J393" s="281"/>
      <c r="K393" s="281"/>
      <c r="L393" s="281"/>
      <c r="M393" s="281"/>
      <c r="N393" s="120">
        <v>0</v>
      </c>
      <c r="O393" s="120">
        <v>0</v>
      </c>
      <c r="P393" s="296"/>
    </row>
    <row r="394" spans="1:17" s="84" customFormat="1" ht="39.75" customHeight="1" x14ac:dyDescent="0.3">
      <c r="A394" s="316"/>
      <c r="B394" s="349"/>
      <c r="C394" s="318"/>
      <c r="D394" s="183" t="s">
        <v>87</v>
      </c>
      <c r="E394" s="120"/>
      <c r="F394" s="254">
        <f t="shared" si="150"/>
        <v>0</v>
      </c>
      <c r="G394" s="120">
        <v>0</v>
      </c>
      <c r="H394" s="120">
        <v>0</v>
      </c>
      <c r="I394" s="281">
        <v>0</v>
      </c>
      <c r="J394" s="281"/>
      <c r="K394" s="281"/>
      <c r="L394" s="281"/>
      <c r="M394" s="281"/>
      <c r="N394" s="120">
        <v>0</v>
      </c>
      <c r="O394" s="120">
        <v>0</v>
      </c>
      <c r="P394" s="296"/>
    </row>
    <row r="395" spans="1:17" s="84" customFormat="1" ht="33" customHeight="1" x14ac:dyDescent="0.3">
      <c r="A395" s="316"/>
      <c r="B395" s="287" t="s">
        <v>264</v>
      </c>
      <c r="C395" s="288" t="s">
        <v>116</v>
      </c>
      <c r="D395" s="289" t="s">
        <v>116</v>
      </c>
      <c r="E395" s="228"/>
      <c r="F395" s="290">
        <f t="shared" si="150"/>
        <v>0</v>
      </c>
      <c r="G395" s="227" t="s">
        <v>214</v>
      </c>
      <c r="H395" s="227" t="s">
        <v>215</v>
      </c>
      <c r="I395" s="283" t="s">
        <v>123</v>
      </c>
      <c r="J395" s="284" t="s">
        <v>118</v>
      </c>
      <c r="K395" s="284"/>
      <c r="L395" s="284"/>
      <c r="M395" s="284"/>
      <c r="N395" s="227" t="s">
        <v>124</v>
      </c>
      <c r="O395" s="227" t="s">
        <v>125</v>
      </c>
      <c r="P395" s="295" t="s">
        <v>116</v>
      </c>
      <c r="Q395" s="88"/>
    </row>
    <row r="396" spans="1:17" s="84" customFormat="1" ht="30" customHeight="1" x14ac:dyDescent="0.3">
      <c r="A396" s="316"/>
      <c r="B396" s="287"/>
      <c r="C396" s="288"/>
      <c r="D396" s="289"/>
      <c r="E396" s="228"/>
      <c r="F396" s="290">
        <f t="shared" si="150"/>
        <v>0</v>
      </c>
      <c r="G396" s="228"/>
      <c r="H396" s="228"/>
      <c r="I396" s="283"/>
      <c r="J396" s="228" t="s">
        <v>119</v>
      </c>
      <c r="K396" s="228" t="s">
        <v>120</v>
      </c>
      <c r="L396" s="228" t="s">
        <v>121</v>
      </c>
      <c r="M396" s="228" t="s">
        <v>122</v>
      </c>
      <c r="N396" s="228"/>
      <c r="O396" s="228"/>
      <c r="P396" s="295"/>
      <c r="Q396" s="88"/>
    </row>
    <row r="397" spans="1:17" s="84" customFormat="1" ht="37.799999999999997" customHeight="1" x14ac:dyDescent="0.3">
      <c r="A397" s="316"/>
      <c r="B397" s="287"/>
      <c r="C397" s="288"/>
      <c r="D397" s="289"/>
      <c r="E397" s="228"/>
      <c r="F397" s="136">
        <f>I397+N397+O397</f>
        <v>6654</v>
      </c>
      <c r="G397" s="121">
        <v>0</v>
      </c>
      <c r="H397" s="121">
        <v>0</v>
      </c>
      <c r="I397" s="121">
        <v>2218</v>
      </c>
      <c r="J397" s="121">
        <v>2218</v>
      </c>
      <c r="K397" s="121">
        <v>2218</v>
      </c>
      <c r="L397" s="121">
        <v>2218</v>
      </c>
      <c r="M397" s="121">
        <v>2218</v>
      </c>
      <c r="N397" s="121">
        <v>2218</v>
      </c>
      <c r="O397" s="121">
        <v>2218</v>
      </c>
      <c r="P397" s="295"/>
      <c r="Q397" s="88"/>
    </row>
    <row r="398" spans="1:17" s="84" customFormat="1" ht="36.75" customHeight="1" x14ac:dyDescent="0.3">
      <c r="A398" s="316" t="s">
        <v>277</v>
      </c>
      <c r="B398" s="317" t="s">
        <v>241</v>
      </c>
      <c r="C398" s="318" t="s">
        <v>248</v>
      </c>
      <c r="D398" s="183" t="s">
        <v>40</v>
      </c>
      <c r="E398" s="120">
        <v>0</v>
      </c>
      <c r="F398" s="254">
        <f t="shared" si="143"/>
        <v>8905.68</v>
      </c>
      <c r="G398" s="120">
        <v>0</v>
      </c>
      <c r="H398" s="120">
        <v>0</v>
      </c>
      <c r="I398" s="281">
        <v>2968.56</v>
      </c>
      <c r="J398" s="281"/>
      <c r="K398" s="281"/>
      <c r="L398" s="281"/>
      <c r="M398" s="281"/>
      <c r="N398" s="120">
        <v>2968.56</v>
      </c>
      <c r="O398" s="120">
        <v>2968.56</v>
      </c>
      <c r="P398" s="296" t="s">
        <v>246</v>
      </c>
    </row>
    <row r="399" spans="1:17" s="84" customFormat="1" ht="34.799999999999997" x14ac:dyDescent="0.3">
      <c r="A399" s="316"/>
      <c r="B399" s="317"/>
      <c r="C399" s="318"/>
      <c r="D399" s="183" t="s">
        <v>1</v>
      </c>
      <c r="E399" s="120">
        <v>0</v>
      </c>
      <c r="F399" s="254">
        <f t="shared" si="143"/>
        <v>0</v>
      </c>
      <c r="G399" s="120">
        <v>0</v>
      </c>
      <c r="H399" s="120">
        <v>0</v>
      </c>
      <c r="I399" s="281">
        <v>0</v>
      </c>
      <c r="J399" s="281"/>
      <c r="K399" s="281"/>
      <c r="L399" s="281"/>
      <c r="M399" s="281"/>
      <c r="N399" s="120">
        <v>0</v>
      </c>
      <c r="O399" s="120">
        <v>0</v>
      </c>
      <c r="P399" s="296"/>
    </row>
    <row r="400" spans="1:17" s="84" customFormat="1" ht="52.2" x14ac:dyDescent="0.3">
      <c r="A400" s="316"/>
      <c r="B400" s="317"/>
      <c r="C400" s="318"/>
      <c r="D400" s="183" t="s">
        <v>47</v>
      </c>
      <c r="E400" s="120">
        <v>0</v>
      </c>
      <c r="F400" s="254">
        <f t="shared" si="143"/>
        <v>0</v>
      </c>
      <c r="G400" s="120">
        <v>0</v>
      </c>
      <c r="H400" s="120">
        <v>0</v>
      </c>
      <c r="I400" s="281">
        <v>0</v>
      </c>
      <c r="J400" s="281"/>
      <c r="K400" s="281"/>
      <c r="L400" s="281"/>
      <c r="M400" s="281"/>
      <c r="N400" s="120">
        <v>0</v>
      </c>
      <c r="O400" s="120">
        <v>0</v>
      </c>
      <c r="P400" s="296"/>
    </row>
    <row r="401" spans="1:21" s="84" customFormat="1" ht="33.9" customHeight="1" x14ac:dyDescent="0.3">
      <c r="A401" s="316"/>
      <c r="B401" s="317"/>
      <c r="C401" s="318"/>
      <c r="D401" s="183" t="s">
        <v>87</v>
      </c>
      <c r="E401" s="120"/>
      <c r="F401" s="254">
        <f t="shared" si="143"/>
        <v>0</v>
      </c>
      <c r="G401" s="120">
        <v>0</v>
      </c>
      <c r="H401" s="120">
        <v>0</v>
      </c>
      <c r="I401" s="281">
        <v>0</v>
      </c>
      <c r="J401" s="281"/>
      <c r="K401" s="281"/>
      <c r="L401" s="281"/>
      <c r="M401" s="281"/>
      <c r="N401" s="120">
        <v>0</v>
      </c>
      <c r="O401" s="120">
        <v>0</v>
      </c>
      <c r="P401" s="296"/>
    </row>
    <row r="402" spans="1:21" s="84" customFormat="1" ht="36" customHeight="1" x14ac:dyDescent="0.3">
      <c r="A402" s="316"/>
      <c r="B402" s="287" t="s">
        <v>259</v>
      </c>
      <c r="C402" s="288" t="s">
        <v>116</v>
      </c>
      <c r="D402" s="289" t="s">
        <v>116</v>
      </c>
      <c r="E402" s="228"/>
      <c r="F402" s="290">
        <f t="shared" si="143"/>
        <v>0</v>
      </c>
      <c r="G402" s="227" t="s">
        <v>214</v>
      </c>
      <c r="H402" s="227" t="s">
        <v>215</v>
      </c>
      <c r="I402" s="283" t="s">
        <v>123</v>
      </c>
      <c r="J402" s="284" t="s">
        <v>118</v>
      </c>
      <c r="K402" s="284"/>
      <c r="L402" s="284"/>
      <c r="M402" s="284"/>
      <c r="N402" s="227" t="s">
        <v>124</v>
      </c>
      <c r="O402" s="227" t="s">
        <v>125</v>
      </c>
      <c r="P402" s="295" t="s">
        <v>116</v>
      </c>
      <c r="Q402" s="88"/>
    </row>
    <row r="403" spans="1:21" s="84" customFormat="1" ht="24" customHeight="1" x14ac:dyDescent="0.3">
      <c r="A403" s="316"/>
      <c r="B403" s="287"/>
      <c r="C403" s="288"/>
      <c r="D403" s="289"/>
      <c r="E403" s="228"/>
      <c r="F403" s="290">
        <f t="shared" si="143"/>
        <v>0</v>
      </c>
      <c r="G403" s="228"/>
      <c r="H403" s="228"/>
      <c r="I403" s="283"/>
      <c r="J403" s="228" t="s">
        <v>119</v>
      </c>
      <c r="K403" s="228" t="s">
        <v>120</v>
      </c>
      <c r="L403" s="228" t="s">
        <v>121</v>
      </c>
      <c r="M403" s="228" t="s">
        <v>122</v>
      </c>
      <c r="N403" s="228"/>
      <c r="O403" s="228"/>
      <c r="P403" s="295"/>
      <c r="Q403" s="88"/>
    </row>
    <row r="404" spans="1:21" s="84" customFormat="1" ht="22.5" customHeight="1" x14ac:dyDescent="0.3">
      <c r="A404" s="316"/>
      <c r="B404" s="287"/>
      <c r="C404" s="288"/>
      <c r="D404" s="289"/>
      <c r="E404" s="228"/>
      <c r="F404" s="136">
        <f>I404</f>
        <v>38</v>
      </c>
      <c r="G404" s="121">
        <v>0</v>
      </c>
      <c r="H404" s="121">
        <v>0</v>
      </c>
      <c r="I404" s="121">
        <v>38</v>
      </c>
      <c r="J404" s="121">
        <v>38</v>
      </c>
      <c r="K404" s="121">
        <v>38</v>
      </c>
      <c r="L404" s="121">
        <v>38</v>
      </c>
      <c r="M404" s="121">
        <v>38</v>
      </c>
      <c r="N404" s="121">
        <v>38</v>
      </c>
      <c r="O404" s="121">
        <v>38</v>
      </c>
      <c r="P404" s="295"/>
      <c r="Q404" s="88"/>
    </row>
    <row r="405" spans="1:21" s="9" customFormat="1" ht="39" customHeight="1" x14ac:dyDescent="0.3">
      <c r="A405" s="341" t="s">
        <v>181</v>
      </c>
      <c r="B405" s="342"/>
      <c r="C405" s="342"/>
      <c r="D405" s="342"/>
      <c r="E405" s="132" t="e">
        <f>E406+E407+E408+E411+E412</f>
        <v>#REF!</v>
      </c>
      <c r="F405" s="137">
        <f t="shared" si="143"/>
        <v>67598196.931679994</v>
      </c>
      <c r="G405" s="132">
        <f t="shared" ref="G405:H405" si="151">G406+G407+G408+G410</f>
        <v>12260123.436870003</v>
      </c>
      <c r="H405" s="132">
        <f t="shared" si="151"/>
        <v>12632199.85434</v>
      </c>
      <c r="I405" s="339">
        <f>I406+I407+I408+I410</f>
        <v>14589863.041610003</v>
      </c>
      <c r="J405" s="339"/>
      <c r="K405" s="339"/>
      <c r="L405" s="339"/>
      <c r="M405" s="339"/>
      <c r="N405" s="132">
        <f t="shared" ref="N405:O405" si="152">N406+N407+N408+N410</f>
        <v>14115576.153179999</v>
      </c>
      <c r="O405" s="132">
        <f t="shared" si="152"/>
        <v>14000434.44568</v>
      </c>
      <c r="P405" s="133"/>
      <c r="T405" s="45"/>
      <c r="U405" s="45"/>
    </row>
    <row r="406" spans="1:21" ht="21" x14ac:dyDescent="0.4">
      <c r="A406" s="343" t="s">
        <v>40</v>
      </c>
      <c r="B406" s="343"/>
      <c r="C406" s="343"/>
      <c r="D406" s="343"/>
      <c r="E406" s="48" t="e">
        <f>E330</f>
        <v>#REF!</v>
      </c>
      <c r="F406" s="137">
        <f t="shared" si="143"/>
        <v>2250090.6283799997</v>
      </c>
      <c r="G406" s="48">
        <f>G17+G156+G213+G244+G256+G306+G330+G356+G232+G318+G368+G380</f>
        <v>397968.84916999994</v>
      </c>
      <c r="H406" s="48">
        <f>H17+H156+H213+H244+H256+H306+H330+H356+H232+H318+H368+H380</f>
        <v>452366.90026000002</v>
      </c>
      <c r="I406" s="285">
        <f>I17+I156+I213+I244+I256+I306+I330+I356+I318+I380+I368+I232</f>
        <v>483501.89039999997</v>
      </c>
      <c r="J406" s="285"/>
      <c r="K406" s="285"/>
      <c r="L406" s="285"/>
      <c r="M406" s="285"/>
      <c r="N406" s="48">
        <f t="shared" ref="N406:O408" si="153">N17+N156+N213+N244+N256+N306+N330+N356+N322+N232+N318+N368+N380</f>
        <v>463826.77772000001</v>
      </c>
      <c r="O406" s="48">
        <f t="shared" si="153"/>
        <v>452426.21083</v>
      </c>
      <c r="P406" s="12"/>
      <c r="Q406" s="196">
        <f>I19</f>
        <v>4878264.3270500004</v>
      </c>
      <c r="R406" s="196">
        <f>I158</f>
        <v>69301.541599999997</v>
      </c>
      <c r="T406" s="46"/>
      <c r="U406" s="46"/>
    </row>
    <row r="407" spans="1:21" ht="21" x14ac:dyDescent="0.4">
      <c r="A407" s="343" t="s">
        <v>1</v>
      </c>
      <c r="B407" s="343"/>
      <c r="C407" s="343"/>
      <c r="D407" s="343"/>
      <c r="E407" s="48" t="e">
        <f>E18+#REF!+E157+E331+#REF!</f>
        <v>#REF!</v>
      </c>
      <c r="F407" s="137">
        <f t="shared" si="143"/>
        <v>40860646.95476</v>
      </c>
      <c r="G407" s="48">
        <f t="shared" ref="G407:H407" si="154">G18+G157+G214+G245+G257+G307+G331+G357+G233+G319+G369+G381</f>
        <v>7623266.1103000017</v>
      </c>
      <c r="H407" s="48">
        <f t="shared" si="154"/>
        <v>7789874.7873100005</v>
      </c>
      <c r="I407" s="285">
        <f>I18+I157+I214+I245+I257+I307+I331+I357+I319+I381+I369+I233</f>
        <v>8523341.6859500017</v>
      </c>
      <c r="J407" s="285"/>
      <c r="K407" s="285"/>
      <c r="L407" s="285"/>
      <c r="M407" s="285"/>
      <c r="N407" s="48">
        <f t="shared" si="153"/>
        <v>8508214.7220300008</v>
      </c>
      <c r="O407" s="48">
        <f t="shared" si="153"/>
        <v>8415949.6491700001</v>
      </c>
      <c r="P407" s="12"/>
      <c r="Q407" s="196">
        <f>I215</f>
        <v>8121.2744899999998</v>
      </c>
      <c r="R407" s="196">
        <f>I370</f>
        <v>243.39564000000018</v>
      </c>
      <c r="T407" s="46"/>
      <c r="U407" s="46"/>
    </row>
    <row r="408" spans="1:21" ht="21" x14ac:dyDescent="0.4">
      <c r="A408" s="343" t="s">
        <v>48</v>
      </c>
      <c r="B408" s="343"/>
      <c r="C408" s="343"/>
      <c r="D408" s="343"/>
      <c r="E408" s="48" t="e">
        <f>E19+E158+E215+E332+#REF!</f>
        <v>#REF!</v>
      </c>
      <c r="F408" s="137">
        <f t="shared" si="143"/>
        <v>21463413.48192</v>
      </c>
      <c r="G408" s="48">
        <f t="shared" ref="G408:H408" si="155">G19+G158+G215+G246+G258+G308+G332+G358+G234+G320+G370+G382</f>
        <v>3745756.7187200002</v>
      </c>
      <c r="H408" s="48">
        <f t="shared" si="155"/>
        <v>3740310.8382699997</v>
      </c>
      <c r="I408" s="285">
        <f>I19+I158+I215+I246+I258+I308+I332+I358+I320+I382+I370+I234</f>
        <v>4955930.5387800001</v>
      </c>
      <c r="J408" s="285"/>
      <c r="K408" s="285"/>
      <c r="L408" s="285"/>
      <c r="M408" s="285"/>
      <c r="N408" s="48">
        <f t="shared" si="153"/>
        <v>4516445.72695</v>
      </c>
      <c r="O408" s="48">
        <f t="shared" si="153"/>
        <v>4504969.6592000006</v>
      </c>
      <c r="P408" s="89"/>
      <c r="Q408" s="196">
        <f>I408</f>
        <v>4955930.5387800001</v>
      </c>
      <c r="T408" s="46"/>
      <c r="U408" s="46"/>
    </row>
    <row r="409" spans="1:21" x14ac:dyDescent="0.35">
      <c r="A409" s="406" t="s">
        <v>59</v>
      </c>
      <c r="B409" s="406"/>
      <c r="C409" s="406"/>
      <c r="D409" s="406"/>
      <c r="E409" s="91">
        <f>E99</f>
        <v>0</v>
      </c>
      <c r="F409" s="137">
        <f t="shared" si="143"/>
        <v>2798298</v>
      </c>
      <c r="G409" s="91">
        <f>G20</f>
        <v>413035</v>
      </c>
      <c r="H409" s="91">
        <f>H20</f>
        <v>493052</v>
      </c>
      <c r="I409" s="323">
        <f>I20</f>
        <v>630737</v>
      </c>
      <c r="J409" s="323"/>
      <c r="K409" s="323"/>
      <c r="L409" s="323"/>
      <c r="M409" s="323"/>
      <c r="N409" s="91">
        <f>N20</f>
        <v>630737</v>
      </c>
      <c r="O409" s="91">
        <f>O20</f>
        <v>630737</v>
      </c>
      <c r="P409" s="6"/>
      <c r="T409" s="46"/>
      <c r="U409" s="46"/>
    </row>
    <row r="410" spans="1:21" x14ac:dyDescent="0.35">
      <c r="A410" s="407" t="s">
        <v>87</v>
      </c>
      <c r="B410" s="407"/>
      <c r="C410" s="407"/>
      <c r="D410" s="407"/>
      <c r="E410" s="44"/>
      <c r="F410" s="137">
        <f t="shared" si="143"/>
        <v>3024045.8666199995</v>
      </c>
      <c r="G410" s="44">
        <f>G21+G159+G216+G247+G259+G309+G333+G359</f>
        <v>493131.75868000003</v>
      </c>
      <c r="H410" s="44">
        <f>H21+H159+H216+H247+H259+H309+H333+H359</f>
        <v>649647.32850000006</v>
      </c>
      <c r="I410" s="340">
        <f>I21+I159+I216+I247+I259+I309+I333+I359+I321</f>
        <v>627088.92647999991</v>
      </c>
      <c r="J410" s="340"/>
      <c r="K410" s="340"/>
      <c r="L410" s="340"/>
      <c r="M410" s="340"/>
      <c r="N410" s="44">
        <f>N21+N159+N216+N247+N259+N309+N333+N359</f>
        <v>627088.92647999991</v>
      </c>
      <c r="O410" s="44">
        <f>O21+O159+O216+O247+O259+O309+O333+O359</f>
        <v>627088.92647999991</v>
      </c>
      <c r="P410" s="6"/>
      <c r="T410" s="46"/>
      <c r="U410" s="46"/>
    </row>
    <row r="411" spans="1:21" x14ac:dyDescent="0.35">
      <c r="A411" s="406" t="s">
        <v>88</v>
      </c>
      <c r="B411" s="406"/>
      <c r="C411" s="406"/>
      <c r="D411" s="406"/>
      <c r="E411" s="91">
        <f>E22</f>
        <v>262352.43170000002</v>
      </c>
      <c r="F411" s="137">
        <f t="shared" si="143"/>
        <v>2902166.7026199996</v>
      </c>
      <c r="G411" s="91">
        <f t="shared" ref="G411:I412" si="156">G22</f>
        <v>469940.35668000003</v>
      </c>
      <c r="H411" s="91">
        <f t="shared" si="156"/>
        <v>625121.01850000001</v>
      </c>
      <c r="I411" s="323">
        <f t="shared" si="156"/>
        <v>602368.44247999997</v>
      </c>
      <c r="J411" s="323"/>
      <c r="K411" s="323"/>
      <c r="L411" s="323"/>
      <c r="M411" s="323"/>
      <c r="N411" s="91">
        <f>N22</f>
        <v>602368.44247999997</v>
      </c>
      <c r="O411" s="91">
        <f>O22</f>
        <v>602368.44247999997</v>
      </c>
      <c r="P411" s="6"/>
      <c r="T411" s="46"/>
      <c r="U411" s="46"/>
    </row>
    <row r="412" spans="1:21" x14ac:dyDescent="0.35">
      <c r="A412" s="406" t="s">
        <v>89</v>
      </c>
      <c r="B412" s="406"/>
      <c r="C412" s="406"/>
      <c r="D412" s="406"/>
      <c r="E412" s="91">
        <f>E23</f>
        <v>8751.5480000000007</v>
      </c>
      <c r="F412" s="137">
        <f t="shared" si="143"/>
        <v>121879.16399999999</v>
      </c>
      <c r="G412" s="91">
        <f t="shared" si="156"/>
        <v>23191.402000000002</v>
      </c>
      <c r="H412" s="91">
        <f t="shared" si="156"/>
        <v>24526.31</v>
      </c>
      <c r="I412" s="323">
        <f t="shared" si="156"/>
        <v>24720.484</v>
      </c>
      <c r="J412" s="323"/>
      <c r="K412" s="323"/>
      <c r="L412" s="323"/>
      <c r="M412" s="323"/>
      <c r="N412" s="91">
        <f>N23</f>
        <v>24720.484</v>
      </c>
      <c r="O412" s="91">
        <f>O23</f>
        <v>24720.484</v>
      </c>
      <c r="P412" s="6"/>
      <c r="T412" s="46"/>
      <c r="U412" s="46"/>
    </row>
    <row r="413" spans="1:21" ht="17.399999999999999" x14ac:dyDescent="0.3">
      <c r="A413" s="74"/>
      <c r="B413" s="74"/>
      <c r="C413" s="74"/>
      <c r="D413" s="190"/>
      <c r="E413" s="75"/>
      <c r="F413" s="138"/>
      <c r="G413" s="76"/>
      <c r="H413" s="76"/>
      <c r="I413" s="75"/>
      <c r="J413" s="75"/>
      <c r="K413" s="75"/>
      <c r="L413" s="75"/>
      <c r="M413" s="75"/>
      <c r="N413" s="77"/>
      <c r="O413" s="77"/>
      <c r="P413" s="78"/>
      <c r="T413" s="46"/>
      <c r="U413" s="46"/>
    </row>
    <row r="414" spans="1:21" x14ac:dyDescent="0.35">
      <c r="B414" s="404" t="s">
        <v>19</v>
      </c>
      <c r="C414" s="405"/>
      <c r="D414" s="405"/>
      <c r="E414" s="80" t="e">
        <f>#REF!</f>
        <v>#REF!</v>
      </c>
      <c r="F414" s="139">
        <f>SUM(I414:O414)</f>
        <v>0</v>
      </c>
      <c r="G414" s="80">
        <v>0</v>
      </c>
      <c r="H414" s="80">
        <v>0</v>
      </c>
      <c r="I414" s="336">
        <v>0</v>
      </c>
      <c r="J414" s="337"/>
      <c r="K414" s="337"/>
      <c r="L414" s="337"/>
      <c r="M414" s="338"/>
      <c r="N414" s="80">
        <v>0</v>
      </c>
      <c r="O414" s="80">
        <v>0</v>
      </c>
      <c r="P414" s="81"/>
      <c r="T414" s="46"/>
      <c r="U414" s="46"/>
    </row>
    <row r="415" spans="1:21" x14ac:dyDescent="0.35">
      <c r="B415" s="404" t="s">
        <v>21</v>
      </c>
      <c r="C415" s="405"/>
      <c r="D415" s="405"/>
      <c r="E415" s="80" t="e">
        <f>#REF!</f>
        <v>#REF!</v>
      </c>
      <c r="F415" s="139">
        <f>SUM(I415:O415)</f>
        <v>425618.27789999999</v>
      </c>
      <c r="G415" s="80">
        <f>150+19342+145735.24</f>
        <v>165227.24</v>
      </c>
      <c r="H415" s="80">
        <f>150+19342+145735.24</f>
        <v>165227.24</v>
      </c>
      <c r="I415" s="336">
        <v>95163.797900000005</v>
      </c>
      <c r="J415" s="337"/>
      <c r="K415" s="337"/>
      <c r="L415" s="337"/>
      <c r="M415" s="338"/>
      <c r="N415" s="80">
        <v>165227.24</v>
      </c>
      <c r="O415" s="80">
        <v>165227.24</v>
      </c>
      <c r="T415" s="46"/>
      <c r="U415" s="46"/>
    </row>
    <row r="416" spans="1:21" x14ac:dyDescent="0.35">
      <c r="B416" s="402" t="s">
        <v>20</v>
      </c>
      <c r="C416" s="403"/>
      <c r="D416" s="403"/>
      <c r="E416" s="82" t="e">
        <f>SUM(E414:E415)</f>
        <v>#REF!</v>
      </c>
      <c r="F416" s="139">
        <f t="shared" ref="F416:O416" si="157">SUM(F414:F415)</f>
        <v>425618.27789999999</v>
      </c>
      <c r="G416" s="82">
        <f t="shared" ref="G416" si="158">SUM(G414:G415)</f>
        <v>165227.24</v>
      </c>
      <c r="H416" s="82">
        <f t="shared" si="157"/>
        <v>165227.24</v>
      </c>
      <c r="I416" s="333">
        <f t="shared" ref="I416" si="159">SUM(I414:I415)</f>
        <v>95163.797900000005</v>
      </c>
      <c r="J416" s="334"/>
      <c r="K416" s="334"/>
      <c r="L416" s="334"/>
      <c r="M416" s="335"/>
      <c r="N416" s="82">
        <f t="shared" si="157"/>
        <v>165227.24</v>
      </c>
      <c r="O416" s="82">
        <f t="shared" si="157"/>
        <v>165227.24</v>
      </c>
      <c r="T416" s="46"/>
      <c r="U416" s="46"/>
    </row>
    <row r="417" spans="2:21" x14ac:dyDescent="0.35">
      <c r="B417" s="404" t="s">
        <v>61</v>
      </c>
      <c r="C417" s="405"/>
      <c r="D417" s="405"/>
      <c r="E417" s="80">
        <v>0</v>
      </c>
      <c r="F417" s="139">
        <f t="shared" ref="F417:F426" si="160">SUM(I417:O417)</f>
        <v>0</v>
      </c>
      <c r="G417" s="80">
        <v>0</v>
      </c>
      <c r="H417" s="80">
        <v>0</v>
      </c>
      <c r="I417" s="336">
        <v>0</v>
      </c>
      <c r="J417" s="337"/>
      <c r="K417" s="337"/>
      <c r="L417" s="337"/>
      <c r="M417" s="338"/>
      <c r="N417" s="80">
        <v>0</v>
      </c>
      <c r="O417" s="80">
        <v>0</v>
      </c>
      <c r="P417" s="83"/>
      <c r="T417" s="46"/>
      <c r="U417" s="46"/>
    </row>
    <row r="418" spans="2:21" x14ac:dyDescent="0.35">
      <c r="B418" s="404" t="s">
        <v>62</v>
      </c>
      <c r="C418" s="405"/>
      <c r="D418" s="405"/>
      <c r="E418" s="80">
        <v>0</v>
      </c>
      <c r="F418" s="139">
        <f t="shared" si="160"/>
        <v>20700</v>
      </c>
      <c r="G418" s="80">
        <v>6900</v>
      </c>
      <c r="H418" s="80">
        <v>6900</v>
      </c>
      <c r="I418" s="336">
        <v>6900</v>
      </c>
      <c r="J418" s="337"/>
      <c r="K418" s="337"/>
      <c r="L418" s="337"/>
      <c r="M418" s="338"/>
      <c r="N418" s="80">
        <v>6900</v>
      </c>
      <c r="O418" s="80">
        <v>6900</v>
      </c>
      <c r="P418" s="83"/>
      <c r="T418" s="46"/>
      <c r="U418" s="46"/>
    </row>
    <row r="419" spans="2:21" x14ac:dyDescent="0.35">
      <c r="B419" s="402" t="s">
        <v>63</v>
      </c>
      <c r="C419" s="403"/>
      <c r="D419" s="403"/>
      <c r="E419" s="82">
        <f>SUM(E417:E418)</f>
        <v>0</v>
      </c>
      <c r="F419" s="139">
        <f t="shared" si="160"/>
        <v>20700</v>
      </c>
      <c r="G419" s="82">
        <f>SUM(G417:G418)</f>
        <v>6900</v>
      </c>
      <c r="H419" s="82">
        <f>SUM(H417:H418)</f>
        <v>6900</v>
      </c>
      <c r="I419" s="333">
        <f>SUM(I417:I418)</f>
        <v>6900</v>
      </c>
      <c r="J419" s="334"/>
      <c r="K419" s="334"/>
      <c r="L419" s="334"/>
      <c r="M419" s="335"/>
      <c r="N419" s="82">
        <f>SUM(N417:N418)</f>
        <v>6900</v>
      </c>
      <c r="O419" s="82">
        <f>SUM(O417:O418)</f>
        <v>6900</v>
      </c>
      <c r="P419" s="83"/>
      <c r="T419" s="46"/>
      <c r="U419" s="46"/>
    </row>
    <row r="420" spans="2:21" x14ac:dyDescent="0.35">
      <c r="B420" s="404" t="s">
        <v>43</v>
      </c>
      <c r="C420" s="405"/>
      <c r="D420" s="405"/>
      <c r="E420" s="80" t="e">
        <f>E406</f>
        <v>#REF!</v>
      </c>
      <c r="F420" s="139">
        <f t="shared" si="160"/>
        <v>1399754.87895</v>
      </c>
      <c r="G420" s="80">
        <f>G406</f>
        <v>397968.84916999994</v>
      </c>
      <c r="H420" s="80">
        <f>H406</f>
        <v>452366.90026000002</v>
      </c>
      <c r="I420" s="336">
        <f>I406</f>
        <v>483501.89039999997</v>
      </c>
      <c r="J420" s="337"/>
      <c r="K420" s="337"/>
      <c r="L420" s="337"/>
      <c r="M420" s="338"/>
      <c r="N420" s="80">
        <f>N406</f>
        <v>463826.77772000001</v>
      </c>
      <c r="O420" s="80">
        <f>O406</f>
        <v>452426.21083</v>
      </c>
      <c r="T420" s="46"/>
      <c r="U420" s="46"/>
    </row>
    <row r="421" spans="2:21" x14ac:dyDescent="0.35">
      <c r="B421" s="404" t="s">
        <v>23</v>
      </c>
      <c r="C421" s="405"/>
      <c r="D421" s="405"/>
      <c r="E421" s="80" t="e">
        <f>E407-E414-E418</f>
        <v>#REF!</v>
      </c>
      <c r="F421" s="139">
        <f t="shared" si="160"/>
        <v>25426806.057150003</v>
      </c>
      <c r="G421" s="80">
        <f>G407-G414-G418</f>
        <v>7616366.1103000017</v>
      </c>
      <c r="H421" s="80">
        <f>H407-H414-H418</f>
        <v>7782974.7873100005</v>
      </c>
      <c r="I421" s="336">
        <f>I407-I414-I418</f>
        <v>8516441.6859500017</v>
      </c>
      <c r="J421" s="337"/>
      <c r="K421" s="337"/>
      <c r="L421" s="337"/>
      <c r="M421" s="338"/>
      <c r="N421" s="80">
        <f>N407-N414-N418</f>
        <v>8501314.7220300008</v>
      </c>
      <c r="O421" s="80">
        <f>O407-O414-O418</f>
        <v>8409049.6491700001</v>
      </c>
      <c r="T421" s="46"/>
      <c r="U421" s="46"/>
    </row>
    <row r="422" spans="2:21" x14ac:dyDescent="0.35">
      <c r="B422" s="404" t="s">
        <v>22</v>
      </c>
      <c r="C422" s="405"/>
      <c r="D422" s="405"/>
      <c r="E422" s="80" t="e">
        <f>E408-E415-E417</f>
        <v>#REF!</v>
      </c>
      <c r="F422" s="139">
        <f t="shared" si="160"/>
        <v>13551727.64703</v>
      </c>
      <c r="G422" s="80">
        <f>G408-G415-G417</f>
        <v>3580529.47872</v>
      </c>
      <c r="H422" s="80">
        <f>H408-H415-H417</f>
        <v>3575083.59827</v>
      </c>
      <c r="I422" s="336">
        <f>I408-I415-I417</f>
        <v>4860766.7408800004</v>
      </c>
      <c r="J422" s="337"/>
      <c r="K422" s="337"/>
      <c r="L422" s="337"/>
      <c r="M422" s="338"/>
      <c r="N422" s="80">
        <f>N408-N415-N417</f>
        <v>4351218.4869499998</v>
      </c>
      <c r="O422" s="80">
        <f>O408-O415-O417</f>
        <v>4339742.4192000004</v>
      </c>
      <c r="T422" s="46"/>
      <c r="U422" s="46"/>
    </row>
    <row r="423" spans="2:21" x14ac:dyDescent="0.35">
      <c r="B423" s="404" t="s">
        <v>87</v>
      </c>
      <c r="C423" s="405"/>
      <c r="D423" s="408"/>
      <c r="E423" s="80"/>
      <c r="F423" s="139">
        <f t="shared" si="160"/>
        <v>1881266.7794400002</v>
      </c>
      <c r="G423" s="80">
        <f t="shared" ref="G423:H423" si="161">G424+G425</f>
        <v>493131.75868000003</v>
      </c>
      <c r="H423" s="80">
        <f t="shared" si="161"/>
        <v>649647.32850000006</v>
      </c>
      <c r="I423" s="336">
        <f>I424+I425</f>
        <v>627088.92648000002</v>
      </c>
      <c r="J423" s="337"/>
      <c r="K423" s="337"/>
      <c r="L423" s="337"/>
      <c r="M423" s="338"/>
      <c r="N423" s="80">
        <f t="shared" ref="N423:O423" si="162">N424+N425</f>
        <v>627088.92648000002</v>
      </c>
      <c r="O423" s="80">
        <f t="shared" si="162"/>
        <v>627088.92648000002</v>
      </c>
      <c r="T423" s="46"/>
      <c r="U423" s="46"/>
    </row>
    <row r="424" spans="2:21" x14ac:dyDescent="0.35">
      <c r="B424" s="404" t="s">
        <v>88</v>
      </c>
      <c r="C424" s="405"/>
      <c r="D424" s="405"/>
      <c r="E424" s="80">
        <f>E411</f>
        <v>262352.43170000002</v>
      </c>
      <c r="F424" s="139">
        <f t="shared" si="160"/>
        <v>1807105.3274399999</v>
      </c>
      <c r="G424" s="80">
        <f t="shared" ref="G424:H425" si="163">G411</f>
        <v>469940.35668000003</v>
      </c>
      <c r="H424" s="80">
        <f t="shared" si="163"/>
        <v>625121.01850000001</v>
      </c>
      <c r="I424" s="336">
        <f>I411</f>
        <v>602368.44247999997</v>
      </c>
      <c r="J424" s="337"/>
      <c r="K424" s="337"/>
      <c r="L424" s="337"/>
      <c r="M424" s="338"/>
      <c r="N424" s="80">
        <f t="shared" ref="N424:O425" si="164">N411</f>
        <v>602368.44247999997</v>
      </c>
      <c r="O424" s="80">
        <f t="shared" si="164"/>
        <v>602368.44247999997</v>
      </c>
      <c r="T424" s="46"/>
      <c r="U424" s="46"/>
    </row>
    <row r="425" spans="2:21" x14ac:dyDescent="0.35">
      <c r="B425" s="404" t="s">
        <v>89</v>
      </c>
      <c r="C425" s="405"/>
      <c r="D425" s="405"/>
      <c r="E425" s="80">
        <f>E412</f>
        <v>8751.5480000000007</v>
      </c>
      <c r="F425" s="139">
        <f t="shared" si="160"/>
        <v>74161.452000000005</v>
      </c>
      <c r="G425" s="80">
        <f t="shared" si="163"/>
        <v>23191.402000000002</v>
      </c>
      <c r="H425" s="80">
        <f t="shared" si="163"/>
        <v>24526.31</v>
      </c>
      <c r="I425" s="336">
        <f>I412</f>
        <v>24720.484</v>
      </c>
      <c r="J425" s="337"/>
      <c r="K425" s="337"/>
      <c r="L425" s="337"/>
      <c r="M425" s="338"/>
      <c r="N425" s="80">
        <f t="shared" si="164"/>
        <v>24720.484</v>
      </c>
      <c r="O425" s="80">
        <f t="shared" si="164"/>
        <v>24720.484</v>
      </c>
      <c r="T425" s="46"/>
      <c r="U425" s="46"/>
    </row>
    <row r="426" spans="2:21" x14ac:dyDescent="0.35">
      <c r="B426" s="402" t="s">
        <v>24</v>
      </c>
      <c r="C426" s="403"/>
      <c r="D426" s="403"/>
      <c r="E426" s="82" t="e">
        <f t="shared" ref="E426" si="165">SUM(E420:E425)</f>
        <v>#REF!</v>
      </c>
      <c r="F426" s="139">
        <f t="shared" si="160"/>
        <v>42259555.362570003</v>
      </c>
      <c r="G426" s="82">
        <f t="shared" ref="G426:H426" si="166">G420+G421+G422+G423</f>
        <v>12087996.196870003</v>
      </c>
      <c r="H426" s="82">
        <f t="shared" si="166"/>
        <v>12460072.614340002</v>
      </c>
      <c r="I426" s="333">
        <f>I420+I421+I422+I423</f>
        <v>14487799.243710002</v>
      </c>
      <c r="J426" s="334"/>
      <c r="K426" s="334"/>
      <c r="L426" s="334"/>
      <c r="M426" s="335"/>
      <c r="N426" s="82">
        <f t="shared" ref="N426:O426" si="167">N420+N421+N422+N423</f>
        <v>13943448.913180003</v>
      </c>
      <c r="O426" s="82">
        <f t="shared" si="167"/>
        <v>13828307.20568</v>
      </c>
      <c r="T426" s="46"/>
      <c r="U426" s="46"/>
    </row>
    <row r="427" spans="2:21" x14ac:dyDescent="0.35">
      <c r="F427" s="140"/>
    </row>
    <row r="428" spans="2:21" x14ac:dyDescent="0.35">
      <c r="F428" s="141"/>
      <c r="G428" s="81"/>
      <c r="H428" s="81"/>
      <c r="I428" s="81"/>
      <c r="J428" s="81"/>
      <c r="K428" s="81"/>
      <c r="L428" s="81"/>
      <c r="M428" s="81"/>
      <c r="N428" s="81"/>
      <c r="O428" s="81"/>
    </row>
    <row r="429" spans="2:21" x14ac:dyDescent="0.35">
      <c r="G429" s="85"/>
      <c r="H429" s="85"/>
      <c r="N429" s="87"/>
      <c r="O429" s="87"/>
    </row>
    <row r="430" spans="2:21" x14ac:dyDescent="0.35">
      <c r="G430" s="85"/>
      <c r="H430" s="85"/>
      <c r="I430" s="81"/>
      <c r="J430" s="81"/>
      <c r="K430" s="81"/>
      <c r="L430" s="81"/>
      <c r="M430" s="81"/>
    </row>
    <row r="431" spans="2:21" x14ac:dyDescent="0.35">
      <c r="G431" s="85"/>
      <c r="H431" s="85"/>
    </row>
    <row r="432" spans="2:21" x14ac:dyDescent="0.35">
      <c r="G432" s="86"/>
      <c r="H432" s="86"/>
      <c r="N432" s="86"/>
    </row>
    <row r="433" spans="7:8" x14ac:dyDescent="0.35">
      <c r="G433" s="86"/>
      <c r="H433" s="86"/>
    </row>
    <row r="435" spans="7:8" x14ac:dyDescent="0.35">
      <c r="G435" s="88"/>
      <c r="H435" s="88"/>
    </row>
    <row r="436" spans="7:8" x14ac:dyDescent="0.35">
      <c r="G436" s="88"/>
      <c r="H436" s="88"/>
    </row>
    <row r="437" spans="7:8" x14ac:dyDescent="0.35">
      <c r="G437" s="88"/>
      <c r="H437" s="88"/>
    </row>
  </sheetData>
  <mergeCells count="862">
    <mergeCell ref="A212:A216"/>
    <mergeCell ref="A198:A204"/>
    <mergeCell ref="A155:A159"/>
    <mergeCell ref="C103:C105"/>
    <mergeCell ref="A120:A126"/>
    <mergeCell ref="A127:A133"/>
    <mergeCell ref="A134:A140"/>
    <mergeCell ref="A113:A119"/>
    <mergeCell ref="A73:A79"/>
    <mergeCell ref="B73:B76"/>
    <mergeCell ref="C73:C76"/>
    <mergeCell ref="B80:B85"/>
    <mergeCell ref="B103:B105"/>
    <mergeCell ref="C117:C119"/>
    <mergeCell ref="B110:B112"/>
    <mergeCell ref="I135:M135"/>
    <mergeCell ref="I136:M136"/>
    <mergeCell ref="F117:F118"/>
    <mergeCell ref="I97:M97"/>
    <mergeCell ref="J93:M93"/>
    <mergeCell ref="F221:F222"/>
    <mergeCell ref="I31:M31"/>
    <mergeCell ref="F70:F71"/>
    <mergeCell ref="I26:M26"/>
    <mergeCell ref="J28:M28"/>
    <mergeCell ref="I73:M73"/>
    <mergeCell ref="I160:M160"/>
    <mergeCell ref="I167:M167"/>
    <mergeCell ref="I32:M32"/>
    <mergeCell ref="F228:F229"/>
    <mergeCell ref="I228:I229"/>
    <mergeCell ref="I233:M233"/>
    <mergeCell ref="I234:M234"/>
    <mergeCell ref="I226:M226"/>
    <mergeCell ref="I238:M238"/>
    <mergeCell ref="I237:M237"/>
    <mergeCell ref="F138:F139"/>
    <mergeCell ref="I138:I139"/>
    <mergeCell ref="J138:M138"/>
    <mergeCell ref="I175:M175"/>
    <mergeCell ref="I157:M157"/>
    <mergeCell ref="I162:M162"/>
    <mergeCell ref="J164:M164"/>
    <mergeCell ref="F145:F146"/>
    <mergeCell ref="D209:D211"/>
    <mergeCell ref="F195:F196"/>
    <mergeCell ref="J228:M228"/>
    <mergeCell ref="I225:M225"/>
    <mergeCell ref="I170:M170"/>
    <mergeCell ref="A191:A197"/>
    <mergeCell ref="A141:A147"/>
    <mergeCell ref="C205:C208"/>
    <mergeCell ref="A174:A183"/>
    <mergeCell ref="B164:B166"/>
    <mergeCell ref="A160:A166"/>
    <mergeCell ref="A167:A173"/>
    <mergeCell ref="C174:C177"/>
    <mergeCell ref="C184:C187"/>
    <mergeCell ref="C195:C197"/>
    <mergeCell ref="D195:D197"/>
    <mergeCell ref="B155:B159"/>
    <mergeCell ref="B160:B163"/>
    <mergeCell ref="I158:M158"/>
    <mergeCell ref="J171:M171"/>
    <mergeCell ref="I155:M155"/>
    <mergeCell ref="B224:B227"/>
    <mergeCell ref="I168:M168"/>
    <mergeCell ref="I171:I172"/>
    <mergeCell ref="F49:F50"/>
    <mergeCell ref="C59:C62"/>
    <mergeCell ref="I89:M89"/>
    <mergeCell ref="I81:M81"/>
    <mergeCell ref="I60:M60"/>
    <mergeCell ref="I83:M83"/>
    <mergeCell ref="I82:M82"/>
    <mergeCell ref="C70:C72"/>
    <mergeCell ref="D70:D72"/>
    <mergeCell ref="F63:F64"/>
    <mergeCell ref="D63:D65"/>
    <mergeCell ref="B167:B170"/>
    <mergeCell ref="C96:C102"/>
    <mergeCell ref="A80:A88"/>
    <mergeCell ref="A66:A72"/>
    <mergeCell ref="F124:F125"/>
    <mergeCell ref="C89:C92"/>
    <mergeCell ref="B70:B72"/>
    <mergeCell ref="C171:C173"/>
    <mergeCell ref="B202:B204"/>
    <mergeCell ref="D145:D147"/>
    <mergeCell ref="A106:A112"/>
    <mergeCell ref="B117:B119"/>
    <mergeCell ref="B113:B116"/>
    <mergeCell ref="B141:B144"/>
    <mergeCell ref="C181:C183"/>
    <mergeCell ref="D181:D183"/>
    <mergeCell ref="D171:D173"/>
    <mergeCell ref="B134:B137"/>
    <mergeCell ref="C134:C137"/>
    <mergeCell ref="F164:F165"/>
    <mergeCell ref="F171:F172"/>
    <mergeCell ref="C141:C144"/>
    <mergeCell ref="B145:B147"/>
    <mergeCell ref="C145:C147"/>
    <mergeCell ref="A205:A211"/>
    <mergeCell ref="A217:A223"/>
    <mergeCell ref="B217:B220"/>
    <mergeCell ref="B221:B223"/>
    <mergeCell ref="B174:B177"/>
    <mergeCell ref="D188:D190"/>
    <mergeCell ref="F103:F104"/>
    <mergeCell ref="B96:B102"/>
    <mergeCell ref="D93:D95"/>
    <mergeCell ref="A96:A105"/>
    <mergeCell ref="B184:B187"/>
    <mergeCell ref="A184:A190"/>
    <mergeCell ref="C167:C170"/>
    <mergeCell ref="C164:C166"/>
    <mergeCell ref="B120:B123"/>
    <mergeCell ref="C120:C123"/>
    <mergeCell ref="B138:B140"/>
    <mergeCell ref="C138:C140"/>
    <mergeCell ref="B124:B126"/>
    <mergeCell ref="C178:C180"/>
    <mergeCell ref="D178:D180"/>
    <mergeCell ref="C160:C163"/>
    <mergeCell ref="C124:C126"/>
    <mergeCell ref="D124:D126"/>
    <mergeCell ref="F240:F241"/>
    <mergeCell ref="I240:I241"/>
    <mergeCell ref="J240:M240"/>
    <mergeCell ref="I248:M248"/>
    <mergeCell ref="B106:B109"/>
    <mergeCell ref="C106:C109"/>
    <mergeCell ref="I103:I104"/>
    <mergeCell ref="I99:M99"/>
    <mergeCell ref="I188:I189"/>
    <mergeCell ref="I202:I203"/>
    <mergeCell ref="J202:M202"/>
    <mergeCell ref="I195:I196"/>
    <mergeCell ref="I227:M227"/>
    <mergeCell ref="I207:M207"/>
    <mergeCell ref="I208:M208"/>
    <mergeCell ref="I198:M198"/>
    <mergeCell ref="I205:M205"/>
    <mergeCell ref="I206:M206"/>
    <mergeCell ref="I221:I222"/>
    <mergeCell ref="F202:F203"/>
    <mergeCell ref="I199:M199"/>
    <mergeCell ref="I200:M200"/>
    <mergeCell ref="J195:M195"/>
    <mergeCell ref="F209:F210"/>
    <mergeCell ref="I257:M257"/>
    <mergeCell ref="I258:M258"/>
    <mergeCell ref="I250:M250"/>
    <mergeCell ref="I249:M249"/>
    <mergeCell ref="D252:D254"/>
    <mergeCell ref="I245:M245"/>
    <mergeCell ref="I244:M244"/>
    <mergeCell ref="I247:M247"/>
    <mergeCell ref="I252:I253"/>
    <mergeCell ref="I251:M251"/>
    <mergeCell ref="B426:D426"/>
    <mergeCell ref="A408:D408"/>
    <mergeCell ref="A407:D407"/>
    <mergeCell ref="B424:D424"/>
    <mergeCell ref="B425:D425"/>
    <mergeCell ref="B415:D415"/>
    <mergeCell ref="B414:D414"/>
    <mergeCell ref="B416:D416"/>
    <mergeCell ref="A412:D412"/>
    <mergeCell ref="A411:D411"/>
    <mergeCell ref="B422:D422"/>
    <mergeCell ref="B421:D421"/>
    <mergeCell ref="B417:D417"/>
    <mergeCell ref="B418:D418"/>
    <mergeCell ref="B419:D419"/>
    <mergeCell ref="A409:D409"/>
    <mergeCell ref="A410:D410"/>
    <mergeCell ref="B423:D423"/>
    <mergeCell ref="B420:D420"/>
    <mergeCell ref="B329:B333"/>
    <mergeCell ref="A291:A297"/>
    <mergeCell ref="A317:A321"/>
    <mergeCell ref="A322:A328"/>
    <mergeCell ref="B322:B325"/>
    <mergeCell ref="B317:B321"/>
    <mergeCell ref="D221:D223"/>
    <mergeCell ref="D228:D230"/>
    <mergeCell ref="A329:A333"/>
    <mergeCell ref="C252:C254"/>
    <mergeCell ref="C243:C247"/>
    <mergeCell ref="C248:C251"/>
    <mergeCell ref="B277:B280"/>
    <mergeCell ref="B284:B287"/>
    <mergeCell ref="B281:B283"/>
    <mergeCell ref="B288:B290"/>
    <mergeCell ref="B291:B294"/>
    <mergeCell ref="B305:B309"/>
    <mergeCell ref="A298:A304"/>
    <mergeCell ref="B302:B304"/>
    <mergeCell ref="B326:B328"/>
    <mergeCell ref="A305:A309"/>
    <mergeCell ref="C255:C259"/>
    <mergeCell ref="A355:A359"/>
    <mergeCell ref="B341:B344"/>
    <mergeCell ref="B338:B340"/>
    <mergeCell ref="B345:B347"/>
    <mergeCell ref="A341:A347"/>
    <mergeCell ref="B355:B359"/>
    <mergeCell ref="A334:A340"/>
    <mergeCell ref="C345:C347"/>
    <mergeCell ref="C348:C351"/>
    <mergeCell ref="C341:C344"/>
    <mergeCell ref="B352:B354"/>
    <mergeCell ref="B334:B337"/>
    <mergeCell ref="B348:B351"/>
    <mergeCell ref="A348:A354"/>
    <mergeCell ref="C352:C354"/>
    <mergeCell ref="C338:C340"/>
    <mergeCell ref="B264:B266"/>
    <mergeCell ref="B260:B263"/>
    <mergeCell ref="A255:A259"/>
    <mergeCell ref="B228:B230"/>
    <mergeCell ref="B274:B276"/>
    <mergeCell ref="B236:B239"/>
    <mergeCell ref="B240:B242"/>
    <mergeCell ref="B270:B273"/>
    <mergeCell ref="A236:A242"/>
    <mergeCell ref="A260:A269"/>
    <mergeCell ref="B267:B269"/>
    <mergeCell ref="A270:A276"/>
    <mergeCell ref="B248:B251"/>
    <mergeCell ref="B252:B254"/>
    <mergeCell ref="B243:B247"/>
    <mergeCell ref="B255:B259"/>
    <mergeCell ref="A248:A254"/>
    <mergeCell ref="B231:B235"/>
    <mergeCell ref="A231:A235"/>
    <mergeCell ref="A243:A247"/>
    <mergeCell ref="A224:A230"/>
    <mergeCell ref="A35:A37"/>
    <mergeCell ref="A45:A51"/>
    <mergeCell ref="B38:B41"/>
    <mergeCell ref="C52:C55"/>
    <mergeCell ref="A38:A44"/>
    <mergeCell ref="C45:C48"/>
    <mergeCell ref="C49:C51"/>
    <mergeCell ref="A59:A65"/>
    <mergeCell ref="A89:A95"/>
    <mergeCell ref="B52:B55"/>
    <mergeCell ref="B56:B58"/>
    <mergeCell ref="C66:C69"/>
    <mergeCell ref="B93:B95"/>
    <mergeCell ref="C93:C95"/>
    <mergeCell ref="B63:B65"/>
    <mergeCell ref="B49:B51"/>
    <mergeCell ref="B45:B48"/>
    <mergeCell ref="B89:B92"/>
    <mergeCell ref="B59:B62"/>
    <mergeCell ref="A31:A34"/>
    <mergeCell ref="B66:B69"/>
    <mergeCell ref="B31:B34"/>
    <mergeCell ref="C38:C41"/>
    <mergeCell ref="B42:B44"/>
    <mergeCell ref="D49:D51"/>
    <mergeCell ref="C63:C65"/>
    <mergeCell ref="B181:B183"/>
    <mergeCell ref="D103:D105"/>
    <mergeCell ref="D77:D79"/>
    <mergeCell ref="D138:D140"/>
    <mergeCell ref="C80:C85"/>
    <mergeCell ref="C110:C112"/>
    <mergeCell ref="D110:D112"/>
    <mergeCell ref="D117:D119"/>
    <mergeCell ref="C113:C116"/>
    <mergeCell ref="A52:A58"/>
    <mergeCell ref="C31:C34"/>
    <mergeCell ref="D164:D166"/>
    <mergeCell ref="C155:C159"/>
    <mergeCell ref="B35:B37"/>
    <mergeCell ref="C35:C37"/>
    <mergeCell ref="C56:C58"/>
    <mergeCell ref="B171:B173"/>
    <mergeCell ref="P31:P34"/>
    <mergeCell ref="D35:D37"/>
    <mergeCell ref="I35:I36"/>
    <mergeCell ref="J35:M35"/>
    <mergeCell ref="I33:M33"/>
    <mergeCell ref="I34:M34"/>
    <mergeCell ref="P145:P147"/>
    <mergeCell ref="P155:P159"/>
    <mergeCell ref="P124:P126"/>
    <mergeCell ref="I141:M141"/>
    <mergeCell ref="P141:P144"/>
    <mergeCell ref="I142:M142"/>
    <mergeCell ref="I143:M143"/>
    <mergeCell ref="P52:P55"/>
    <mergeCell ref="I67:M67"/>
    <mergeCell ref="I68:M68"/>
    <mergeCell ref="I69:M69"/>
    <mergeCell ref="I63:I64"/>
    <mergeCell ref="J63:M63"/>
    <mergeCell ref="I66:M66"/>
    <mergeCell ref="P59:P62"/>
    <mergeCell ref="P89:P92"/>
    <mergeCell ref="P35:P37"/>
    <mergeCell ref="P86:P88"/>
    <mergeCell ref="I40:M40"/>
    <mergeCell ref="I38:M38"/>
    <mergeCell ref="I49:I50"/>
    <mergeCell ref="J49:M49"/>
    <mergeCell ref="I61:M61"/>
    <mergeCell ref="I77:I78"/>
    <mergeCell ref="J77:M77"/>
    <mergeCell ref="P38:P41"/>
    <mergeCell ref="I39:M39"/>
    <mergeCell ref="P70:P72"/>
    <mergeCell ref="I70:I71"/>
    <mergeCell ref="J70:M70"/>
    <mergeCell ref="I56:I57"/>
    <mergeCell ref="P66:P69"/>
    <mergeCell ref="I46:M46"/>
    <mergeCell ref="I62:M62"/>
    <mergeCell ref="P77:P79"/>
    <mergeCell ref="I85:M85"/>
    <mergeCell ref="B77:B79"/>
    <mergeCell ref="C77:C79"/>
    <mergeCell ref="F110:F111"/>
    <mergeCell ref="B86:B88"/>
    <mergeCell ref="D86:D88"/>
    <mergeCell ref="P80:P85"/>
    <mergeCell ref="I55:M55"/>
    <mergeCell ref="I54:M54"/>
    <mergeCell ref="P73:P76"/>
    <mergeCell ref="I74:M74"/>
    <mergeCell ref="I75:M75"/>
    <mergeCell ref="I76:M76"/>
    <mergeCell ref="I98:M98"/>
    <mergeCell ref="F77:F78"/>
    <mergeCell ref="I93:I94"/>
    <mergeCell ref="I92:M92"/>
    <mergeCell ref="I91:M91"/>
    <mergeCell ref="I96:M96"/>
    <mergeCell ref="F56:F57"/>
    <mergeCell ref="F93:F94"/>
    <mergeCell ref="A16:A23"/>
    <mergeCell ref="B16:B23"/>
    <mergeCell ref="C16:C23"/>
    <mergeCell ref="D11:D13"/>
    <mergeCell ref="G11:O12"/>
    <mergeCell ref="A24:A30"/>
    <mergeCell ref="F28:F29"/>
    <mergeCell ref="I28:I29"/>
    <mergeCell ref="I25:M25"/>
    <mergeCell ref="I24:M24"/>
    <mergeCell ref="I27:M27"/>
    <mergeCell ref="C28:C30"/>
    <mergeCell ref="D28:D30"/>
    <mergeCell ref="B28:B30"/>
    <mergeCell ref="E6:M6"/>
    <mergeCell ref="C24:C27"/>
    <mergeCell ref="B24:B27"/>
    <mergeCell ref="P24:P27"/>
    <mergeCell ref="P11:P13"/>
    <mergeCell ref="B11:B13"/>
    <mergeCell ref="N6:P6"/>
    <mergeCell ref="B9:O9"/>
    <mergeCell ref="I18:M18"/>
    <mergeCell ref="E11:E13"/>
    <mergeCell ref="P16:P23"/>
    <mergeCell ref="I13:M13"/>
    <mergeCell ref="I21:M21"/>
    <mergeCell ref="I17:M17"/>
    <mergeCell ref="I16:M16"/>
    <mergeCell ref="I14:M14"/>
    <mergeCell ref="I23:M23"/>
    <mergeCell ref="I22:M22"/>
    <mergeCell ref="A15:P15"/>
    <mergeCell ref="C11:C13"/>
    <mergeCell ref="I20:M20"/>
    <mergeCell ref="I19:M19"/>
    <mergeCell ref="A11:A13"/>
    <mergeCell ref="F11:F13"/>
    <mergeCell ref="C42:C44"/>
    <mergeCell ref="D42:D44"/>
    <mergeCell ref="F42:F43"/>
    <mergeCell ref="I42:I43"/>
    <mergeCell ref="J42:M42"/>
    <mergeCell ref="C231:C235"/>
    <mergeCell ref="C264:C266"/>
    <mergeCell ref="C221:C223"/>
    <mergeCell ref="C224:C227"/>
    <mergeCell ref="C236:C239"/>
    <mergeCell ref="C260:C263"/>
    <mergeCell ref="C228:C230"/>
    <mergeCell ref="D202:D204"/>
    <mergeCell ref="C240:C242"/>
    <mergeCell ref="F252:F253"/>
    <mergeCell ref="D240:D242"/>
    <mergeCell ref="I246:M246"/>
    <mergeCell ref="I48:M48"/>
    <mergeCell ref="I120:M120"/>
    <mergeCell ref="I116:M116"/>
    <mergeCell ref="J103:M103"/>
    <mergeCell ref="F86:F87"/>
    <mergeCell ref="I86:I87"/>
    <mergeCell ref="J86:M86"/>
    <mergeCell ref="P28:P30"/>
    <mergeCell ref="I45:M45"/>
    <mergeCell ref="I41:M41"/>
    <mergeCell ref="C86:C88"/>
    <mergeCell ref="D56:D58"/>
    <mergeCell ref="P49:P51"/>
    <mergeCell ref="I100:M100"/>
    <mergeCell ref="I101:M101"/>
    <mergeCell ref="I102:M102"/>
    <mergeCell ref="P56:P58"/>
    <mergeCell ref="I59:M59"/>
    <mergeCell ref="I52:M52"/>
    <mergeCell ref="P93:P95"/>
    <mergeCell ref="P63:P65"/>
    <mergeCell ref="I53:M53"/>
    <mergeCell ref="J56:M56"/>
    <mergeCell ref="I80:M80"/>
    <mergeCell ref="P96:P102"/>
    <mergeCell ref="I90:M90"/>
    <mergeCell ref="I84:M84"/>
    <mergeCell ref="P42:P44"/>
    <mergeCell ref="I47:M47"/>
    <mergeCell ref="P45:P48"/>
    <mergeCell ref="F35:F36"/>
    <mergeCell ref="B298:B301"/>
    <mergeCell ref="B295:B297"/>
    <mergeCell ref="B310:B313"/>
    <mergeCell ref="B314:B316"/>
    <mergeCell ref="A277:A283"/>
    <mergeCell ref="A284:A290"/>
    <mergeCell ref="P317:P321"/>
    <mergeCell ref="J326:M326"/>
    <mergeCell ref="I317:M317"/>
    <mergeCell ref="P288:P290"/>
    <mergeCell ref="D281:D283"/>
    <mergeCell ref="D288:D290"/>
    <mergeCell ref="C317:C321"/>
    <mergeCell ref="C291:C294"/>
    <mergeCell ref="C310:C313"/>
    <mergeCell ref="D314:D316"/>
    <mergeCell ref="C314:C316"/>
    <mergeCell ref="F295:F296"/>
    <mergeCell ref="F288:F289"/>
    <mergeCell ref="F281:F282"/>
    <mergeCell ref="F314:F315"/>
    <mergeCell ref="I309:M309"/>
    <mergeCell ref="I305:M305"/>
    <mergeCell ref="I324:M324"/>
    <mergeCell ref="I288:I289"/>
    <mergeCell ref="I368:M368"/>
    <mergeCell ref="I369:M369"/>
    <mergeCell ref="C355:C359"/>
    <mergeCell ref="J281:M281"/>
    <mergeCell ref="I279:M279"/>
    <mergeCell ref="C372:C375"/>
    <mergeCell ref="I372:M372"/>
    <mergeCell ref="A391:A397"/>
    <mergeCell ref="B391:B394"/>
    <mergeCell ref="C391:C394"/>
    <mergeCell ref="A367:A371"/>
    <mergeCell ref="A372:A378"/>
    <mergeCell ref="B372:B375"/>
    <mergeCell ref="D338:D340"/>
    <mergeCell ref="C329:C333"/>
    <mergeCell ref="D295:D297"/>
    <mergeCell ref="C281:C283"/>
    <mergeCell ref="C284:C287"/>
    <mergeCell ref="C322:C325"/>
    <mergeCell ref="C277:C280"/>
    <mergeCell ref="D364:D366"/>
    <mergeCell ref="C305:C309"/>
    <mergeCell ref="C334:C337"/>
    <mergeCell ref="D352:D354"/>
    <mergeCell ref="F352:F353"/>
    <mergeCell ref="D264:D266"/>
    <mergeCell ref="D274:D276"/>
    <mergeCell ref="C302:C304"/>
    <mergeCell ref="D302:D304"/>
    <mergeCell ref="C326:C328"/>
    <mergeCell ref="D326:D328"/>
    <mergeCell ref="F345:F346"/>
    <mergeCell ref="D345:D347"/>
    <mergeCell ref="F338:F339"/>
    <mergeCell ref="C298:C301"/>
    <mergeCell ref="F264:F265"/>
    <mergeCell ref="F302:F303"/>
    <mergeCell ref="F326:F327"/>
    <mergeCell ref="C267:C269"/>
    <mergeCell ref="C270:C273"/>
    <mergeCell ref="D267:D269"/>
    <mergeCell ref="F274:F275"/>
    <mergeCell ref="F267:F268"/>
    <mergeCell ref="C274:C276"/>
    <mergeCell ref="C288:C290"/>
    <mergeCell ref="C295:C297"/>
    <mergeCell ref="A405:D405"/>
    <mergeCell ref="A406:D406"/>
    <mergeCell ref="A360:A366"/>
    <mergeCell ref="B364:B366"/>
    <mergeCell ref="I360:M360"/>
    <mergeCell ref="I361:M361"/>
    <mergeCell ref="C360:C363"/>
    <mergeCell ref="C364:C366"/>
    <mergeCell ref="A379:A383"/>
    <mergeCell ref="B379:B383"/>
    <mergeCell ref="C379:C383"/>
    <mergeCell ref="I379:M379"/>
    <mergeCell ref="I384:M384"/>
    <mergeCell ref="B360:B363"/>
    <mergeCell ref="I388:I389"/>
    <mergeCell ref="J388:M388"/>
    <mergeCell ref="B384:B387"/>
    <mergeCell ref="C384:C387"/>
    <mergeCell ref="A384:A390"/>
    <mergeCell ref="B367:B371"/>
    <mergeCell ref="C367:C371"/>
    <mergeCell ref="I367:M367"/>
    <mergeCell ref="I381:M381"/>
    <mergeCell ref="I382:M382"/>
    <mergeCell ref="I426:M426"/>
    <mergeCell ref="I425:M425"/>
    <mergeCell ref="I424:M424"/>
    <mergeCell ref="I423:M423"/>
    <mergeCell ref="I422:M422"/>
    <mergeCell ref="I421:M421"/>
    <mergeCell ref="I420:M420"/>
    <mergeCell ref="I419:M419"/>
    <mergeCell ref="I405:M405"/>
    <mergeCell ref="I406:M406"/>
    <mergeCell ref="I407:M407"/>
    <mergeCell ref="I408:M408"/>
    <mergeCell ref="I409:M409"/>
    <mergeCell ref="I410:M410"/>
    <mergeCell ref="I411:M411"/>
    <mergeCell ref="I412:M412"/>
    <mergeCell ref="I418:M418"/>
    <mergeCell ref="I415:M415"/>
    <mergeCell ref="I414:M414"/>
    <mergeCell ref="I417:M417"/>
    <mergeCell ref="I416:M416"/>
    <mergeCell ref="P110:P112"/>
    <mergeCell ref="P106:P109"/>
    <mergeCell ref="I113:M113"/>
    <mergeCell ref="I115:M115"/>
    <mergeCell ref="I114:M114"/>
    <mergeCell ref="P117:P119"/>
    <mergeCell ref="P103:P105"/>
    <mergeCell ref="I109:M109"/>
    <mergeCell ref="I108:M108"/>
    <mergeCell ref="I110:I111"/>
    <mergeCell ref="P113:P116"/>
    <mergeCell ref="I117:I118"/>
    <mergeCell ref="J117:M117"/>
    <mergeCell ref="J110:M110"/>
    <mergeCell ref="I107:M107"/>
    <mergeCell ref="I106:M106"/>
    <mergeCell ref="P195:P197"/>
    <mergeCell ref="I209:I210"/>
    <mergeCell ref="P167:P170"/>
    <mergeCell ref="I174:M174"/>
    <mergeCell ref="I184:M184"/>
    <mergeCell ref="I181:I182"/>
    <mergeCell ref="J181:M181"/>
    <mergeCell ref="P171:P173"/>
    <mergeCell ref="P202:P204"/>
    <mergeCell ref="P191:P194"/>
    <mergeCell ref="P184:P187"/>
    <mergeCell ref="P205:P208"/>
    <mergeCell ref="P198:P201"/>
    <mergeCell ref="P209:P211"/>
    <mergeCell ref="I201:M201"/>
    <mergeCell ref="J209:M209"/>
    <mergeCell ref="I193:M193"/>
    <mergeCell ref="I192:M192"/>
    <mergeCell ref="I191:M191"/>
    <mergeCell ref="I169:M169"/>
    <mergeCell ref="P174:P177"/>
    <mergeCell ref="J188:M188"/>
    <mergeCell ref="I194:M194"/>
    <mergeCell ref="I176:M176"/>
    <mergeCell ref="B195:B197"/>
    <mergeCell ref="B188:B190"/>
    <mergeCell ref="B205:B208"/>
    <mergeCell ref="B209:B211"/>
    <mergeCell ref="B191:B194"/>
    <mergeCell ref="B198:B201"/>
    <mergeCell ref="C202:C204"/>
    <mergeCell ref="C212:C216"/>
    <mergeCell ref="B212:B216"/>
    <mergeCell ref="C198:C201"/>
    <mergeCell ref="C191:C194"/>
    <mergeCell ref="C188:C190"/>
    <mergeCell ref="P120:P123"/>
    <mergeCell ref="I145:I146"/>
    <mergeCell ref="P134:P137"/>
    <mergeCell ref="P138:P140"/>
    <mergeCell ref="I185:M185"/>
    <mergeCell ref="I186:M186"/>
    <mergeCell ref="I163:M163"/>
    <mergeCell ref="I159:M159"/>
    <mergeCell ref="I156:M156"/>
    <mergeCell ref="P160:P163"/>
    <mergeCell ref="P164:P166"/>
    <mergeCell ref="P181:P183"/>
    <mergeCell ref="I177:M177"/>
    <mergeCell ref="I164:I165"/>
    <mergeCell ref="I161:M161"/>
    <mergeCell ref="I144:M144"/>
    <mergeCell ref="I134:M134"/>
    <mergeCell ref="J145:M145"/>
    <mergeCell ref="I121:M121"/>
    <mergeCell ref="I122:M122"/>
    <mergeCell ref="I123:M123"/>
    <mergeCell ref="I124:I125"/>
    <mergeCell ref="J124:M124"/>
    <mergeCell ref="I137:M137"/>
    <mergeCell ref="P127:P130"/>
    <mergeCell ref="I128:M128"/>
    <mergeCell ref="I129:M129"/>
    <mergeCell ref="I130:M130"/>
    <mergeCell ref="B131:B133"/>
    <mergeCell ref="C131:C133"/>
    <mergeCell ref="D131:D133"/>
    <mergeCell ref="F131:F132"/>
    <mergeCell ref="I131:I132"/>
    <mergeCell ref="J131:M131"/>
    <mergeCell ref="P131:P133"/>
    <mergeCell ref="B127:B130"/>
    <mergeCell ref="C127:C130"/>
    <mergeCell ref="I127:M127"/>
    <mergeCell ref="P188:P190"/>
    <mergeCell ref="F188:F189"/>
    <mergeCell ref="F181:F182"/>
    <mergeCell ref="I187:M187"/>
    <mergeCell ref="C209:C211"/>
    <mergeCell ref="C217:C220"/>
    <mergeCell ref="I271:M271"/>
    <mergeCell ref="I277:M277"/>
    <mergeCell ref="I260:M260"/>
    <mergeCell ref="P255:P259"/>
    <mergeCell ref="I273:M273"/>
    <mergeCell ref="I263:M263"/>
    <mergeCell ref="I262:M262"/>
    <mergeCell ref="I259:M259"/>
    <mergeCell ref="I255:M255"/>
    <mergeCell ref="I256:M256"/>
    <mergeCell ref="I261:M261"/>
    <mergeCell ref="I264:I265"/>
    <mergeCell ref="J264:M264"/>
    <mergeCell ref="I272:M272"/>
    <mergeCell ref="P264:P266"/>
    <mergeCell ref="P267:P269"/>
    <mergeCell ref="P236:P239"/>
    <mergeCell ref="I235:M235"/>
    <mergeCell ref="J338:M338"/>
    <mergeCell ref="P345:P347"/>
    <mergeCell ref="P338:P340"/>
    <mergeCell ref="I337:M337"/>
    <mergeCell ref="P352:P354"/>
    <mergeCell ref="I341:M341"/>
    <mergeCell ref="I335:M335"/>
    <mergeCell ref="I332:M332"/>
    <mergeCell ref="I333:M333"/>
    <mergeCell ref="J352:M352"/>
    <mergeCell ref="I342:M342"/>
    <mergeCell ref="I343:M343"/>
    <mergeCell ref="I344:M344"/>
    <mergeCell ref="P341:P344"/>
    <mergeCell ref="I336:M336"/>
    <mergeCell ref="I338:I339"/>
    <mergeCell ref="I348:M348"/>
    <mergeCell ref="A398:A404"/>
    <mergeCell ref="B398:B401"/>
    <mergeCell ref="C398:C401"/>
    <mergeCell ref="I398:M398"/>
    <mergeCell ref="P398:P401"/>
    <mergeCell ref="I399:M399"/>
    <mergeCell ref="I400:M400"/>
    <mergeCell ref="I401:M401"/>
    <mergeCell ref="B402:B404"/>
    <mergeCell ref="C402:C404"/>
    <mergeCell ref="D402:D404"/>
    <mergeCell ref="F402:F403"/>
    <mergeCell ref="I402:I403"/>
    <mergeCell ref="J402:M402"/>
    <mergeCell ref="P402:P404"/>
    <mergeCell ref="I236:M236"/>
    <mergeCell ref="I239:M239"/>
    <mergeCell ref="D376:D378"/>
    <mergeCell ref="F376:F377"/>
    <mergeCell ref="I376:I377"/>
    <mergeCell ref="J376:M376"/>
    <mergeCell ref="P376:P378"/>
    <mergeCell ref="I214:M214"/>
    <mergeCell ref="P217:P220"/>
    <mergeCell ref="I220:M220"/>
    <mergeCell ref="I231:M231"/>
    <mergeCell ref="I224:M224"/>
    <mergeCell ref="P224:P227"/>
    <mergeCell ref="I215:M215"/>
    <mergeCell ref="P212:P216"/>
    <mergeCell ref="P252:P254"/>
    <mergeCell ref="P248:P251"/>
    <mergeCell ref="J221:M221"/>
    <mergeCell ref="I219:M219"/>
    <mergeCell ref="I218:M218"/>
    <mergeCell ref="I217:M217"/>
    <mergeCell ref="I213:M213"/>
    <mergeCell ref="P231:P235"/>
    <mergeCell ref="P240:P242"/>
    <mergeCell ref="I280:M280"/>
    <mergeCell ref="I287:M287"/>
    <mergeCell ref="I310:M310"/>
    <mergeCell ref="J288:M288"/>
    <mergeCell ref="J314:M314"/>
    <mergeCell ref="I306:M306"/>
    <mergeCell ref="I295:I296"/>
    <mergeCell ref="P228:P230"/>
    <mergeCell ref="P221:P223"/>
    <mergeCell ref="P243:P247"/>
    <mergeCell ref="J252:M252"/>
    <mergeCell ref="P284:P287"/>
    <mergeCell ref="P274:P276"/>
    <mergeCell ref="P277:P280"/>
    <mergeCell ref="I270:M270"/>
    <mergeCell ref="I267:I268"/>
    <mergeCell ref="J267:M267"/>
    <mergeCell ref="I285:M285"/>
    <mergeCell ref="I281:I282"/>
    <mergeCell ref="I274:I275"/>
    <mergeCell ref="J274:M274"/>
    <mergeCell ref="I286:M286"/>
    <mergeCell ref="I278:M278"/>
    <mergeCell ref="I243:M243"/>
    <mergeCell ref="I300:M300"/>
    <mergeCell ref="I301:M301"/>
    <mergeCell ref="P295:P297"/>
    <mergeCell ref="P298:P301"/>
    <mergeCell ref="I302:I303"/>
    <mergeCell ref="I299:M299"/>
    <mergeCell ref="I291:M291"/>
    <mergeCell ref="I314:I315"/>
    <mergeCell ref="I312:M312"/>
    <mergeCell ref="I307:M307"/>
    <mergeCell ref="J302:M302"/>
    <mergeCell ref="I313:M313"/>
    <mergeCell ref="I311:M311"/>
    <mergeCell ref="I308:M308"/>
    <mergeCell ref="P384:P387"/>
    <mergeCell ref="I385:M385"/>
    <mergeCell ref="I386:M386"/>
    <mergeCell ref="I387:M387"/>
    <mergeCell ref="P367:P371"/>
    <mergeCell ref="I318:M318"/>
    <mergeCell ref="P322:P325"/>
    <mergeCell ref="I322:M322"/>
    <mergeCell ref="I321:M321"/>
    <mergeCell ref="I320:M320"/>
    <mergeCell ref="I319:M319"/>
    <mergeCell ref="P379:P383"/>
    <mergeCell ref="I380:M380"/>
    <mergeCell ref="I383:M383"/>
    <mergeCell ref="P329:P333"/>
    <mergeCell ref="I323:M323"/>
    <mergeCell ref="I326:I327"/>
    <mergeCell ref="I329:M329"/>
    <mergeCell ref="I325:M325"/>
    <mergeCell ref="P348:P351"/>
    <mergeCell ref="I334:M334"/>
    <mergeCell ref="P364:P366"/>
    <mergeCell ref="P334:P337"/>
    <mergeCell ref="P326:P328"/>
    <mergeCell ref="P372:P375"/>
    <mergeCell ref="I373:M373"/>
    <mergeCell ref="I374:M374"/>
    <mergeCell ref="I370:M370"/>
    <mergeCell ref="I371:M371"/>
    <mergeCell ref="I298:M298"/>
    <mergeCell ref="P302:P304"/>
    <mergeCell ref="F364:F365"/>
    <mergeCell ref="I355:M355"/>
    <mergeCell ref="I356:M356"/>
    <mergeCell ref="I357:M357"/>
    <mergeCell ref="P360:P363"/>
    <mergeCell ref="I364:I365"/>
    <mergeCell ref="J364:M364"/>
    <mergeCell ref="I363:M363"/>
    <mergeCell ref="I362:M362"/>
    <mergeCell ref="I345:I346"/>
    <mergeCell ref="I350:M350"/>
    <mergeCell ref="I349:M349"/>
    <mergeCell ref="P355:P359"/>
    <mergeCell ref="I358:M358"/>
    <mergeCell ref="P305:P309"/>
    <mergeCell ref="I331:M331"/>
    <mergeCell ref="I330:M330"/>
    <mergeCell ref="P395:P397"/>
    <mergeCell ref="B388:B390"/>
    <mergeCell ref="C388:C390"/>
    <mergeCell ref="D388:D390"/>
    <mergeCell ref="F388:F389"/>
    <mergeCell ref="P388:P390"/>
    <mergeCell ref="P391:P394"/>
    <mergeCell ref="I392:M392"/>
    <mergeCell ref="I393:M393"/>
    <mergeCell ref="I394:M394"/>
    <mergeCell ref="I391:M391"/>
    <mergeCell ref="I375:M375"/>
    <mergeCell ref="I359:M359"/>
    <mergeCell ref="I352:I353"/>
    <mergeCell ref="J345:M345"/>
    <mergeCell ref="I351:M351"/>
    <mergeCell ref="B178:B180"/>
    <mergeCell ref="B395:B397"/>
    <mergeCell ref="C395:C397"/>
    <mergeCell ref="D395:D397"/>
    <mergeCell ref="F395:F396"/>
    <mergeCell ref="I395:I396"/>
    <mergeCell ref="J395:M395"/>
    <mergeCell ref="F178:F179"/>
    <mergeCell ref="I178:I179"/>
    <mergeCell ref="J178:M178"/>
    <mergeCell ref="I232:M232"/>
    <mergeCell ref="I212:M212"/>
    <mergeCell ref="I216:M216"/>
    <mergeCell ref="I294:M294"/>
    <mergeCell ref="I293:M293"/>
    <mergeCell ref="I284:M284"/>
    <mergeCell ref="I292:M292"/>
    <mergeCell ref="B376:B378"/>
    <mergeCell ref="C376:C378"/>
    <mergeCell ref="A310:A316"/>
    <mergeCell ref="A148:A154"/>
    <mergeCell ref="B148:B151"/>
    <mergeCell ref="C148:C151"/>
    <mergeCell ref="I148:M148"/>
    <mergeCell ref="P148:P151"/>
    <mergeCell ref="I149:M149"/>
    <mergeCell ref="I150:M150"/>
    <mergeCell ref="I151:M151"/>
    <mergeCell ref="B152:B154"/>
    <mergeCell ref="C152:C154"/>
    <mergeCell ref="D152:D154"/>
    <mergeCell ref="F152:F153"/>
    <mergeCell ref="I152:I153"/>
    <mergeCell ref="J152:M152"/>
    <mergeCell ref="P152:P154"/>
    <mergeCell ref="P178:P180"/>
    <mergeCell ref="J295:M295"/>
    <mergeCell ref="P291:P294"/>
    <mergeCell ref="P260:P263"/>
    <mergeCell ref="P314:P316"/>
    <mergeCell ref="P310:P313"/>
    <mergeCell ref="P281:P283"/>
    <mergeCell ref="P270:P273"/>
  </mergeCells>
  <phoneticPr fontId="33" type="noConversion"/>
  <pageMargins left="0.59055118110236227" right="0.19685039370078741" top="0.51181102362204722" bottom="0.39370078740157483" header="0.39370078740157483" footer="0"/>
  <pageSetup paperSize="9" scale="45" fitToHeight="0" orientation="landscape" useFirstPageNumber="1" r:id="rId1"/>
  <headerFooter differentFirst="1" alignWithMargins="0">
    <oddHeader>&amp;C&amp;P</oddHeader>
  </headerFooter>
  <rowBreaks count="11" manualBreakCount="11">
    <brk id="34" max="15" man="1"/>
    <brk id="85" max="15" man="1"/>
    <brk id="137" max="15" man="1"/>
    <brk id="159" max="15" man="1"/>
    <brk id="187" max="15" man="1"/>
    <brk id="254" max="15" man="1"/>
    <brk id="287" max="15" man="1"/>
    <brk id="316" max="15" man="1"/>
    <brk id="340" max="15" man="1"/>
    <brk id="363" max="15" man="1"/>
    <brk id="38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19"/>
  <sheetViews>
    <sheetView view="pageBreakPreview" zoomScale="64" zoomScaleNormal="60" zoomScaleSheetLayoutView="64" workbookViewId="0">
      <pane ySplit="4" topLeftCell="A89" activePane="bottomLeft" state="frozen"/>
      <selection pane="bottomLeft" activeCell="B85" sqref="B85:B89"/>
    </sheetView>
  </sheetViews>
  <sheetFormatPr defaultColWidth="9.109375" defaultRowHeight="14.4" x14ac:dyDescent="0.3"/>
  <cols>
    <col min="1" max="1" width="8.33203125" style="1" customWidth="1"/>
    <col min="2" max="2" width="71.5546875" style="1" customWidth="1"/>
    <col min="3" max="3" width="18.44140625" style="14" customWidth="1"/>
    <col min="4" max="4" width="31.109375" style="1" customWidth="1"/>
    <col min="5" max="5" width="20.6640625" style="1" hidden="1" customWidth="1"/>
    <col min="6" max="6" width="21.6640625" style="151" customWidth="1"/>
    <col min="7" max="7" width="19.109375" style="40" customWidth="1"/>
    <col min="8" max="8" width="18.6640625" style="40" customWidth="1"/>
    <col min="9" max="13" width="8.44140625" style="1" customWidth="1"/>
    <col min="14" max="15" width="19.109375" style="1" customWidth="1"/>
    <col min="16" max="16" width="25.88671875" style="1" customWidth="1"/>
    <col min="17" max="17" width="25.44140625" style="108" customWidth="1"/>
    <col min="18" max="19" width="23.109375" style="108" customWidth="1"/>
    <col min="20" max="20" width="20" style="1" customWidth="1"/>
    <col min="21" max="21" width="23.44140625" style="9" customWidth="1"/>
    <col min="22" max="22" width="9.109375" style="9" customWidth="1"/>
    <col min="23" max="23" width="12.44140625" style="9" customWidth="1"/>
    <col min="24" max="31" width="9.109375" style="9"/>
    <col min="32" max="16384" width="9.109375" style="1"/>
  </cols>
  <sheetData>
    <row r="1" spans="1:19" ht="15.75" customHeight="1" x14ac:dyDescent="0.3">
      <c r="A1" s="437" t="s">
        <v>0</v>
      </c>
      <c r="B1" s="439" t="s">
        <v>138</v>
      </c>
      <c r="C1" s="439" t="s">
        <v>53</v>
      </c>
      <c r="D1" s="439" t="s">
        <v>6</v>
      </c>
      <c r="E1" s="439" t="s">
        <v>44</v>
      </c>
      <c r="F1" s="441" t="s">
        <v>7</v>
      </c>
      <c r="G1" s="439" t="s">
        <v>15</v>
      </c>
      <c r="H1" s="439"/>
      <c r="I1" s="439"/>
      <c r="J1" s="439"/>
      <c r="K1" s="439"/>
      <c r="L1" s="439"/>
      <c r="M1" s="439"/>
      <c r="N1" s="439"/>
      <c r="O1" s="439"/>
      <c r="P1" s="360" t="s">
        <v>236</v>
      </c>
      <c r="Q1" s="30"/>
      <c r="R1" s="30"/>
      <c r="S1" s="30"/>
    </row>
    <row r="2" spans="1:19" ht="20.100000000000001" customHeight="1" x14ac:dyDescent="0.3">
      <c r="A2" s="438"/>
      <c r="B2" s="439"/>
      <c r="C2" s="439"/>
      <c r="D2" s="440"/>
      <c r="E2" s="439"/>
      <c r="F2" s="441"/>
      <c r="G2" s="439"/>
      <c r="H2" s="439"/>
      <c r="I2" s="439"/>
      <c r="J2" s="439"/>
      <c r="K2" s="439"/>
      <c r="L2" s="439"/>
      <c r="M2" s="439"/>
      <c r="N2" s="439"/>
      <c r="O2" s="439"/>
      <c r="P2" s="360"/>
      <c r="Q2" s="30"/>
      <c r="R2" s="30"/>
      <c r="S2" s="30"/>
    </row>
    <row r="3" spans="1:19" ht="39" customHeight="1" x14ac:dyDescent="0.3">
      <c r="A3" s="438"/>
      <c r="B3" s="439"/>
      <c r="C3" s="440"/>
      <c r="D3" s="440"/>
      <c r="E3" s="439"/>
      <c r="F3" s="441"/>
      <c r="G3" s="237" t="s">
        <v>45</v>
      </c>
      <c r="H3" s="237" t="s">
        <v>46</v>
      </c>
      <c r="I3" s="436" t="s">
        <v>82</v>
      </c>
      <c r="J3" s="436"/>
      <c r="K3" s="436"/>
      <c r="L3" s="436"/>
      <c r="M3" s="436"/>
      <c r="N3" s="237" t="s">
        <v>83</v>
      </c>
      <c r="O3" s="237" t="s">
        <v>84</v>
      </c>
      <c r="P3" s="360"/>
      <c r="Q3" s="30"/>
      <c r="R3" s="30"/>
      <c r="S3" s="30"/>
    </row>
    <row r="4" spans="1:19" ht="21" customHeight="1" x14ac:dyDescent="0.3">
      <c r="A4" s="221">
        <v>1</v>
      </c>
      <c r="B4" s="221">
        <v>2</v>
      </c>
      <c r="C4" s="221" t="s">
        <v>8</v>
      </c>
      <c r="D4" s="221" t="s">
        <v>37</v>
      </c>
      <c r="E4" s="221" t="s">
        <v>9</v>
      </c>
      <c r="F4" s="134" t="s">
        <v>9</v>
      </c>
      <c r="G4" s="221" t="s">
        <v>35</v>
      </c>
      <c r="H4" s="221" t="s">
        <v>10</v>
      </c>
      <c r="I4" s="354" t="s">
        <v>36</v>
      </c>
      <c r="J4" s="354"/>
      <c r="K4" s="354"/>
      <c r="L4" s="354"/>
      <c r="M4" s="354"/>
      <c r="N4" s="221" t="s">
        <v>11</v>
      </c>
      <c r="O4" s="221" t="s">
        <v>12</v>
      </c>
      <c r="P4" s="221" t="s">
        <v>14</v>
      </c>
      <c r="Q4" s="29"/>
      <c r="R4" s="29"/>
      <c r="S4" s="29"/>
    </row>
    <row r="5" spans="1:19" ht="33" customHeight="1" x14ac:dyDescent="0.3">
      <c r="A5" s="442" t="s">
        <v>143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30"/>
      <c r="R5" s="30"/>
      <c r="S5" s="30"/>
    </row>
    <row r="6" spans="1:19" s="9" customFormat="1" ht="18.75" customHeight="1" x14ac:dyDescent="0.3">
      <c r="A6" s="374" t="s">
        <v>13</v>
      </c>
      <c r="B6" s="351" t="s">
        <v>108</v>
      </c>
      <c r="C6" s="351" t="s">
        <v>86</v>
      </c>
      <c r="D6" s="220" t="s">
        <v>2</v>
      </c>
      <c r="E6" s="230">
        <f>E9</f>
        <v>1000</v>
      </c>
      <c r="F6" s="135">
        <f t="shared" ref="F6:F14" si="0">SUM(G6:O6)</f>
        <v>5180</v>
      </c>
      <c r="G6" s="230">
        <f>G9</f>
        <v>1180</v>
      </c>
      <c r="H6" s="230">
        <f>H9</f>
        <v>1000</v>
      </c>
      <c r="I6" s="306">
        <f>I9</f>
        <v>1000</v>
      </c>
      <c r="J6" s="306"/>
      <c r="K6" s="306"/>
      <c r="L6" s="306"/>
      <c r="M6" s="306"/>
      <c r="N6" s="230">
        <f>N9</f>
        <v>1000</v>
      </c>
      <c r="O6" s="230">
        <f>O9</f>
        <v>1000</v>
      </c>
      <c r="P6" s="305"/>
      <c r="Q6" s="92"/>
      <c r="R6" s="92"/>
      <c r="S6" s="92"/>
    </row>
    <row r="7" spans="1:19" s="9" customFormat="1" ht="38.25" customHeight="1" x14ac:dyDescent="0.3">
      <c r="A7" s="374"/>
      <c r="B7" s="351"/>
      <c r="C7" s="351"/>
      <c r="D7" s="220" t="s">
        <v>40</v>
      </c>
      <c r="E7" s="230"/>
      <c r="F7" s="135">
        <f t="shared" si="0"/>
        <v>0</v>
      </c>
      <c r="G7" s="225">
        <f t="shared" ref="G7:H7" si="1">G11</f>
        <v>0</v>
      </c>
      <c r="H7" s="225">
        <f t="shared" si="1"/>
        <v>0</v>
      </c>
      <c r="I7" s="301">
        <f>I11</f>
        <v>0</v>
      </c>
      <c r="J7" s="301"/>
      <c r="K7" s="301"/>
      <c r="L7" s="301"/>
      <c r="M7" s="301"/>
      <c r="N7" s="225">
        <f t="shared" ref="N7:O7" si="2">N11</f>
        <v>0</v>
      </c>
      <c r="O7" s="225">
        <f t="shared" si="2"/>
        <v>0</v>
      </c>
      <c r="P7" s="305"/>
      <c r="Q7" s="92"/>
      <c r="R7" s="92"/>
      <c r="S7" s="92"/>
    </row>
    <row r="8" spans="1:19" s="9" customFormat="1" ht="34.799999999999997" x14ac:dyDescent="0.3">
      <c r="A8" s="374"/>
      <c r="B8" s="351"/>
      <c r="C8" s="351"/>
      <c r="D8" s="220" t="s">
        <v>1</v>
      </c>
      <c r="E8" s="230"/>
      <c r="F8" s="135">
        <f t="shared" si="0"/>
        <v>0</v>
      </c>
      <c r="G8" s="225">
        <f t="shared" ref="G8:H8" si="3">G12</f>
        <v>0</v>
      </c>
      <c r="H8" s="225">
        <f t="shared" si="3"/>
        <v>0</v>
      </c>
      <c r="I8" s="301">
        <f>I12</f>
        <v>0</v>
      </c>
      <c r="J8" s="301"/>
      <c r="K8" s="301"/>
      <c r="L8" s="301"/>
      <c r="M8" s="301"/>
      <c r="N8" s="225">
        <f t="shared" ref="N8:O8" si="4">N12</f>
        <v>0</v>
      </c>
      <c r="O8" s="225">
        <f t="shared" si="4"/>
        <v>0</v>
      </c>
      <c r="P8" s="305"/>
      <c r="Q8" s="92"/>
      <c r="R8" s="92"/>
      <c r="S8" s="92"/>
    </row>
    <row r="9" spans="1:19" s="9" customFormat="1" ht="58.5" customHeight="1" x14ac:dyDescent="0.3">
      <c r="A9" s="374"/>
      <c r="B9" s="351"/>
      <c r="C9" s="351"/>
      <c r="D9" s="220" t="s">
        <v>48</v>
      </c>
      <c r="E9" s="225">
        <f>E13</f>
        <v>1000</v>
      </c>
      <c r="F9" s="135">
        <f t="shared" si="0"/>
        <v>5180</v>
      </c>
      <c r="G9" s="225">
        <f t="shared" ref="G9:H9" si="5">G13</f>
        <v>1180</v>
      </c>
      <c r="H9" s="225">
        <f t="shared" si="5"/>
        <v>1000</v>
      </c>
      <c r="I9" s="301">
        <f>I13</f>
        <v>1000</v>
      </c>
      <c r="J9" s="301"/>
      <c r="K9" s="301"/>
      <c r="L9" s="301"/>
      <c r="M9" s="301"/>
      <c r="N9" s="225">
        <f t="shared" ref="N9:O9" si="6">N13</f>
        <v>1000</v>
      </c>
      <c r="O9" s="225">
        <f t="shared" si="6"/>
        <v>1000</v>
      </c>
      <c r="P9" s="305"/>
      <c r="Q9" s="92"/>
      <c r="R9" s="92"/>
      <c r="S9" s="92"/>
    </row>
    <row r="10" spans="1:19" s="9" customFormat="1" ht="34.799999999999997" x14ac:dyDescent="0.3">
      <c r="A10" s="374"/>
      <c r="B10" s="351"/>
      <c r="C10" s="351"/>
      <c r="D10" s="220" t="s">
        <v>87</v>
      </c>
      <c r="E10" s="225"/>
      <c r="F10" s="135">
        <f t="shared" si="0"/>
        <v>0</v>
      </c>
      <c r="G10" s="225">
        <f t="shared" ref="G10:H10" si="7">G14</f>
        <v>0</v>
      </c>
      <c r="H10" s="225">
        <f t="shared" si="7"/>
        <v>0</v>
      </c>
      <c r="I10" s="301">
        <f>I14</f>
        <v>0</v>
      </c>
      <c r="J10" s="301"/>
      <c r="K10" s="301"/>
      <c r="L10" s="301"/>
      <c r="M10" s="301"/>
      <c r="N10" s="225">
        <f t="shared" ref="N10:O10" si="8">N14</f>
        <v>0</v>
      </c>
      <c r="O10" s="225">
        <f t="shared" si="8"/>
        <v>0</v>
      </c>
      <c r="P10" s="305"/>
      <c r="Q10" s="92"/>
      <c r="R10" s="92"/>
      <c r="S10" s="92"/>
    </row>
    <row r="11" spans="1:19" s="9" customFormat="1" ht="37.5" customHeight="1" x14ac:dyDescent="0.3">
      <c r="A11" s="354" t="s">
        <v>26</v>
      </c>
      <c r="B11" s="352" t="s">
        <v>139</v>
      </c>
      <c r="C11" s="350" t="s">
        <v>86</v>
      </c>
      <c r="D11" s="223" t="s">
        <v>40</v>
      </c>
      <c r="E11" s="115"/>
      <c r="F11" s="135">
        <f t="shared" si="0"/>
        <v>0</v>
      </c>
      <c r="G11" s="231">
        <v>0</v>
      </c>
      <c r="H11" s="231">
        <v>0</v>
      </c>
      <c r="I11" s="285">
        <v>0</v>
      </c>
      <c r="J11" s="285"/>
      <c r="K11" s="285"/>
      <c r="L11" s="285"/>
      <c r="M11" s="285"/>
      <c r="N11" s="231">
        <v>0</v>
      </c>
      <c r="O11" s="231">
        <v>0</v>
      </c>
      <c r="P11" s="307" t="s">
        <v>3</v>
      </c>
      <c r="Q11" s="92"/>
      <c r="R11" s="92"/>
      <c r="S11" s="92"/>
    </row>
    <row r="12" spans="1:19" s="9" customFormat="1" ht="34.799999999999997" x14ac:dyDescent="0.3">
      <c r="A12" s="354"/>
      <c r="B12" s="352"/>
      <c r="C12" s="350"/>
      <c r="D12" s="223" t="s">
        <v>1</v>
      </c>
      <c r="E12" s="115"/>
      <c r="F12" s="135">
        <f t="shared" si="0"/>
        <v>0</v>
      </c>
      <c r="G12" s="231">
        <v>0</v>
      </c>
      <c r="H12" s="231">
        <v>0</v>
      </c>
      <c r="I12" s="285">
        <v>0</v>
      </c>
      <c r="J12" s="285"/>
      <c r="K12" s="285"/>
      <c r="L12" s="285"/>
      <c r="M12" s="285"/>
      <c r="N12" s="231">
        <v>0</v>
      </c>
      <c r="O12" s="231">
        <v>0</v>
      </c>
      <c r="P12" s="307"/>
      <c r="Q12" s="92"/>
      <c r="R12" s="92"/>
      <c r="S12" s="92"/>
    </row>
    <row r="13" spans="1:19" s="40" customFormat="1" ht="52.2" x14ac:dyDescent="0.3">
      <c r="A13" s="354"/>
      <c r="B13" s="352"/>
      <c r="C13" s="350"/>
      <c r="D13" s="223" t="s">
        <v>48</v>
      </c>
      <c r="E13" s="235">
        <v>1000</v>
      </c>
      <c r="F13" s="135">
        <f t="shared" si="0"/>
        <v>5180</v>
      </c>
      <c r="G13" s="235">
        <v>1180</v>
      </c>
      <c r="H13" s="235">
        <v>1000</v>
      </c>
      <c r="I13" s="294">
        <v>1000</v>
      </c>
      <c r="J13" s="294"/>
      <c r="K13" s="294"/>
      <c r="L13" s="294"/>
      <c r="M13" s="294"/>
      <c r="N13" s="235">
        <v>1000</v>
      </c>
      <c r="O13" s="235">
        <v>1000</v>
      </c>
      <c r="P13" s="307"/>
      <c r="Q13" s="55"/>
      <c r="R13" s="93"/>
      <c r="S13" s="54"/>
    </row>
    <row r="14" spans="1:19" s="40" customFormat="1" ht="34.799999999999997" x14ac:dyDescent="0.3">
      <c r="A14" s="354"/>
      <c r="B14" s="352"/>
      <c r="C14" s="350"/>
      <c r="D14" s="223" t="s">
        <v>87</v>
      </c>
      <c r="E14" s="235"/>
      <c r="F14" s="135">
        <f t="shared" si="0"/>
        <v>0</v>
      </c>
      <c r="G14" s="235">
        <v>0</v>
      </c>
      <c r="H14" s="235">
        <v>0</v>
      </c>
      <c r="I14" s="294">
        <v>0</v>
      </c>
      <c r="J14" s="294"/>
      <c r="K14" s="294"/>
      <c r="L14" s="294"/>
      <c r="M14" s="294"/>
      <c r="N14" s="235">
        <v>0</v>
      </c>
      <c r="O14" s="235">
        <v>0</v>
      </c>
      <c r="P14" s="307"/>
      <c r="Q14" s="55"/>
      <c r="R14" s="93"/>
      <c r="S14" s="54"/>
    </row>
    <row r="15" spans="1:19" s="40" customFormat="1" ht="21" customHeight="1" x14ac:dyDescent="0.3">
      <c r="A15" s="354"/>
      <c r="B15" s="286" t="s">
        <v>173</v>
      </c>
      <c r="C15" s="288" t="s">
        <v>116</v>
      </c>
      <c r="D15" s="288" t="s">
        <v>116</v>
      </c>
      <c r="E15" s="228"/>
      <c r="F15" s="290" t="s">
        <v>117</v>
      </c>
      <c r="G15" s="227" t="s">
        <v>214</v>
      </c>
      <c r="H15" s="227" t="s">
        <v>215</v>
      </c>
      <c r="I15" s="283" t="s">
        <v>123</v>
      </c>
      <c r="J15" s="284" t="s">
        <v>118</v>
      </c>
      <c r="K15" s="284"/>
      <c r="L15" s="284"/>
      <c r="M15" s="284"/>
      <c r="N15" s="227" t="s">
        <v>124</v>
      </c>
      <c r="O15" s="227" t="s">
        <v>125</v>
      </c>
      <c r="P15" s="295" t="s">
        <v>116</v>
      </c>
      <c r="Q15" s="41"/>
    </row>
    <row r="16" spans="1:19" s="40" customFormat="1" ht="19.5" customHeight="1" x14ac:dyDescent="0.3">
      <c r="A16" s="354"/>
      <c r="B16" s="286"/>
      <c r="C16" s="288"/>
      <c r="D16" s="288"/>
      <c r="E16" s="228"/>
      <c r="F16" s="290"/>
      <c r="G16" s="228"/>
      <c r="H16" s="228"/>
      <c r="I16" s="283"/>
      <c r="J16" s="228" t="s">
        <v>119</v>
      </c>
      <c r="K16" s="228" t="s">
        <v>120</v>
      </c>
      <c r="L16" s="228" t="s">
        <v>121</v>
      </c>
      <c r="M16" s="228" t="s">
        <v>122</v>
      </c>
      <c r="N16" s="228"/>
      <c r="O16" s="228"/>
      <c r="P16" s="295"/>
      <c r="Q16" s="41"/>
    </row>
    <row r="17" spans="1:23" s="40" customFormat="1" ht="22.5" customHeight="1" x14ac:dyDescent="0.3">
      <c r="A17" s="354"/>
      <c r="B17" s="286"/>
      <c r="C17" s="288"/>
      <c r="D17" s="288"/>
      <c r="E17" s="228"/>
      <c r="F17" s="136">
        <f>G17+H17+I17+N17+O17</f>
        <v>511</v>
      </c>
      <c r="G17" s="121">
        <v>111</v>
      </c>
      <c r="H17" s="121">
        <v>100</v>
      </c>
      <c r="I17" s="121">
        <v>100</v>
      </c>
      <c r="J17" s="121">
        <v>0</v>
      </c>
      <c r="K17" s="121">
        <v>0</v>
      </c>
      <c r="L17" s="121">
        <v>0</v>
      </c>
      <c r="M17" s="121">
        <v>100</v>
      </c>
      <c r="N17" s="121">
        <v>100</v>
      </c>
      <c r="O17" s="121">
        <v>100</v>
      </c>
      <c r="P17" s="295"/>
      <c r="Q17" s="41"/>
    </row>
    <row r="18" spans="1:23" s="9" customFormat="1" ht="18" x14ac:dyDescent="0.35">
      <c r="A18" s="345" t="s">
        <v>74</v>
      </c>
      <c r="B18" s="346" t="s">
        <v>113</v>
      </c>
      <c r="C18" s="347" t="s">
        <v>86</v>
      </c>
      <c r="D18" s="131" t="s">
        <v>2</v>
      </c>
      <c r="E18" s="232" t="e">
        <f>E21+E23</f>
        <v>#REF!</v>
      </c>
      <c r="F18" s="135">
        <f t="shared" ref="F18:F28" si="9">SUM(G18:O18)</f>
        <v>650260.65731000004</v>
      </c>
      <c r="G18" s="232">
        <f>G19+G20+G21+G22</f>
        <v>120523.37026</v>
      </c>
      <c r="H18" s="232">
        <f t="shared" ref="H18" si="10">H19+H20+H21+H22</f>
        <v>129138.62835</v>
      </c>
      <c r="I18" s="298">
        <f>I19+I20+I21+I22</f>
        <v>133482.9307</v>
      </c>
      <c r="J18" s="298"/>
      <c r="K18" s="298"/>
      <c r="L18" s="298"/>
      <c r="M18" s="298"/>
      <c r="N18" s="232">
        <f t="shared" ref="N18:O18" si="11">N19+N20+N21+N22</f>
        <v>133557.864</v>
      </c>
      <c r="O18" s="232">
        <f t="shared" si="11"/>
        <v>133557.864</v>
      </c>
      <c r="P18" s="443"/>
      <c r="Q18" s="94"/>
      <c r="R18" s="94"/>
      <c r="S18" s="94"/>
    </row>
    <row r="19" spans="1:23" s="9" customFormat="1" ht="34.799999999999997" x14ac:dyDescent="0.35">
      <c r="A19" s="345"/>
      <c r="B19" s="346"/>
      <c r="C19" s="347"/>
      <c r="D19" s="220" t="s">
        <v>40</v>
      </c>
      <c r="E19" s="232"/>
      <c r="F19" s="135">
        <f t="shared" si="9"/>
        <v>0</v>
      </c>
      <c r="G19" s="233">
        <f>G24+G32+G39</f>
        <v>0</v>
      </c>
      <c r="H19" s="233">
        <f>H24+H32+H39</f>
        <v>0</v>
      </c>
      <c r="I19" s="282">
        <f>I24+I32+I39</f>
        <v>0</v>
      </c>
      <c r="J19" s="282"/>
      <c r="K19" s="282"/>
      <c r="L19" s="282"/>
      <c r="M19" s="282"/>
      <c r="N19" s="233">
        <f>N24+N32+N39</f>
        <v>0</v>
      </c>
      <c r="O19" s="233">
        <f>O24+O32+O39</f>
        <v>0</v>
      </c>
      <c r="P19" s="443"/>
      <c r="Q19" s="94"/>
      <c r="R19" s="94"/>
      <c r="S19" s="94"/>
    </row>
    <row r="20" spans="1:23" s="9" customFormat="1" ht="34.799999999999997" x14ac:dyDescent="0.35">
      <c r="A20" s="345"/>
      <c r="B20" s="346"/>
      <c r="C20" s="347"/>
      <c r="D20" s="220" t="s">
        <v>1</v>
      </c>
      <c r="E20" s="232"/>
      <c r="F20" s="135">
        <f t="shared" si="9"/>
        <v>3752</v>
      </c>
      <c r="G20" s="233">
        <f t="shared" ref="G20:I20" si="12">G25+G33+G40</f>
        <v>0</v>
      </c>
      <c r="H20" s="233">
        <f t="shared" si="12"/>
        <v>3752</v>
      </c>
      <c r="I20" s="282">
        <f t="shared" si="12"/>
        <v>0</v>
      </c>
      <c r="J20" s="282"/>
      <c r="K20" s="282"/>
      <c r="L20" s="282"/>
      <c r="M20" s="282"/>
      <c r="N20" s="233">
        <f t="shared" ref="N20:O20" si="13">N25+N33+N40</f>
        <v>0</v>
      </c>
      <c r="O20" s="233">
        <f t="shared" si="13"/>
        <v>0</v>
      </c>
      <c r="P20" s="443"/>
      <c r="Q20" s="94"/>
      <c r="R20" s="94"/>
      <c r="S20" s="94"/>
    </row>
    <row r="21" spans="1:23" s="9" customFormat="1" ht="52.2" x14ac:dyDescent="0.35">
      <c r="A21" s="345"/>
      <c r="B21" s="346"/>
      <c r="C21" s="347"/>
      <c r="D21" s="220" t="s">
        <v>48</v>
      </c>
      <c r="E21" s="233" t="e">
        <f>E26+#REF!+E34+#REF!+#REF!</f>
        <v>#REF!</v>
      </c>
      <c r="F21" s="135">
        <f t="shared" si="9"/>
        <v>530278.26530999993</v>
      </c>
      <c r="G21" s="233">
        <f t="shared" ref="G21:I21" si="14">G26+G34+G41</f>
        <v>99268.178260000001</v>
      </c>
      <c r="H21" s="233">
        <f t="shared" si="14"/>
        <v>101807.82835</v>
      </c>
      <c r="I21" s="282">
        <f t="shared" si="14"/>
        <v>109684.13069999999</v>
      </c>
      <c r="J21" s="282"/>
      <c r="K21" s="282"/>
      <c r="L21" s="282"/>
      <c r="M21" s="282"/>
      <c r="N21" s="233">
        <f t="shared" ref="N21:O21" si="15">N26+N34+N41</f>
        <v>109759.064</v>
      </c>
      <c r="O21" s="233">
        <f t="shared" si="15"/>
        <v>109759.064</v>
      </c>
      <c r="P21" s="443"/>
      <c r="Q21" s="94"/>
      <c r="R21" s="94"/>
      <c r="S21" s="94"/>
      <c r="T21" s="8"/>
    </row>
    <row r="22" spans="1:23" s="9" customFormat="1" ht="34.799999999999997" x14ac:dyDescent="0.35">
      <c r="A22" s="345"/>
      <c r="B22" s="346"/>
      <c r="C22" s="347"/>
      <c r="D22" s="220" t="s">
        <v>87</v>
      </c>
      <c r="E22" s="233"/>
      <c r="F22" s="135">
        <f t="shared" si="9"/>
        <v>116230.39200000001</v>
      </c>
      <c r="G22" s="233">
        <f t="shared" ref="G22:I22" si="16">G27+G35+G42</f>
        <v>21255.191999999999</v>
      </c>
      <c r="H22" s="233">
        <f t="shared" si="16"/>
        <v>23578.799999999999</v>
      </c>
      <c r="I22" s="282">
        <f t="shared" si="16"/>
        <v>23798.799999999999</v>
      </c>
      <c r="J22" s="282"/>
      <c r="K22" s="282"/>
      <c r="L22" s="282"/>
      <c r="M22" s="282"/>
      <c r="N22" s="233">
        <f t="shared" ref="N22:O22" si="17">N27+N35+N42</f>
        <v>23798.799999999999</v>
      </c>
      <c r="O22" s="233">
        <f t="shared" si="17"/>
        <v>23798.799999999999</v>
      </c>
      <c r="P22" s="443"/>
      <c r="Q22" s="94"/>
      <c r="R22" s="94"/>
      <c r="S22" s="94"/>
      <c r="T22" s="8"/>
    </row>
    <row r="23" spans="1:23" s="9" customFormat="1" ht="87" x14ac:dyDescent="0.35">
      <c r="A23" s="345"/>
      <c r="B23" s="346"/>
      <c r="C23" s="347"/>
      <c r="D23" s="222" t="s">
        <v>88</v>
      </c>
      <c r="E23" s="229">
        <f>E28</f>
        <v>13879.4</v>
      </c>
      <c r="F23" s="135">
        <f t="shared" si="9"/>
        <v>116230.39200000001</v>
      </c>
      <c r="G23" s="229">
        <f t="shared" ref="G23:H23" si="18">G28</f>
        <v>21255.191999999999</v>
      </c>
      <c r="H23" s="229">
        <f t="shared" si="18"/>
        <v>23578.799999999999</v>
      </c>
      <c r="I23" s="304">
        <f>I28</f>
        <v>23798.799999999999</v>
      </c>
      <c r="J23" s="304"/>
      <c r="K23" s="304"/>
      <c r="L23" s="304"/>
      <c r="M23" s="304"/>
      <c r="N23" s="229">
        <f t="shared" ref="N23:O23" si="19">N28</f>
        <v>23798.799999999999</v>
      </c>
      <c r="O23" s="229">
        <f t="shared" si="19"/>
        <v>23798.799999999999</v>
      </c>
      <c r="P23" s="443"/>
      <c r="Q23" s="94"/>
      <c r="R23" s="94"/>
      <c r="S23" s="94"/>
      <c r="U23" s="8"/>
      <c r="V23" s="95"/>
      <c r="W23" s="95"/>
    </row>
    <row r="24" spans="1:23" s="9" customFormat="1" ht="37.5" customHeight="1" x14ac:dyDescent="0.35">
      <c r="A24" s="418" t="s">
        <v>30</v>
      </c>
      <c r="B24" s="422" t="s">
        <v>140</v>
      </c>
      <c r="C24" s="387" t="s">
        <v>86</v>
      </c>
      <c r="D24" s="237" t="s">
        <v>40</v>
      </c>
      <c r="E24" s="116"/>
      <c r="F24" s="135">
        <f t="shared" si="9"/>
        <v>0</v>
      </c>
      <c r="G24" s="236">
        <v>0</v>
      </c>
      <c r="H24" s="236">
        <v>0</v>
      </c>
      <c r="I24" s="383">
        <v>0</v>
      </c>
      <c r="J24" s="383"/>
      <c r="K24" s="383"/>
      <c r="L24" s="383"/>
      <c r="M24" s="383"/>
      <c r="N24" s="236">
        <v>0</v>
      </c>
      <c r="O24" s="236">
        <v>0</v>
      </c>
      <c r="P24" s="382" t="s">
        <v>60</v>
      </c>
      <c r="Q24" s="94"/>
      <c r="R24" s="94"/>
      <c r="S24" s="94"/>
      <c r="U24" s="8"/>
      <c r="V24" s="95"/>
      <c r="W24" s="95"/>
    </row>
    <row r="25" spans="1:23" s="9" customFormat="1" ht="34.799999999999997" x14ac:dyDescent="0.35">
      <c r="A25" s="418"/>
      <c r="B25" s="422"/>
      <c r="C25" s="387"/>
      <c r="D25" s="237" t="s">
        <v>1</v>
      </c>
      <c r="E25" s="116"/>
      <c r="F25" s="135">
        <f t="shared" si="9"/>
        <v>0</v>
      </c>
      <c r="G25" s="236">
        <v>0</v>
      </c>
      <c r="H25" s="236">
        <v>0</v>
      </c>
      <c r="I25" s="383">
        <v>0</v>
      </c>
      <c r="J25" s="383"/>
      <c r="K25" s="383"/>
      <c r="L25" s="383"/>
      <c r="M25" s="383"/>
      <c r="N25" s="236">
        <v>0</v>
      </c>
      <c r="O25" s="236">
        <v>0</v>
      </c>
      <c r="P25" s="382"/>
      <c r="Q25" s="94"/>
      <c r="R25" s="94"/>
      <c r="S25" s="94"/>
      <c r="U25" s="8"/>
      <c r="V25" s="95"/>
      <c r="W25" s="95"/>
    </row>
    <row r="26" spans="1:23" s="40" customFormat="1" ht="56.25" customHeight="1" x14ac:dyDescent="0.3">
      <c r="A26" s="418"/>
      <c r="B26" s="422"/>
      <c r="C26" s="387"/>
      <c r="D26" s="237" t="s">
        <v>48</v>
      </c>
      <c r="E26" s="236">
        <v>74745.548039999994</v>
      </c>
      <c r="F26" s="135">
        <f t="shared" si="9"/>
        <v>488683.29411000002</v>
      </c>
      <c r="G26" s="226">
        <v>93662.546260000003</v>
      </c>
      <c r="H26" s="226">
        <v>93568.322310000003</v>
      </c>
      <c r="I26" s="322">
        <f>100505-62.57446</f>
        <v>100442.42554</v>
      </c>
      <c r="J26" s="322"/>
      <c r="K26" s="322"/>
      <c r="L26" s="322"/>
      <c r="M26" s="322"/>
      <c r="N26" s="226">
        <v>100505</v>
      </c>
      <c r="O26" s="226">
        <v>100505</v>
      </c>
      <c r="P26" s="382"/>
      <c r="Q26" s="55"/>
      <c r="R26" s="55"/>
      <c r="S26" s="55"/>
    </row>
    <row r="27" spans="1:23" s="40" customFormat="1" ht="34.799999999999997" x14ac:dyDescent="0.3">
      <c r="A27" s="418"/>
      <c r="B27" s="422"/>
      <c r="C27" s="387"/>
      <c r="D27" s="237" t="s">
        <v>87</v>
      </c>
      <c r="E27" s="236"/>
      <c r="F27" s="135">
        <f t="shared" si="9"/>
        <v>116230.39200000001</v>
      </c>
      <c r="G27" s="226">
        <f t="shared" ref="G27:H27" si="20">G28</f>
        <v>21255.191999999999</v>
      </c>
      <c r="H27" s="226">
        <f t="shared" si="20"/>
        <v>23578.799999999999</v>
      </c>
      <c r="I27" s="322">
        <f>I28</f>
        <v>23798.799999999999</v>
      </c>
      <c r="J27" s="322"/>
      <c r="K27" s="322"/>
      <c r="L27" s="322"/>
      <c r="M27" s="322"/>
      <c r="N27" s="226">
        <f t="shared" ref="N27:O27" si="21">N28</f>
        <v>23798.799999999999</v>
      </c>
      <c r="O27" s="226">
        <f t="shared" si="21"/>
        <v>23798.799999999999</v>
      </c>
      <c r="P27" s="382"/>
      <c r="Q27" s="55"/>
      <c r="R27" s="55"/>
      <c r="S27" s="55"/>
    </row>
    <row r="28" spans="1:23" s="40" customFormat="1" ht="87" x14ac:dyDescent="0.3">
      <c r="A28" s="418"/>
      <c r="B28" s="422"/>
      <c r="C28" s="387"/>
      <c r="D28" s="237" t="s">
        <v>88</v>
      </c>
      <c r="E28" s="236">
        <v>13879.4</v>
      </c>
      <c r="F28" s="135">
        <f t="shared" si="9"/>
        <v>116230.39200000001</v>
      </c>
      <c r="G28" s="122">
        <v>21255.191999999999</v>
      </c>
      <c r="H28" s="122">
        <v>23578.799999999999</v>
      </c>
      <c r="I28" s="355">
        <v>23798.799999999999</v>
      </c>
      <c r="J28" s="355"/>
      <c r="K28" s="355"/>
      <c r="L28" s="355"/>
      <c r="M28" s="355"/>
      <c r="N28" s="122">
        <v>23798.799999999999</v>
      </c>
      <c r="O28" s="122">
        <v>23798.799999999999</v>
      </c>
      <c r="P28" s="382"/>
      <c r="Q28" s="55"/>
      <c r="R28" s="55"/>
      <c r="S28" s="55"/>
    </row>
    <row r="29" spans="1:23" s="40" customFormat="1" ht="23.25" customHeight="1" x14ac:dyDescent="0.3">
      <c r="A29" s="418"/>
      <c r="B29" s="286" t="s">
        <v>174</v>
      </c>
      <c r="C29" s="288" t="s">
        <v>116</v>
      </c>
      <c r="D29" s="288" t="s">
        <v>116</v>
      </c>
      <c r="E29" s="228"/>
      <c r="F29" s="290" t="s">
        <v>117</v>
      </c>
      <c r="G29" s="227" t="s">
        <v>214</v>
      </c>
      <c r="H29" s="227" t="s">
        <v>215</v>
      </c>
      <c r="I29" s="283" t="s">
        <v>123</v>
      </c>
      <c r="J29" s="284" t="s">
        <v>118</v>
      </c>
      <c r="K29" s="284"/>
      <c r="L29" s="284"/>
      <c r="M29" s="284"/>
      <c r="N29" s="227" t="s">
        <v>124</v>
      </c>
      <c r="O29" s="227" t="s">
        <v>125</v>
      </c>
      <c r="P29" s="295" t="s">
        <v>116</v>
      </c>
      <c r="Q29" s="41"/>
    </row>
    <row r="30" spans="1:23" s="40" customFormat="1" ht="20.25" customHeight="1" x14ac:dyDescent="0.3">
      <c r="A30" s="418"/>
      <c r="B30" s="286"/>
      <c r="C30" s="288"/>
      <c r="D30" s="288"/>
      <c r="E30" s="228"/>
      <c r="F30" s="290"/>
      <c r="G30" s="228"/>
      <c r="H30" s="228"/>
      <c r="I30" s="283"/>
      <c r="J30" s="228" t="s">
        <v>119</v>
      </c>
      <c r="K30" s="228" t="s">
        <v>120</v>
      </c>
      <c r="L30" s="228" t="s">
        <v>121</v>
      </c>
      <c r="M30" s="228" t="s">
        <v>122</v>
      </c>
      <c r="N30" s="228"/>
      <c r="O30" s="228"/>
      <c r="P30" s="295"/>
      <c r="Q30" s="41"/>
    </row>
    <row r="31" spans="1:23" s="40" customFormat="1" ht="18.75" customHeight="1" x14ac:dyDescent="0.3">
      <c r="A31" s="418"/>
      <c r="B31" s="286"/>
      <c r="C31" s="288"/>
      <c r="D31" s="288"/>
      <c r="E31" s="228"/>
      <c r="F31" s="136">
        <v>4</v>
      </c>
      <c r="G31" s="121">
        <v>4</v>
      </c>
      <c r="H31" s="121">
        <v>4</v>
      </c>
      <c r="I31" s="121">
        <v>4</v>
      </c>
      <c r="J31" s="121">
        <v>4</v>
      </c>
      <c r="K31" s="121">
        <v>4</v>
      </c>
      <c r="L31" s="121">
        <v>4</v>
      </c>
      <c r="M31" s="121">
        <v>4</v>
      </c>
      <c r="N31" s="121">
        <v>4</v>
      </c>
      <c r="O31" s="121">
        <v>4</v>
      </c>
      <c r="P31" s="295"/>
      <c r="Q31" s="41"/>
    </row>
    <row r="32" spans="1:23" s="40" customFormat="1" ht="37.5" customHeight="1" x14ac:dyDescent="0.3">
      <c r="A32" s="389" t="s">
        <v>31</v>
      </c>
      <c r="B32" s="324" t="s">
        <v>141</v>
      </c>
      <c r="C32" s="325" t="s">
        <v>86</v>
      </c>
      <c r="D32" s="234" t="s">
        <v>40</v>
      </c>
      <c r="E32" s="226"/>
      <c r="F32" s="135">
        <f>SUM(G32:O32)</f>
        <v>0</v>
      </c>
      <c r="G32" s="226">
        <v>0</v>
      </c>
      <c r="H32" s="226">
        <v>0</v>
      </c>
      <c r="I32" s="322">
        <v>0</v>
      </c>
      <c r="J32" s="322"/>
      <c r="K32" s="322"/>
      <c r="L32" s="322"/>
      <c r="M32" s="322"/>
      <c r="N32" s="226">
        <v>0</v>
      </c>
      <c r="O32" s="226">
        <v>0</v>
      </c>
      <c r="P32" s="330" t="s">
        <v>3</v>
      </c>
      <c r="Q32" s="106"/>
      <c r="R32" s="106"/>
      <c r="S32" s="106"/>
    </row>
    <row r="33" spans="1:19" s="40" customFormat="1" ht="34.799999999999997" x14ac:dyDescent="0.3">
      <c r="A33" s="389"/>
      <c r="B33" s="324"/>
      <c r="C33" s="325"/>
      <c r="D33" s="234" t="s">
        <v>1</v>
      </c>
      <c r="E33" s="226"/>
      <c r="F33" s="135">
        <f>SUM(G33:O33)</f>
        <v>0</v>
      </c>
      <c r="G33" s="226">
        <v>0</v>
      </c>
      <c r="H33" s="226">
        <v>0</v>
      </c>
      <c r="I33" s="322">
        <v>0</v>
      </c>
      <c r="J33" s="322"/>
      <c r="K33" s="322"/>
      <c r="L33" s="322"/>
      <c r="M33" s="322"/>
      <c r="N33" s="226">
        <v>0</v>
      </c>
      <c r="O33" s="226">
        <v>0</v>
      </c>
      <c r="P33" s="330"/>
      <c r="Q33" s="106"/>
      <c r="R33" s="106"/>
      <c r="S33" s="106"/>
    </row>
    <row r="34" spans="1:19" s="40" customFormat="1" ht="54.75" customHeight="1" x14ac:dyDescent="0.3">
      <c r="A34" s="389"/>
      <c r="B34" s="324"/>
      <c r="C34" s="325"/>
      <c r="D34" s="234" t="s">
        <v>48</v>
      </c>
      <c r="E34" s="226">
        <v>0</v>
      </c>
      <c r="F34" s="135">
        <f>SUM(G34:O34)</f>
        <v>41594.9712</v>
      </c>
      <c r="G34" s="226">
        <v>5605.6319999999996</v>
      </c>
      <c r="H34" s="226">
        <v>8239.5060400000002</v>
      </c>
      <c r="I34" s="322">
        <f>9254.064-12.35884</f>
        <v>9241.7051599999995</v>
      </c>
      <c r="J34" s="322"/>
      <c r="K34" s="322"/>
      <c r="L34" s="322"/>
      <c r="M34" s="322"/>
      <c r="N34" s="226">
        <f t="shared" ref="N34:O34" si="22">8314+940.064</f>
        <v>9254.0640000000003</v>
      </c>
      <c r="O34" s="226">
        <f t="shared" si="22"/>
        <v>9254.0640000000003</v>
      </c>
      <c r="P34" s="330"/>
      <c r="Q34" s="106"/>
      <c r="R34" s="106"/>
      <c r="S34" s="106"/>
    </row>
    <row r="35" spans="1:19" s="40" customFormat="1" ht="38.25" customHeight="1" x14ac:dyDescent="0.3">
      <c r="A35" s="389"/>
      <c r="B35" s="324"/>
      <c r="C35" s="325"/>
      <c r="D35" s="234" t="s">
        <v>87</v>
      </c>
      <c r="E35" s="226"/>
      <c r="F35" s="135">
        <f>SUM(G35:O35)</f>
        <v>0</v>
      </c>
      <c r="G35" s="226">
        <v>0</v>
      </c>
      <c r="H35" s="226">
        <v>0</v>
      </c>
      <c r="I35" s="322">
        <v>0</v>
      </c>
      <c r="J35" s="322"/>
      <c r="K35" s="322"/>
      <c r="L35" s="322"/>
      <c r="M35" s="322"/>
      <c r="N35" s="226">
        <v>0</v>
      </c>
      <c r="O35" s="226">
        <v>0</v>
      </c>
      <c r="P35" s="330"/>
      <c r="Q35" s="106"/>
      <c r="R35" s="106"/>
      <c r="S35" s="106"/>
    </row>
    <row r="36" spans="1:19" s="40" customFormat="1" ht="22.5" customHeight="1" x14ac:dyDescent="0.3">
      <c r="A36" s="389"/>
      <c r="B36" s="286" t="s">
        <v>175</v>
      </c>
      <c r="C36" s="288" t="s">
        <v>116</v>
      </c>
      <c r="D36" s="288" t="s">
        <v>116</v>
      </c>
      <c r="E36" s="228"/>
      <c r="F36" s="290" t="s">
        <v>117</v>
      </c>
      <c r="G36" s="227" t="s">
        <v>214</v>
      </c>
      <c r="H36" s="227" t="s">
        <v>215</v>
      </c>
      <c r="I36" s="283" t="s">
        <v>123</v>
      </c>
      <c r="J36" s="284" t="s">
        <v>118</v>
      </c>
      <c r="K36" s="284"/>
      <c r="L36" s="284"/>
      <c r="M36" s="284"/>
      <c r="N36" s="227" t="s">
        <v>124</v>
      </c>
      <c r="O36" s="227" t="s">
        <v>125</v>
      </c>
      <c r="P36" s="295" t="s">
        <v>116</v>
      </c>
      <c r="Q36" s="41"/>
    </row>
    <row r="37" spans="1:19" s="40" customFormat="1" ht="25.5" customHeight="1" x14ac:dyDescent="0.3">
      <c r="A37" s="389"/>
      <c r="B37" s="286"/>
      <c r="C37" s="288"/>
      <c r="D37" s="288"/>
      <c r="E37" s="228"/>
      <c r="F37" s="290"/>
      <c r="G37" s="228"/>
      <c r="H37" s="228"/>
      <c r="I37" s="283"/>
      <c r="J37" s="228" t="s">
        <v>119</v>
      </c>
      <c r="K37" s="228" t="s">
        <v>120</v>
      </c>
      <c r="L37" s="228" t="s">
        <v>121</v>
      </c>
      <c r="M37" s="228" t="s">
        <v>122</v>
      </c>
      <c r="N37" s="228"/>
      <c r="O37" s="228"/>
      <c r="P37" s="295"/>
      <c r="Q37" s="41"/>
    </row>
    <row r="38" spans="1:19" s="40" customFormat="1" ht="21" customHeight="1" x14ac:dyDescent="0.3">
      <c r="A38" s="389"/>
      <c r="B38" s="286"/>
      <c r="C38" s="288"/>
      <c r="D38" s="288"/>
      <c r="E38" s="228"/>
      <c r="F38" s="136">
        <v>100</v>
      </c>
      <c r="G38" s="121">
        <v>100</v>
      </c>
      <c r="H38" s="121">
        <v>100</v>
      </c>
      <c r="I38" s="121">
        <v>100</v>
      </c>
      <c r="J38" s="121">
        <v>100</v>
      </c>
      <c r="K38" s="121">
        <v>100</v>
      </c>
      <c r="L38" s="121">
        <v>100</v>
      </c>
      <c r="M38" s="121">
        <v>100</v>
      </c>
      <c r="N38" s="121">
        <v>100</v>
      </c>
      <c r="O38" s="121">
        <v>100</v>
      </c>
      <c r="P38" s="295"/>
      <c r="Q38" s="41"/>
    </row>
    <row r="39" spans="1:19" s="40" customFormat="1" ht="43.5" customHeight="1" x14ac:dyDescent="0.3">
      <c r="A39" s="389" t="s">
        <v>32</v>
      </c>
      <c r="B39" s="324" t="s">
        <v>244</v>
      </c>
      <c r="C39" s="325" t="s">
        <v>46</v>
      </c>
      <c r="D39" s="234" t="s">
        <v>40</v>
      </c>
      <c r="E39" s="226"/>
      <c r="F39" s="135">
        <f>SUM(G39:O39)</f>
        <v>0</v>
      </c>
      <c r="G39" s="226">
        <v>0</v>
      </c>
      <c r="H39" s="226">
        <v>0</v>
      </c>
      <c r="I39" s="322">
        <v>0</v>
      </c>
      <c r="J39" s="322"/>
      <c r="K39" s="322"/>
      <c r="L39" s="322"/>
      <c r="M39" s="322"/>
      <c r="N39" s="226">
        <v>0</v>
      </c>
      <c r="O39" s="226">
        <v>0</v>
      </c>
      <c r="P39" s="330" t="s">
        <v>246</v>
      </c>
      <c r="Q39" s="106"/>
      <c r="R39" s="106"/>
      <c r="S39" s="106"/>
    </row>
    <row r="40" spans="1:19" s="40" customFormat="1" ht="38.25" customHeight="1" x14ac:dyDescent="0.3">
      <c r="A40" s="389"/>
      <c r="B40" s="324"/>
      <c r="C40" s="325"/>
      <c r="D40" s="234" t="s">
        <v>1</v>
      </c>
      <c r="E40" s="226"/>
      <c r="F40" s="135">
        <f>SUM(G40:O40)</f>
        <v>3752</v>
      </c>
      <c r="G40" s="226">
        <v>0</v>
      </c>
      <c r="H40" s="226">
        <v>3752</v>
      </c>
      <c r="I40" s="322">
        <v>0</v>
      </c>
      <c r="J40" s="322"/>
      <c r="K40" s="322"/>
      <c r="L40" s="322"/>
      <c r="M40" s="322"/>
      <c r="N40" s="226">
        <v>0</v>
      </c>
      <c r="O40" s="226">
        <v>0</v>
      </c>
      <c r="P40" s="330"/>
      <c r="Q40" s="106"/>
      <c r="R40" s="106"/>
      <c r="S40" s="106"/>
    </row>
    <row r="41" spans="1:19" s="40" customFormat="1" ht="52.2" x14ac:dyDescent="0.3">
      <c r="A41" s="389"/>
      <c r="B41" s="324"/>
      <c r="C41" s="325"/>
      <c r="D41" s="234" t="s">
        <v>48</v>
      </c>
      <c r="E41" s="226">
        <v>0</v>
      </c>
      <c r="F41" s="135">
        <f>SUM(G41:O41)</f>
        <v>0</v>
      </c>
      <c r="G41" s="226">
        <v>0</v>
      </c>
      <c r="H41" s="226">
        <v>0</v>
      </c>
      <c r="I41" s="322">
        <v>0</v>
      </c>
      <c r="J41" s="322"/>
      <c r="K41" s="322"/>
      <c r="L41" s="322"/>
      <c r="M41" s="322"/>
      <c r="N41" s="226">
        <v>0</v>
      </c>
      <c r="O41" s="226">
        <v>0</v>
      </c>
      <c r="P41" s="330"/>
      <c r="Q41" s="106"/>
      <c r="R41" s="106"/>
      <c r="S41" s="106"/>
    </row>
    <row r="42" spans="1:19" s="40" customFormat="1" ht="48" customHeight="1" x14ac:dyDescent="0.3">
      <c r="A42" s="389"/>
      <c r="B42" s="324"/>
      <c r="C42" s="325"/>
      <c r="D42" s="234" t="s">
        <v>87</v>
      </c>
      <c r="E42" s="226"/>
      <c r="F42" s="135">
        <f>SUM(G42:O42)</f>
        <v>0</v>
      </c>
      <c r="G42" s="226">
        <v>0</v>
      </c>
      <c r="H42" s="226">
        <v>0</v>
      </c>
      <c r="I42" s="322">
        <v>0</v>
      </c>
      <c r="J42" s="322"/>
      <c r="K42" s="322"/>
      <c r="L42" s="322"/>
      <c r="M42" s="322"/>
      <c r="N42" s="226">
        <v>0</v>
      </c>
      <c r="O42" s="226">
        <v>0</v>
      </c>
      <c r="P42" s="330"/>
      <c r="Q42" s="106"/>
      <c r="R42" s="106"/>
      <c r="S42" s="106"/>
    </row>
    <row r="43" spans="1:19" s="40" customFormat="1" ht="26.4" customHeight="1" x14ac:dyDescent="0.3">
      <c r="A43" s="389"/>
      <c r="B43" s="435" t="s">
        <v>245</v>
      </c>
      <c r="C43" s="288" t="s">
        <v>116</v>
      </c>
      <c r="D43" s="288" t="s">
        <v>116</v>
      </c>
      <c r="E43" s="228"/>
      <c r="F43" s="290" t="s">
        <v>117</v>
      </c>
      <c r="G43" s="227" t="s">
        <v>214</v>
      </c>
      <c r="H43" s="227" t="s">
        <v>215</v>
      </c>
      <c r="I43" s="283" t="s">
        <v>123</v>
      </c>
      <c r="J43" s="284" t="s">
        <v>118</v>
      </c>
      <c r="K43" s="284"/>
      <c r="L43" s="284"/>
      <c r="M43" s="284"/>
      <c r="N43" s="227" t="s">
        <v>124</v>
      </c>
      <c r="O43" s="227" t="s">
        <v>125</v>
      </c>
      <c r="P43" s="295" t="s">
        <v>116</v>
      </c>
      <c r="Q43" s="41"/>
    </row>
    <row r="44" spans="1:19" s="40" customFormat="1" ht="21" customHeight="1" x14ac:dyDescent="0.3">
      <c r="A44" s="389"/>
      <c r="B44" s="435"/>
      <c r="C44" s="288"/>
      <c r="D44" s="288"/>
      <c r="E44" s="228"/>
      <c r="F44" s="290"/>
      <c r="G44" s="228"/>
      <c r="H44" s="228"/>
      <c r="I44" s="283"/>
      <c r="J44" s="228" t="s">
        <v>119</v>
      </c>
      <c r="K44" s="228" t="s">
        <v>120</v>
      </c>
      <c r="L44" s="228" t="s">
        <v>121</v>
      </c>
      <c r="M44" s="228" t="s">
        <v>122</v>
      </c>
      <c r="N44" s="228"/>
      <c r="O44" s="228"/>
      <c r="P44" s="295"/>
      <c r="Q44" s="41"/>
    </row>
    <row r="45" spans="1:19" s="40" customFormat="1" ht="37.5" customHeight="1" x14ac:dyDescent="0.3">
      <c r="A45" s="389"/>
      <c r="B45" s="435"/>
      <c r="C45" s="288"/>
      <c r="D45" s="288"/>
      <c r="E45" s="228"/>
      <c r="F45" s="195">
        <f>H45</f>
        <v>106.86</v>
      </c>
      <c r="G45" s="121">
        <v>0</v>
      </c>
      <c r="H45" s="194">
        <v>106.86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295"/>
      <c r="Q45" s="41"/>
    </row>
    <row r="46" spans="1:19" s="9" customFormat="1" ht="27.75" customHeight="1" x14ac:dyDescent="0.3">
      <c r="A46" s="345" t="s">
        <v>8</v>
      </c>
      <c r="B46" s="346" t="s">
        <v>218</v>
      </c>
      <c r="C46" s="347" t="s">
        <v>250</v>
      </c>
      <c r="D46" s="131" t="s">
        <v>2</v>
      </c>
      <c r="E46" s="232" t="e">
        <f>E48+E49</f>
        <v>#REF!</v>
      </c>
      <c r="F46" s="135">
        <f>SUM(G46:O46)</f>
        <v>7019</v>
      </c>
      <c r="G46" s="232">
        <f t="shared" ref="G46:H46" si="23">G47+G48+G49+G50</f>
        <v>333</v>
      </c>
      <c r="H46" s="232">
        <f t="shared" si="23"/>
        <v>2178</v>
      </c>
      <c r="I46" s="298">
        <f>I47+I48+I49+I50</f>
        <v>4508</v>
      </c>
      <c r="J46" s="298"/>
      <c r="K46" s="298"/>
      <c r="L46" s="298"/>
      <c r="M46" s="298"/>
      <c r="N46" s="232">
        <f t="shared" ref="N46:O46" si="24">N47+N48+N49+N50</f>
        <v>0</v>
      </c>
      <c r="O46" s="232">
        <f t="shared" si="24"/>
        <v>0</v>
      </c>
      <c r="P46" s="299"/>
      <c r="Q46" s="96"/>
      <c r="R46" s="96"/>
      <c r="S46" s="96"/>
    </row>
    <row r="47" spans="1:19" s="9" customFormat="1" ht="39" customHeight="1" x14ac:dyDescent="0.3">
      <c r="A47" s="345"/>
      <c r="B47" s="346"/>
      <c r="C47" s="347"/>
      <c r="D47" s="224" t="s">
        <v>40</v>
      </c>
      <c r="E47" s="232"/>
      <c r="F47" s="135">
        <f>SUM(I47:O47)</f>
        <v>0</v>
      </c>
      <c r="G47" s="233">
        <f>G51</f>
        <v>0</v>
      </c>
      <c r="H47" s="233">
        <f t="shared" ref="H47" si="25">H51</f>
        <v>0</v>
      </c>
      <c r="I47" s="282">
        <f>I51</f>
        <v>0</v>
      </c>
      <c r="J47" s="282"/>
      <c r="K47" s="282"/>
      <c r="L47" s="282"/>
      <c r="M47" s="282"/>
      <c r="N47" s="233">
        <f t="shared" ref="N47:O47" si="26">N51</f>
        <v>0</v>
      </c>
      <c r="O47" s="233">
        <f t="shared" si="26"/>
        <v>0</v>
      </c>
      <c r="P47" s="299"/>
      <c r="Q47" s="96"/>
      <c r="R47" s="96"/>
      <c r="S47" s="96"/>
    </row>
    <row r="48" spans="1:19" s="9" customFormat="1" ht="41.25" customHeight="1" x14ac:dyDescent="0.3">
      <c r="A48" s="345"/>
      <c r="B48" s="346"/>
      <c r="C48" s="347"/>
      <c r="D48" s="224" t="s">
        <v>1</v>
      </c>
      <c r="E48" s="233" t="e">
        <f>#REF!+#REF!</f>
        <v>#REF!</v>
      </c>
      <c r="F48" s="135">
        <f>SUM(G48:O48)</f>
        <v>7019</v>
      </c>
      <c r="G48" s="233">
        <f t="shared" ref="G48:H48" si="27">G52+G62</f>
        <v>333</v>
      </c>
      <c r="H48" s="233">
        <f t="shared" si="27"/>
        <v>2178</v>
      </c>
      <c r="I48" s="282">
        <f>I52+I62</f>
        <v>4508</v>
      </c>
      <c r="J48" s="282"/>
      <c r="K48" s="282"/>
      <c r="L48" s="282"/>
      <c r="M48" s="282"/>
      <c r="N48" s="233">
        <f t="shared" ref="N48:O48" si="28">N52+N62</f>
        <v>0</v>
      </c>
      <c r="O48" s="233">
        <f t="shared" si="28"/>
        <v>0</v>
      </c>
      <c r="P48" s="299"/>
      <c r="Q48" s="96"/>
      <c r="R48" s="96"/>
      <c r="S48" s="96"/>
    </row>
    <row r="49" spans="1:19" s="9" customFormat="1" ht="56.25" customHeight="1" x14ac:dyDescent="0.3">
      <c r="A49" s="345"/>
      <c r="B49" s="346"/>
      <c r="C49" s="347"/>
      <c r="D49" s="224" t="s">
        <v>48</v>
      </c>
      <c r="E49" s="229" t="e">
        <f>#REF!+#REF!</f>
        <v>#REF!</v>
      </c>
      <c r="F49" s="135">
        <f>SUM(I49:O49)</f>
        <v>0</v>
      </c>
      <c r="G49" s="229">
        <f t="shared" ref="G49:H49" si="29">G53+G63</f>
        <v>0</v>
      </c>
      <c r="H49" s="229">
        <f t="shared" si="29"/>
        <v>0</v>
      </c>
      <c r="I49" s="304">
        <f>I53+I63</f>
        <v>0</v>
      </c>
      <c r="J49" s="304"/>
      <c r="K49" s="304"/>
      <c r="L49" s="304"/>
      <c r="M49" s="304"/>
      <c r="N49" s="229">
        <f t="shared" ref="N49:O49" si="30">N53+N63</f>
        <v>0</v>
      </c>
      <c r="O49" s="229">
        <f t="shared" si="30"/>
        <v>0</v>
      </c>
      <c r="P49" s="299"/>
      <c r="Q49" s="96"/>
      <c r="R49" s="96"/>
      <c r="S49" s="96"/>
    </row>
    <row r="50" spans="1:19" s="9" customFormat="1" ht="34.799999999999997" x14ac:dyDescent="0.3">
      <c r="A50" s="345"/>
      <c r="B50" s="346"/>
      <c r="C50" s="347"/>
      <c r="D50" s="224" t="s">
        <v>87</v>
      </c>
      <c r="E50" s="229"/>
      <c r="F50" s="135">
        <f>SUM(I50:O50)</f>
        <v>0</v>
      </c>
      <c r="G50" s="229">
        <f>G54</f>
        <v>0</v>
      </c>
      <c r="H50" s="229">
        <f t="shared" ref="H50" si="31">H54</f>
        <v>0</v>
      </c>
      <c r="I50" s="304">
        <f>I54</f>
        <v>0</v>
      </c>
      <c r="J50" s="304"/>
      <c r="K50" s="304"/>
      <c r="L50" s="304"/>
      <c r="M50" s="304"/>
      <c r="N50" s="229">
        <f t="shared" ref="N50:O50" si="32">N54</f>
        <v>0</v>
      </c>
      <c r="O50" s="229">
        <f t="shared" si="32"/>
        <v>0</v>
      </c>
      <c r="P50" s="299"/>
      <c r="Q50" s="96"/>
      <c r="R50" s="96"/>
      <c r="S50" s="96"/>
    </row>
    <row r="51" spans="1:19" s="40" customFormat="1" ht="43.5" customHeight="1" x14ac:dyDescent="0.3">
      <c r="A51" s="389" t="s">
        <v>34</v>
      </c>
      <c r="B51" s="324" t="s">
        <v>197</v>
      </c>
      <c r="C51" s="325" t="s">
        <v>250</v>
      </c>
      <c r="D51" s="234" t="s">
        <v>40</v>
      </c>
      <c r="E51" s="226"/>
      <c r="F51" s="135">
        <f>SUM(I51:O51)</f>
        <v>0</v>
      </c>
      <c r="G51" s="226">
        <v>0</v>
      </c>
      <c r="H51" s="226">
        <v>0</v>
      </c>
      <c r="I51" s="322">
        <v>0</v>
      </c>
      <c r="J51" s="322"/>
      <c r="K51" s="322"/>
      <c r="L51" s="322"/>
      <c r="M51" s="322"/>
      <c r="N51" s="226">
        <v>0</v>
      </c>
      <c r="O51" s="226">
        <v>0</v>
      </c>
      <c r="P51" s="330" t="s">
        <v>3</v>
      </c>
      <c r="Q51" s="106"/>
      <c r="R51" s="106"/>
      <c r="S51" s="106"/>
    </row>
    <row r="52" spans="1:19" s="40" customFormat="1" ht="34.799999999999997" x14ac:dyDescent="0.3">
      <c r="A52" s="389"/>
      <c r="B52" s="324"/>
      <c r="C52" s="325"/>
      <c r="D52" s="234" t="s">
        <v>1</v>
      </c>
      <c r="E52" s="226"/>
      <c r="F52" s="135">
        <f>SUM(G52:O52)</f>
        <v>7019</v>
      </c>
      <c r="G52" s="226">
        <v>333</v>
      </c>
      <c r="H52" s="226">
        <v>2178</v>
      </c>
      <c r="I52" s="322">
        <v>4508</v>
      </c>
      <c r="J52" s="322"/>
      <c r="K52" s="322"/>
      <c r="L52" s="322"/>
      <c r="M52" s="322"/>
      <c r="N52" s="226">
        <v>0</v>
      </c>
      <c r="O52" s="226">
        <v>0</v>
      </c>
      <c r="P52" s="330"/>
      <c r="Q52" s="106"/>
      <c r="R52" s="106"/>
      <c r="S52" s="106"/>
    </row>
    <row r="53" spans="1:19" s="40" customFormat="1" ht="52.2" x14ac:dyDescent="0.3">
      <c r="A53" s="389"/>
      <c r="B53" s="324"/>
      <c r="C53" s="325"/>
      <c r="D53" s="234" t="s">
        <v>48</v>
      </c>
      <c r="E53" s="226">
        <v>0</v>
      </c>
      <c r="F53" s="135">
        <f>SUM(I53:O53)</f>
        <v>0</v>
      </c>
      <c r="G53" s="226">
        <v>0</v>
      </c>
      <c r="H53" s="226">
        <v>0</v>
      </c>
      <c r="I53" s="322">
        <v>0</v>
      </c>
      <c r="J53" s="322"/>
      <c r="K53" s="322"/>
      <c r="L53" s="322"/>
      <c r="M53" s="322"/>
      <c r="N53" s="226">
        <v>0</v>
      </c>
      <c r="O53" s="226">
        <v>0</v>
      </c>
      <c r="P53" s="330"/>
      <c r="Q53" s="106"/>
      <c r="R53" s="106"/>
      <c r="S53" s="106"/>
    </row>
    <row r="54" spans="1:19" s="40" customFormat="1" ht="39.75" customHeight="1" x14ac:dyDescent="0.3">
      <c r="A54" s="389"/>
      <c r="B54" s="324"/>
      <c r="C54" s="325"/>
      <c r="D54" s="234" t="s">
        <v>87</v>
      </c>
      <c r="E54" s="226"/>
      <c r="F54" s="135">
        <f>SUM(I54:O54)</f>
        <v>0</v>
      </c>
      <c r="G54" s="226">
        <v>0</v>
      </c>
      <c r="H54" s="226">
        <v>0</v>
      </c>
      <c r="I54" s="322">
        <v>0</v>
      </c>
      <c r="J54" s="322"/>
      <c r="K54" s="322"/>
      <c r="L54" s="322"/>
      <c r="M54" s="322"/>
      <c r="N54" s="226">
        <v>0</v>
      </c>
      <c r="O54" s="226">
        <v>0</v>
      </c>
      <c r="P54" s="330"/>
      <c r="Q54" s="106"/>
      <c r="R54" s="106"/>
      <c r="S54" s="106"/>
    </row>
    <row r="55" spans="1:19" s="40" customFormat="1" ht="27.6" customHeight="1" x14ac:dyDescent="0.3">
      <c r="A55" s="389"/>
      <c r="B55" s="286" t="s">
        <v>242</v>
      </c>
      <c r="C55" s="288" t="s">
        <v>116</v>
      </c>
      <c r="D55" s="288" t="s">
        <v>116</v>
      </c>
      <c r="E55" s="228"/>
      <c r="F55" s="290" t="s">
        <v>117</v>
      </c>
      <c r="G55" s="227" t="s">
        <v>214</v>
      </c>
      <c r="H55" s="227" t="s">
        <v>215</v>
      </c>
      <c r="I55" s="283" t="s">
        <v>123</v>
      </c>
      <c r="J55" s="284" t="s">
        <v>118</v>
      </c>
      <c r="K55" s="284"/>
      <c r="L55" s="284"/>
      <c r="M55" s="284"/>
      <c r="N55" s="227" t="s">
        <v>124</v>
      </c>
      <c r="O55" s="227" t="s">
        <v>125</v>
      </c>
      <c r="P55" s="295" t="s">
        <v>116</v>
      </c>
      <c r="Q55" s="41"/>
    </row>
    <row r="56" spans="1:19" s="40" customFormat="1" ht="27" customHeight="1" x14ac:dyDescent="0.3">
      <c r="A56" s="389"/>
      <c r="B56" s="286"/>
      <c r="C56" s="288"/>
      <c r="D56" s="288"/>
      <c r="E56" s="228"/>
      <c r="F56" s="290"/>
      <c r="G56" s="228"/>
      <c r="H56" s="228"/>
      <c r="I56" s="283"/>
      <c r="J56" s="228" t="s">
        <v>119</v>
      </c>
      <c r="K56" s="228" t="s">
        <v>120</v>
      </c>
      <c r="L56" s="228" t="s">
        <v>121</v>
      </c>
      <c r="M56" s="228" t="s">
        <v>122</v>
      </c>
      <c r="N56" s="228"/>
      <c r="O56" s="228"/>
      <c r="P56" s="295"/>
      <c r="Q56" s="41"/>
    </row>
    <row r="57" spans="1:19" s="40" customFormat="1" ht="38.4" customHeight="1" x14ac:dyDescent="0.3">
      <c r="A57" s="389"/>
      <c r="B57" s="286"/>
      <c r="C57" s="288"/>
      <c r="D57" s="288"/>
      <c r="E57" s="228"/>
      <c r="F57" s="136">
        <f>G57+H57</f>
        <v>228</v>
      </c>
      <c r="G57" s="121">
        <v>74</v>
      </c>
      <c r="H57" s="121">
        <v>154</v>
      </c>
      <c r="I57" s="255" t="s">
        <v>262</v>
      </c>
      <c r="J57" s="255" t="s">
        <v>262</v>
      </c>
      <c r="K57" s="255" t="s">
        <v>262</v>
      </c>
      <c r="L57" s="255" t="s">
        <v>262</v>
      </c>
      <c r="M57" s="255" t="s">
        <v>262</v>
      </c>
      <c r="N57" s="121" t="s">
        <v>262</v>
      </c>
      <c r="O57" s="121" t="s">
        <v>262</v>
      </c>
      <c r="P57" s="295"/>
      <c r="Q57" s="41"/>
    </row>
    <row r="58" spans="1:19" s="40" customFormat="1" ht="27.75" customHeight="1" x14ac:dyDescent="0.3">
      <c r="A58" s="389"/>
      <c r="B58" s="286" t="s">
        <v>258</v>
      </c>
      <c r="C58" s="288" t="s">
        <v>116</v>
      </c>
      <c r="D58" s="288" t="s">
        <v>116</v>
      </c>
      <c r="E58" s="228"/>
      <c r="F58" s="290" t="s">
        <v>117</v>
      </c>
      <c r="G58" s="227" t="s">
        <v>214</v>
      </c>
      <c r="H58" s="227" t="s">
        <v>215</v>
      </c>
      <c r="I58" s="283" t="s">
        <v>123</v>
      </c>
      <c r="J58" s="284" t="s">
        <v>118</v>
      </c>
      <c r="K58" s="284"/>
      <c r="L58" s="284"/>
      <c r="M58" s="284"/>
      <c r="N58" s="227" t="s">
        <v>124</v>
      </c>
      <c r="O58" s="227" t="s">
        <v>125</v>
      </c>
      <c r="P58" s="295" t="s">
        <v>116</v>
      </c>
      <c r="Q58" s="41"/>
    </row>
    <row r="59" spans="1:19" s="40" customFormat="1" ht="28.5" customHeight="1" x14ac:dyDescent="0.3">
      <c r="A59" s="389"/>
      <c r="B59" s="286"/>
      <c r="C59" s="288"/>
      <c r="D59" s="288"/>
      <c r="E59" s="228"/>
      <c r="F59" s="290"/>
      <c r="G59" s="228"/>
      <c r="H59" s="228"/>
      <c r="I59" s="283"/>
      <c r="J59" s="228" t="s">
        <v>119</v>
      </c>
      <c r="K59" s="228" t="s">
        <v>120</v>
      </c>
      <c r="L59" s="228" t="s">
        <v>121</v>
      </c>
      <c r="M59" s="228" t="s">
        <v>122</v>
      </c>
      <c r="N59" s="228"/>
      <c r="O59" s="228"/>
      <c r="P59" s="295"/>
      <c r="Q59" s="41"/>
    </row>
    <row r="60" spans="1:19" s="40" customFormat="1" ht="34.5" customHeight="1" x14ac:dyDescent="0.3">
      <c r="A60" s="389"/>
      <c r="B60" s="286"/>
      <c r="C60" s="288"/>
      <c r="D60" s="288"/>
      <c r="E60" s="228"/>
      <c r="F60" s="136">
        <v>100</v>
      </c>
      <c r="G60" s="121" t="s">
        <v>262</v>
      </c>
      <c r="H60" s="121" t="s">
        <v>262</v>
      </c>
      <c r="I60" s="255">
        <v>100</v>
      </c>
      <c r="J60" s="255">
        <v>100</v>
      </c>
      <c r="K60" s="255">
        <v>100</v>
      </c>
      <c r="L60" s="255">
        <v>100</v>
      </c>
      <c r="M60" s="255">
        <v>100</v>
      </c>
      <c r="N60" s="121">
        <v>0</v>
      </c>
      <c r="O60" s="121">
        <v>0</v>
      </c>
      <c r="P60" s="295"/>
      <c r="Q60" s="41"/>
    </row>
    <row r="61" spans="1:19" s="9" customFormat="1" ht="29.25" customHeight="1" x14ac:dyDescent="0.3">
      <c r="A61" s="345" t="s">
        <v>37</v>
      </c>
      <c r="B61" s="346" t="s">
        <v>109</v>
      </c>
      <c r="C61" s="347" t="s">
        <v>86</v>
      </c>
      <c r="D61" s="131" t="s">
        <v>2</v>
      </c>
      <c r="E61" s="232" t="e">
        <f>E63+E64</f>
        <v>#REF!</v>
      </c>
      <c r="F61" s="135">
        <f t="shared" ref="F61:F65" si="33">SUM(G61:O61)</f>
        <v>181527.71100000001</v>
      </c>
      <c r="G61" s="232">
        <f t="shared" ref="G61:H61" si="34">G62+G63+G64+G65</f>
        <v>12718.079</v>
      </c>
      <c r="H61" s="232">
        <f t="shared" si="34"/>
        <v>35778.392</v>
      </c>
      <c r="I61" s="298">
        <f>I62+I63+I64+I65</f>
        <v>52783.24</v>
      </c>
      <c r="J61" s="298"/>
      <c r="K61" s="298"/>
      <c r="L61" s="298"/>
      <c r="M61" s="298"/>
      <c r="N61" s="232">
        <f t="shared" ref="N61:O61" si="35">N62+N63+N64+N65</f>
        <v>40124</v>
      </c>
      <c r="O61" s="232">
        <f t="shared" si="35"/>
        <v>40124</v>
      </c>
      <c r="P61" s="299"/>
      <c r="Q61" s="96"/>
      <c r="R61" s="96"/>
      <c r="S61" s="96"/>
    </row>
    <row r="62" spans="1:19" s="9" customFormat="1" ht="34.799999999999997" x14ac:dyDescent="0.3">
      <c r="A62" s="345"/>
      <c r="B62" s="346"/>
      <c r="C62" s="347"/>
      <c r="D62" s="224" t="s">
        <v>40</v>
      </c>
      <c r="E62" s="232"/>
      <c r="F62" s="135">
        <f t="shared" si="33"/>
        <v>0</v>
      </c>
      <c r="G62" s="233">
        <f>G66</f>
        <v>0</v>
      </c>
      <c r="H62" s="233">
        <f>H66</f>
        <v>0</v>
      </c>
      <c r="I62" s="282">
        <f>I66</f>
        <v>0</v>
      </c>
      <c r="J62" s="282"/>
      <c r="K62" s="282"/>
      <c r="L62" s="282"/>
      <c r="M62" s="282"/>
      <c r="N62" s="233">
        <f>N66</f>
        <v>0</v>
      </c>
      <c r="O62" s="233">
        <f>O66</f>
        <v>0</v>
      </c>
      <c r="P62" s="299"/>
      <c r="Q62" s="96"/>
      <c r="R62" s="96"/>
      <c r="S62" s="96"/>
    </row>
    <row r="63" spans="1:19" s="9" customFormat="1" ht="34.799999999999997" x14ac:dyDescent="0.3">
      <c r="A63" s="345"/>
      <c r="B63" s="346"/>
      <c r="C63" s="347"/>
      <c r="D63" s="224" t="s">
        <v>1</v>
      </c>
      <c r="E63" s="233" t="e">
        <f>#REF!+#REF!</f>
        <v>#REF!</v>
      </c>
      <c r="F63" s="135">
        <f t="shared" si="33"/>
        <v>0</v>
      </c>
      <c r="G63" s="233">
        <f t="shared" ref="G63:I63" si="36">G67</f>
        <v>0</v>
      </c>
      <c r="H63" s="233">
        <f t="shared" si="36"/>
        <v>0</v>
      </c>
      <c r="I63" s="282">
        <f t="shared" si="36"/>
        <v>0</v>
      </c>
      <c r="J63" s="282"/>
      <c r="K63" s="282"/>
      <c r="L63" s="282"/>
      <c r="M63" s="282"/>
      <c r="N63" s="233">
        <f t="shared" ref="N63:O63" si="37">N67</f>
        <v>0</v>
      </c>
      <c r="O63" s="233">
        <f t="shared" si="37"/>
        <v>0</v>
      </c>
      <c r="P63" s="299"/>
      <c r="Q63" s="96"/>
      <c r="R63" s="96"/>
      <c r="S63" s="96"/>
    </row>
    <row r="64" spans="1:19" s="9" customFormat="1" ht="52.2" x14ac:dyDescent="0.3">
      <c r="A64" s="345"/>
      <c r="B64" s="346"/>
      <c r="C64" s="347"/>
      <c r="D64" s="224" t="s">
        <v>48</v>
      </c>
      <c r="E64" s="229" t="e">
        <f>#REF!+#REF!</f>
        <v>#REF!</v>
      </c>
      <c r="F64" s="135">
        <f t="shared" si="33"/>
        <v>181527.71100000001</v>
      </c>
      <c r="G64" s="233">
        <f t="shared" ref="G64:I64" si="38">G68</f>
        <v>12718.079</v>
      </c>
      <c r="H64" s="233">
        <f t="shared" si="38"/>
        <v>35778.392</v>
      </c>
      <c r="I64" s="282">
        <f t="shared" si="38"/>
        <v>52783.24</v>
      </c>
      <c r="J64" s="282"/>
      <c r="K64" s="282"/>
      <c r="L64" s="282"/>
      <c r="M64" s="282"/>
      <c r="N64" s="233">
        <f t="shared" ref="N64:O64" si="39">N68</f>
        <v>40124</v>
      </c>
      <c r="O64" s="233">
        <f t="shared" si="39"/>
        <v>40124</v>
      </c>
      <c r="P64" s="299"/>
      <c r="Q64" s="96"/>
      <c r="R64" s="96"/>
      <c r="S64" s="96"/>
    </row>
    <row r="65" spans="1:21" s="9" customFormat="1" ht="34.799999999999997" x14ac:dyDescent="0.3">
      <c r="A65" s="345"/>
      <c r="B65" s="346"/>
      <c r="C65" s="347"/>
      <c r="D65" s="224" t="s">
        <v>87</v>
      </c>
      <c r="E65" s="229"/>
      <c r="F65" s="135">
        <f t="shared" si="33"/>
        <v>0</v>
      </c>
      <c r="G65" s="233">
        <f t="shared" ref="G65:I65" si="40">G69</f>
        <v>0</v>
      </c>
      <c r="H65" s="233">
        <f t="shared" si="40"/>
        <v>0</v>
      </c>
      <c r="I65" s="282">
        <f t="shared" si="40"/>
        <v>0</v>
      </c>
      <c r="J65" s="282"/>
      <c r="K65" s="282"/>
      <c r="L65" s="282"/>
      <c r="M65" s="282"/>
      <c r="N65" s="233">
        <f t="shared" ref="N65:O65" si="41">N69</f>
        <v>0</v>
      </c>
      <c r="O65" s="233">
        <f t="shared" si="41"/>
        <v>0</v>
      </c>
      <c r="P65" s="299"/>
      <c r="Q65" s="96"/>
      <c r="R65" s="96"/>
      <c r="S65" s="96"/>
    </row>
    <row r="66" spans="1:21" s="40" customFormat="1" ht="34.799999999999997" x14ac:dyDescent="0.3">
      <c r="A66" s="413" t="s">
        <v>198</v>
      </c>
      <c r="B66" s="324" t="s">
        <v>202</v>
      </c>
      <c r="C66" s="325" t="s">
        <v>201</v>
      </c>
      <c r="D66" s="234" t="s">
        <v>40</v>
      </c>
      <c r="E66" s="226"/>
      <c r="F66" s="135">
        <f>SUM(G66:O66)</f>
        <v>0</v>
      </c>
      <c r="G66" s="226">
        <v>0</v>
      </c>
      <c r="H66" s="226">
        <v>0</v>
      </c>
      <c r="I66" s="322">
        <v>0</v>
      </c>
      <c r="J66" s="322"/>
      <c r="K66" s="322"/>
      <c r="L66" s="322"/>
      <c r="M66" s="322"/>
      <c r="N66" s="226">
        <v>0</v>
      </c>
      <c r="O66" s="226">
        <v>0</v>
      </c>
      <c r="P66" s="330" t="s">
        <v>65</v>
      </c>
      <c r="Q66" s="106"/>
      <c r="R66" s="106"/>
      <c r="S66" s="106"/>
    </row>
    <row r="67" spans="1:21" s="40" customFormat="1" ht="34.799999999999997" x14ac:dyDescent="0.3">
      <c r="A67" s="414"/>
      <c r="B67" s="324"/>
      <c r="C67" s="325"/>
      <c r="D67" s="234" t="s">
        <v>1</v>
      </c>
      <c r="E67" s="226"/>
      <c r="F67" s="135">
        <f>SUM(G67:O67)</f>
        <v>0</v>
      </c>
      <c r="G67" s="226">
        <v>0</v>
      </c>
      <c r="H67" s="226">
        <v>0</v>
      </c>
      <c r="I67" s="322">
        <v>0</v>
      </c>
      <c r="J67" s="322"/>
      <c r="K67" s="322"/>
      <c r="L67" s="322"/>
      <c r="M67" s="322"/>
      <c r="N67" s="226">
        <v>0</v>
      </c>
      <c r="O67" s="226">
        <v>0</v>
      </c>
      <c r="P67" s="330"/>
      <c r="Q67" s="106"/>
      <c r="R67" s="106"/>
      <c r="S67" s="106"/>
    </row>
    <row r="68" spans="1:21" s="40" customFormat="1" ht="52.2" x14ac:dyDescent="0.3">
      <c r="A68" s="414"/>
      <c r="B68" s="324"/>
      <c r="C68" s="325"/>
      <c r="D68" s="234" t="s">
        <v>48</v>
      </c>
      <c r="E68" s="226">
        <v>0</v>
      </c>
      <c r="F68" s="135">
        <f>SUM(G68:O68)</f>
        <v>181527.71100000001</v>
      </c>
      <c r="G68" s="226">
        <v>12718.079</v>
      </c>
      <c r="H68" s="226">
        <v>35778.392</v>
      </c>
      <c r="I68" s="322">
        <f>40124+12659.24</f>
        <v>52783.24</v>
      </c>
      <c r="J68" s="322"/>
      <c r="K68" s="322"/>
      <c r="L68" s="322"/>
      <c r="M68" s="322"/>
      <c r="N68" s="226">
        <v>40124</v>
      </c>
      <c r="O68" s="226">
        <v>40124</v>
      </c>
      <c r="P68" s="330"/>
      <c r="Q68" s="106"/>
      <c r="R68" s="106"/>
      <c r="S68" s="106"/>
    </row>
    <row r="69" spans="1:21" s="40" customFormat="1" ht="34.799999999999997" x14ac:dyDescent="0.3">
      <c r="A69" s="414"/>
      <c r="B69" s="324"/>
      <c r="C69" s="325"/>
      <c r="D69" s="234" t="s">
        <v>87</v>
      </c>
      <c r="E69" s="226"/>
      <c r="F69" s="135">
        <f>SUM(G69:O69)</f>
        <v>0</v>
      </c>
      <c r="G69" s="226">
        <v>0</v>
      </c>
      <c r="H69" s="226">
        <v>0</v>
      </c>
      <c r="I69" s="322">
        <v>0</v>
      </c>
      <c r="J69" s="322"/>
      <c r="K69" s="322"/>
      <c r="L69" s="322"/>
      <c r="M69" s="322"/>
      <c r="N69" s="226">
        <v>0</v>
      </c>
      <c r="O69" s="226">
        <v>0</v>
      </c>
      <c r="P69" s="330"/>
      <c r="Q69" s="106"/>
      <c r="R69" s="106"/>
      <c r="S69" s="106"/>
    </row>
    <row r="70" spans="1:21" s="40" customFormat="1" ht="28.2" customHeight="1" x14ac:dyDescent="0.3">
      <c r="A70" s="414"/>
      <c r="B70" s="286" t="s">
        <v>176</v>
      </c>
      <c r="C70" s="288" t="s">
        <v>116</v>
      </c>
      <c r="D70" s="288" t="s">
        <v>116</v>
      </c>
      <c r="E70" s="228"/>
      <c r="F70" s="290" t="s">
        <v>117</v>
      </c>
      <c r="G70" s="227" t="s">
        <v>214</v>
      </c>
      <c r="H70" s="227" t="s">
        <v>215</v>
      </c>
      <c r="I70" s="283" t="s">
        <v>123</v>
      </c>
      <c r="J70" s="284" t="s">
        <v>118</v>
      </c>
      <c r="K70" s="284"/>
      <c r="L70" s="284"/>
      <c r="M70" s="284"/>
      <c r="N70" s="227" t="s">
        <v>124</v>
      </c>
      <c r="O70" s="227" t="s">
        <v>125</v>
      </c>
      <c r="P70" s="295" t="s">
        <v>116</v>
      </c>
      <c r="Q70" s="41"/>
    </row>
    <row r="71" spans="1:21" s="40" customFormat="1" ht="28.5" customHeight="1" x14ac:dyDescent="0.3">
      <c r="A71" s="414"/>
      <c r="B71" s="286"/>
      <c r="C71" s="288"/>
      <c r="D71" s="288"/>
      <c r="E71" s="228"/>
      <c r="F71" s="290"/>
      <c r="G71" s="228"/>
      <c r="H71" s="228"/>
      <c r="I71" s="283"/>
      <c r="J71" s="228" t="s">
        <v>119</v>
      </c>
      <c r="K71" s="228" t="s">
        <v>120</v>
      </c>
      <c r="L71" s="228" t="s">
        <v>121</v>
      </c>
      <c r="M71" s="228" t="s">
        <v>122</v>
      </c>
      <c r="N71" s="228"/>
      <c r="O71" s="228"/>
      <c r="P71" s="295"/>
      <c r="Q71" s="41"/>
    </row>
    <row r="72" spans="1:21" s="40" customFormat="1" ht="36" customHeight="1" x14ac:dyDescent="0.3">
      <c r="A72" s="415"/>
      <c r="B72" s="286"/>
      <c r="C72" s="288"/>
      <c r="D72" s="288"/>
      <c r="E72" s="228"/>
      <c r="F72" s="136">
        <v>100</v>
      </c>
      <c r="G72" s="121">
        <v>100</v>
      </c>
      <c r="H72" s="121">
        <v>100</v>
      </c>
      <c r="I72" s="121">
        <v>100</v>
      </c>
      <c r="J72" s="121">
        <v>100</v>
      </c>
      <c r="K72" s="121">
        <v>100</v>
      </c>
      <c r="L72" s="121">
        <v>100</v>
      </c>
      <c r="M72" s="121">
        <v>100</v>
      </c>
      <c r="N72" s="121">
        <v>100</v>
      </c>
      <c r="O72" s="121">
        <v>100</v>
      </c>
      <c r="P72" s="295"/>
      <c r="Q72" s="41"/>
    </row>
    <row r="73" spans="1:21" s="9" customFormat="1" ht="32.25" customHeight="1" x14ac:dyDescent="0.3">
      <c r="A73" s="374" t="s">
        <v>9</v>
      </c>
      <c r="B73" s="351" t="s">
        <v>231</v>
      </c>
      <c r="C73" s="351" t="s">
        <v>46</v>
      </c>
      <c r="D73" s="220" t="s">
        <v>2</v>
      </c>
      <c r="E73" s="230" t="e">
        <f>E75+E76+E74</f>
        <v>#REF!</v>
      </c>
      <c r="F73" s="135">
        <f t="shared" ref="F73:F81" si="42">SUM(G73:O73)</f>
        <v>15267.931240000002</v>
      </c>
      <c r="G73" s="230">
        <f t="shared" ref="G73:H73" si="43">G74+G75+G76+G77</f>
        <v>0</v>
      </c>
      <c r="H73" s="230">
        <f t="shared" si="43"/>
        <v>15267.931240000002</v>
      </c>
      <c r="I73" s="306">
        <f>I74+I75+I76+I77</f>
        <v>0</v>
      </c>
      <c r="J73" s="306"/>
      <c r="K73" s="306"/>
      <c r="L73" s="306"/>
      <c r="M73" s="306"/>
      <c r="N73" s="230">
        <f t="shared" ref="N73:O73" si="44">N74+N75+N76+N77</f>
        <v>0</v>
      </c>
      <c r="O73" s="230">
        <f t="shared" si="44"/>
        <v>0</v>
      </c>
      <c r="P73" s="305"/>
      <c r="Q73" s="107"/>
      <c r="R73" s="107"/>
      <c r="S73" s="107"/>
      <c r="T73" s="45"/>
      <c r="U73" s="45"/>
    </row>
    <row r="74" spans="1:21" s="9" customFormat="1" ht="34.799999999999997" x14ac:dyDescent="0.3">
      <c r="A74" s="374"/>
      <c r="B74" s="351"/>
      <c r="C74" s="351"/>
      <c r="D74" s="220" t="s">
        <v>40</v>
      </c>
      <c r="E74" s="225">
        <f>E133</f>
        <v>0</v>
      </c>
      <c r="F74" s="135">
        <f t="shared" si="42"/>
        <v>11309.578670000001</v>
      </c>
      <c r="G74" s="225">
        <f t="shared" ref="G74:H74" si="45">G78</f>
        <v>0</v>
      </c>
      <c r="H74" s="225">
        <f t="shared" si="45"/>
        <v>11309.578670000001</v>
      </c>
      <c r="I74" s="301">
        <f>I78</f>
        <v>0</v>
      </c>
      <c r="J74" s="301"/>
      <c r="K74" s="301"/>
      <c r="L74" s="301"/>
      <c r="M74" s="301"/>
      <c r="N74" s="225">
        <f t="shared" ref="N74:O74" si="46">N78</f>
        <v>0</v>
      </c>
      <c r="O74" s="225">
        <f t="shared" si="46"/>
        <v>0</v>
      </c>
      <c r="P74" s="305"/>
      <c r="Q74" s="107"/>
      <c r="R74" s="107"/>
      <c r="S74" s="107"/>
      <c r="T74" s="45"/>
      <c r="U74" s="45"/>
    </row>
    <row r="75" spans="1:21" s="9" customFormat="1" ht="34.799999999999997" x14ac:dyDescent="0.3">
      <c r="A75" s="374"/>
      <c r="B75" s="351"/>
      <c r="C75" s="351"/>
      <c r="D75" s="220" t="s">
        <v>1</v>
      </c>
      <c r="E75" s="225" t="e">
        <f>#REF!+E78+E79+E115+#REF!+#REF!+E134+E139</f>
        <v>#REF!</v>
      </c>
      <c r="F75" s="135">
        <f t="shared" si="42"/>
        <v>3769.8595700000001</v>
      </c>
      <c r="G75" s="225">
        <f t="shared" ref="G75:H75" si="47">G79</f>
        <v>0</v>
      </c>
      <c r="H75" s="225">
        <f t="shared" si="47"/>
        <v>3769.8595700000001</v>
      </c>
      <c r="I75" s="301">
        <f>I79</f>
        <v>0</v>
      </c>
      <c r="J75" s="301"/>
      <c r="K75" s="301"/>
      <c r="L75" s="301"/>
      <c r="M75" s="301"/>
      <c r="N75" s="225">
        <f t="shared" ref="N75:O75" si="48">N79</f>
        <v>0</v>
      </c>
      <c r="O75" s="225">
        <f t="shared" si="48"/>
        <v>0</v>
      </c>
      <c r="P75" s="305"/>
      <c r="Q75" s="107"/>
      <c r="R75" s="107"/>
      <c r="S75" s="107"/>
      <c r="T75" s="45"/>
      <c r="U75" s="45"/>
    </row>
    <row r="76" spans="1:21" s="9" customFormat="1" ht="52.2" x14ac:dyDescent="0.3">
      <c r="A76" s="374"/>
      <c r="B76" s="351"/>
      <c r="C76" s="351"/>
      <c r="D76" s="220" t="s">
        <v>48</v>
      </c>
      <c r="E76" s="225" t="e">
        <f>#REF!+E119+#REF!+#REF!+#REF!+E135+E141</f>
        <v>#REF!</v>
      </c>
      <c r="F76" s="135">
        <f t="shared" si="42"/>
        <v>188.49299999999999</v>
      </c>
      <c r="G76" s="225">
        <f t="shared" ref="G76:H76" si="49">G80</f>
        <v>0</v>
      </c>
      <c r="H76" s="225">
        <f t="shared" si="49"/>
        <v>188.49299999999999</v>
      </c>
      <c r="I76" s="301">
        <f>I80</f>
        <v>0</v>
      </c>
      <c r="J76" s="301"/>
      <c r="K76" s="301"/>
      <c r="L76" s="301"/>
      <c r="M76" s="301"/>
      <c r="N76" s="225">
        <f t="shared" ref="N76:O76" si="50">N80</f>
        <v>0</v>
      </c>
      <c r="O76" s="225">
        <f t="shared" si="50"/>
        <v>0</v>
      </c>
      <c r="P76" s="305"/>
      <c r="Q76" s="107"/>
      <c r="R76" s="107"/>
      <c r="S76" s="107"/>
      <c r="T76" s="45"/>
      <c r="U76" s="45"/>
    </row>
    <row r="77" spans="1:21" s="9" customFormat="1" ht="34.799999999999997" x14ac:dyDescent="0.3">
      <c r="A77" s="374"/>
      <c r="B77" s="351"/>
      <c r="C77" s="351"/>
      <c r="D77" s="220" t="s">
        <v>87</v>
      </c>
      <c r="E77" s="225"/>
      <c r="F77" s="135">
        <f t="shared" si="42"/>
        <v>0</v>
      </c>
      <c r="G77" s="225">
        <f t="shared" ref="G77:H77" si="51">G81</f>
        <v>0</v>
      </c>
      <c r="H77" s="225">
        <f t="shared" si="51"/>
        <v>0</v>
      </c>
      <c r="I77" s="301">
        <f>I81</f>
        <v>0</v>
      </c>
      <c r="J77" s="301"/>
      <c r="K77" s="301"/>
      <c r="L77" s="301"/>
      <c r="M77" s="301"/>
      <c r="N77" s="225">
        <f t="shared" ref="N77:O77" si="52">N81</f>
        <v>0</v>
      </c>
      <c r="O77" s="225">
        <f t="shared" si="52"/>
        <v>0</v>
      </c>
      <c r="P77" s="305"/>
      <c r="Q77" s="107"/>
      <c r="R77" s="107"/>
      <c r="S77" s="107"/>
      <c r="T77" s="45"/>
      <c r="U77" s="45"/>
    </row>
    <row r="78" spans="1:21" s="40" customFormat="1" ht="34.799999999999997" x14ac:dyDescent="0.3">
      <c r="A78" s="354" t="s">
        <v>52</v>
      </c>
      <c r="B78" s="386" t="s">
        <v>111</v>
      </c>
      <c r="C78" s="350" t="s">
        <v>46</v>
      </c>
      <c r="D78" s="234" t="s">
        <v>40</v>
      </c>
      <c r="E78" s="231">
        <v>200475</v>
      </c>
      <c r="F78" s="135">
        <f t="shared" si="42"/>
        <v>11309.578670000001</v>
      </c>
      <c r="G78" s="231">
        <v>0</v>
      </c>
      <c r="H78" s="231">
        <v>11309.578670000001</v>
      </c>
      <c r="I78" s="285">
        <v>0</v>
      </c>
      <c r="J78" s="285"/>
      <c r="K78" s="285"/>
      <c r="L78" s="285"/>
      <c r="M78" s="285"/>
      <c r="N78" s="231">
        <v>0</v>
      </c>
      <c r="O78" s="231">
        <v>0</v>
      </c>
      <c r="P78" s="303" t="s">
        <v>3</v>
      </c>
      <c r="Q78" s="106"/>
      <c r="R78" s="106"/>
      <c r="S78" s="106"/>
    </row>
    <row r="79" spans="1:21" s="40" customFormat="1" ht="34.799999999999997" x14ac:dyDescent="0.3">
      <c r="A79" s="354"/>
      <c r="B79" s="386"/>
      <c r="C79" s="350"/>
      <c r="D79" s="234" t="s">
        <v>1</v>
      </c>
      <c r="E79" s="231">
        <v>93</v>
      </c>
      <c r="F79" s="135">
        <f t="shared" si="42"/>
        <v>3769.8595700000001</v>
      </c>
      <c r="G79" s="231">
        <v>0</v>
      </c>
      <c r="H79" s="231">
        <v>3769.8595700000001</v>
      </c>
      <c r="I79" s="285">
        <v>0</v>
      </c>
      <c r="J79" s="285"/>
      <c r="K79" s="285"/>
      <c r="L79" s="285"/>
      <c r="M79" s="285"/>
      <c r="N79" s="231">
        <v>0</v>
      </c>
      <c r="O79" s="231">
        <v>0</v>
      </c>
      <c r="P79" s="303"/>
      <c r="Q79" s="106"/>
      <c r="R79" s="106"/>
      <c r="S79" s="106"/>
    </row>
    <row r="80" spans="1:21" s="40" customFormat="1" ht="52.2" x14ac:dyDescent="0.3">
      <c r="A80" s="354"/>
      <c r="B80" s="386"/>
      <c r="C80" s="350"/>
      <c r="D80" s="234" t="s">
        <v>47</v>
      </c>
      <c r="E80" s="231"/>
      <c r="F80" s="135">
        <f t="shared" si="42"/>
        <v>188.49299999999999</v>
      </c>
      <c r="G80" s="231">
        <v>0</v>
      </c>
      <c r="H80" s="231">
        <v>188.49299999999999</v>
      </c>
      <c r="I80" s="285">
        <v>0</v>
      </c>
      <c r="J80" s="285"/>
      <c r="K80" s="285"/>
      <c r="L80" s="285"/>
      <c r="M80" s="285"/>
      <c r="N80" s="231">
        <v>0</v>
      </c>
      <c r="O80" s="231">
        <v>0</v>
      </c>
      <c r="P80" s="303"/>
      <c r="Q80" s="106"/>
      <c r="R80" s="106"/>
      <c r="S80" s="106"/>
    </row>
    <row r="81" spans="1:21" s="40" customFormat="1" ht="34.799999999999997" x14ac:dyDescent="0.3">
      <c r="A81" s="354"/>
      <c r="B81" s="386"/>
      <c r="C81" s="350"/>
      <c r="D81" s="234" t="s">
        <v>87</v>
      </c>
      <c r="E81" s="231"/>
      <c r="F81" s="135">
        <f t="shared" si="42"/>
        <v>0</v>
      </c>
      <c r="G81" s="231">
        <v>0</v>
      </c>
      <c r="H81" s="231">
        <v>0</v>
      </c>
      <c r="I81" s="285">
        <v>0</v>
      </c>
      <c r="J81" s="285"/>
      <c r="K81" s="285"/>
      <c r="L81" s="285"/>
      <c r="M81" s="285"/>
      <c r="N81" s="231">
        <v>0</v>
      </c>
      <c r="O81" s="231">
        <v>0</v>
      </c>
      <c r="P81" s="303"/>
      <c r="Q81" s="106"/>
      <c r="R81" s="106"/>
      <c r="S81" s="106"/>
    </row>
    <row r="82" spans="1:21" s="40" customFormat="1" ht="28.2" customHeight="1" x14ac:dyDescent="0.3">
      <c r="A82" s="354"/>
      <c r="B82" s="286" t="s">
        <v>177</v>
      </c>
      <c r="C82" s="288" t="s">
        <v>116</v>
      </c>
      <c r="D82" s="288" t="s">
        <v>116</v>
      </c>
      <c r="E82" s="228"/>
      <c r="F82" s="290" t="s">
        <v>117</v>
      </c>
      <c r="G82" s="227" t="s">
        <v>214</v>
      </c>
      <c r="H82" s="227" t="s">
        <v>215</v>
      </c>
      <c r="I82" s="283" t="s">
        <v>123</v>
      </c>
      <c r="J82" s="284" t="s">
        <v>118</v>
      </c>
      <c r="K82" s="284"/>
      <c r="L82" s="284"/>
      <c r="M82" s="284"/>
      <c r="N82" s="227" t="s">
        <v>124</v>
      </c>
      <c r="O82" s="227" t="s">
        <v>125</v>
      </c>
      <c r="P82" s="295" t="s">
        <v>116</v>
      </c>
      <c r="Q82" s="41"/>
    </row>
    <row r="83" spans="1:21" s="40" customFormat="1" ht="29.25" customHeight="1" x14ac:dyDescent="0.3">
      <c r="A83" s="354"/>
      <c r="B83" s="286"/>
      <c r="C83" s="288"/>
      <c r="D83" s="288"/>
      <c r="E83" s="228"/>
      <c r="F83" s="290"/>
      <c r="G83" s="228"/>
      <c r="H83" s="228"/>
      <c r="I83" s="283"/>
      <c r="J83" s="228" t="s">
        <v>119</v>
      </c>
      <c r="K83" s="228" t="s">
        <v>120</v>
      </c>
      <c r="L83" s="228" t="s">
        <v>121</v>
      </c>
      <c r="M83" s="228" t="s">
        <v>122</v>
      </c>
      <c r="N83" s="228"/>
      <c r="O83" s="228"/>
      <c r="P83" s="295"/>
      <c r="Q83" s="41"/>
    </row>
    <row r="84" spans="1:21" s="40" customFormat="1" ht="30.75" customHeight="1" x14ac:dyDescent="0.3">
      <c r="A84" s="354"/>
      <c r="B84" s="286"/>
      <c r="C84" s="288"/>
      <c r="D84" s="288"/>
      <c r="E84" s="228"/>
      <c r="F84" s="136">
        <f>I84+G84+H84+N84+O84</f>
        <v>1</v>
      </c>
      <c r="G84" s="121">
        <v>0</v>
      </c>
      <c r="H84" s="121">
        <v>1</v>
      </c>
      <c r="I84" s="121">
        <v>0</v>
      </c>
      <c r="J84" s="121">
        <v>0</v>
      </c>
      <c r="K84" s="121">
        <v>0</v>
      </c>
      <c r="L84" s="121">
        <v>0</v>
      </c>
      <c r="M84" s="121">
        <v>0</v>
      </c>
      <c r="N84" s="121">
        <v>0</v>
      </c>
      <c r="O84" s="121">
        <v>0</v>
      </c>
      <c r="P84" s="295"/>
      <c r="Q84" s="41"/>
    </row>
    <row r="85" spans="1:21" s="9" customFormat="1" ht="26.25" customHeight="1" x14ac:dyDescent="0.3">
      <c r="A85" s="374" t="s">
        <v>35</v>
      </c>
      <c r="B85" s="351" t="s">
        <v>149</v>
      </c>
      <c r="C85" s="351" t="s">
        <v>45</v>
      </c>
      <c r="D85" s="220" t="s">
        <v>2</v>
      </c>
      <c r="E85" s="230" t="e">
        <f>E87+E88+E86</f>
        <v>#REF!</v>
      </c>
      <c r="F85" s="135">
        <f t="shared" ref="F85:F93" si="53">SUM(G85:O85)</f>
        <v>799.83450000000005</v>
      </c>
      <c r="G85" s="230">
        <f t="shared" ref="G85:H85" si="54">G86+G87+G88+G89</f>
        <v>799.83450000000005</v>
      </c>
      <c r="H85" s="230">
        <f t="shared" si="54"/>
        <v>0</v>
      </c>
      <c r="I85" s="306">
        <f>I86+I87+I88+I89</f>
        <v>0</v>
      </c>
      <c r="J85" s="306"/>
      <c r="K85" s="306"/>
      <c r="L85" s="306"/>
      <c r="M85" s="306"/>
      <c r="N85" s="230">
        <f t="shared" ref="N85:O85" si="55">N86+N87+N88+N89</f>
        <v>0</v>
      </c>
      <c r="O85" s="230">
        <f t="shared" si="55"/>
        <v>0</v>
      </c>
      <c r="P85" s="305"/>
      <c r="Q85" s="107"/>
      <c r="R85" s="107"/>
      <c r="S85" s="107"/>
      <c r="T85" s="45"/>
      <c r="U85" s="45"/>
    </row>
    <row r="86" spans="1:21" s="9" customFormat="1" ht="34.799999999999997" x14ac:dyDescent="0.3">
      <c r="A86" s="374"/>
      <c r="B86" s="351"/>
      <c r="C86" s="351"/>
      <c r="D86" s="220" t="s">
        <v>40</v>
      </c>
      <c r="E86" s="225">
        <f>E124</f>
        <v>0</v>
      </c>
      <c r="F86" s="135">
        <f t="shared" si="53"/>
        <v>592.47</v>
      </c>
      <c r="G86" s="225">
        <f t="shared" ref="G86:H86" si="56">G90</f>
        <v>592.47</v>
      </c>
      <c r="H86" s="225">
        <f t="shared" si="56"/>
        <v>0</v>
      </c>
      <c r="I86" s="301">
        <f>I90</f>
        <v>0</v>
      </c>
      <c r="J86" s="301"/>
      <c r="K86" s="301"/>
      <c r="L86" s="301"/>
      <c r="M86" s="301"/>
      <c r="N86" s="225">
        <f t="shared" ref="N86:O86" si="57">N90</f>
        <v>0</v>
      </c>
      <c r="O86" s="225">
        <f t="shared" si="57"/>
        <v>0</v>
      </c>
      <c r="P86" s="305"/>
      <c r="Q86" s="107"/>
      <c r="R86" s="107"/>
      <c r="S86" s="107"/>
      <c r="T86" s="45"/>
      <c r="U86" s="45"/>
    </row>
    <row r="87" spans="1:21" s="9" customFormat="1" ht="34.799999999999997" x14ac:dyDescent="0.3">
      <c r="A87" s="374"/>
      <c r="B87" s="351"/>
      <c r="C87" s="351"/>
      <c r="D87" s="220" t="s">
        <v>1</v>
      </c>
      <c r="E87" s="225" t="e">
        <f>#REF!+E90+E91+#REF!+#REF!+#REF!+E125+E130</f>
        <v>#REF!</v>
      </c>
      <c r="F87" s="135">
        <f t="shared" si="53"/>
        <v>197.49</v>
      </c>
      <c r="G87" s="225">
        <f t="shared" ref="G87:H87" si="58">G91</f>
        <v>197.49</v>
      </c>
      <c r="H87" s="225">
        <f t="shared" si="58"/>
        <v>0</v>
      </c>
      <c r="I87" s="301">
        <f>I91</f>
        <v>0</v>
      </c>
      <c r="J87" s="301"/>
      <c r="K87" s="301"/>
      <c r="L87" s="301"/>
      <c r="M87" s="301"/>
      <c r="N87" s="225">
        <f t="shared" ref="N87:O87" si="59">N91</f>
        <v>0</v>
      </c>
      <c r="O87" s="225">
        <f t="shared" si="59"/>
        <v>0</v>
      </c>
      <c r="P87" s="305"/>
      <c r="Q87" s="107"/>
      <c r="R87" s="107"/>
      <c r="S87" s="107"/>
      <c r="T87" s="45"/>
      <c r="U87" s="45"/>
    </row>
    <row r="88" spans="1:21" s="9" customFormat="1" ht="52.2" x14ac:dyDescent="0.3">
      <c r="A88" s="374"/>
      <c r="B88" s="351"/>
      <c r="C88" s="351"/>
      <c r="D88" s="220" t="s">
        <v>48</v>
      </c>
      <c r="E88" s="225" t="e">
        <f>#REF!+E109+#REF!+#REF!+#REF!+E126+E132</f>
        <v>#REF!</v>
      </c>
      <c r="F88" s="135">
        <f t="shared" si="53"/>
        <v>9.8744999999999994</v>
      </c>
      <c r="G88" s="225">
        <f t="shared" ref="G88:H88" si="60">G92</f>
        <v>9.8744999999999994</v>
      </c>
      <c r="H88" s="225">
        <f t="shared" si="60"/>
        <v>0</v>
      </c>
      <c r="I88" s="301">
        <f>I92</f>
        <v>0</v>
      </c>
      <c r="J88" s="301"/>
      <c r="K88" s="301"/>
      <c r="L88" s="301"/>
      <c r="M88" s="301"/>
      <c r="N88" s="225">
        <f t="shared" ref="N88:O88" si="61">N92</f>
        <v>0</v>
      </c>
      <c r="O88" s="225">
        <f t="shared" si="61"/>
        <v>0</v>
      </c>
      <c r="P88" s="305"/>
      <c r="Q88" s="107"/>
      <c r="R88" s="107"/>
      <c r="S88" s="107"/>
      <c r="T88" s="45"/>
      <c r="U88" s="45"/>
    </row>
    <row r="89" spans="1:21" s="9" customFormat="1" ht="34.799999999999997" x14ac:dyDescent="0.3">
      <c r="A89" s="374"/>
      <c r="B89" s="351"/>
      <c r="C89" s="351"/>
      <c r="D89" s="220" t="s">
        <v>87</v>
      </c>
      <c r="E89" s="225"/>
      <c r="F89" s="135">
        <f t="shared" si="53"/>
        <v>0</v>
      </c>
      <c r="G89" s="225">
        <f t="shared" ref="G89:H89" si="62">G93</f>
        <v>0</v>
      </c>
      <c r="H89" s="225">
        <f t="shared" si="62"/>
        <v>0</v>
      </c>
      <c r="I89" s="301">
        <f>I93</f>
        <v>0</v>
      </c>
      <c r="J89" s="301"/>
      <c r="K89" s="301"/>
      <c r="L89" s="301"/>
      <c r="M89" s="301"/>
      <c r="N89" s="225">
        <f t="shared" ref="N89:O89" si="63">N93</f>
        <v>0</v>
      </c>
      <c r="O89" s="225">
        <f t="shared" si="63"/>
        <v>0</v>
      </c>
      <c r="P89" s="305"/>
      <c r="Q89" s="107"/>
      <c r="R89" s="107"/>
      <c r="S89" s="107"/>
      <c r="T89" s="45"/>
      <c r="U89" s="45"/>
    </row>
    <row r="90" spans="1:21" s="40" customFormat="1" ht="34.799999999999997" x14ac:dyDescent="0.3">
      <c r="A90" s="354" t="s">
        <v>57</v>
      </c>
      <c r="B90" s="386" t="s">
        <v>110</v>
      </c>
      <c r="C90" s="350" t="s">
        <v>45</v>
      </c>
      <c r="D90" s="234" t="s">
        <v>40</v>
      </c>
      <c r="E90" s="231">
        <v>200475</v>
      </c>
      <c r="F90" s="135">
        <f t="shared" si="53"/>
        <v>592.47</v>
      </c>
      <c r="G90" s="231">
        <v>592.47</v>
      </c>
      <c r="H90" s="231">
        <f>202841-202841</f>
        <v>0</v>
      </c>
      <c r="I90" s="285">
        <v>0</v>
      </c>
      <c r="J90" s="285"/>
      <c r="K90" s="285"/>
      <c r="L90" s="285"/>
      <c r="M90" s="285"/>
      <c r="N90" s="231">
        <v>0</v>
      </c>
      <c r="O90" s="231">
        <v>0</v>
      </c>
      <c r="P90" s="303" t="s">
        <v>3</v>
      </c>
      <c r="Q90" s="106"/>
      <c r="R90" s="106"/>
      <c r="S90" s="106"/>
    </row>
    <row r="91" spans="1:21" s="40" customFormat="1" ht="34.799999999999997" x14ac:dyDescent="0.3">
      <c r="A91" s="354"/>
      <c r="B91" s="386"/>
      <c r="C91" s="350"/>
      <c r="D91" s="234" t="s">
        <v>1</v>
      </c>
      <c r="E91" s="231">
        <v>93</v>
      </c>
      <c r="F91" s="135">
        <f t="shared" si="53"/>
        <v>197.49</v>
      </c>
      <c r="G91" s="231">
        <v>197.49</v>
      </c>
      <c r="H91" s="231">
        <v>0</v>
      </c>
      <c r="I91" s="285">
        <v>0</v>
      </c>
      <c r="J91" s="285"/>
      <c r="K91" s="285"/>
      <c r="L91" s="285"/>
      <c r="M91" s="285"/>
      <c r="N91" s="231">
        <v>0</v>
      </c>
      <c r="O91" s="231">
        <v>0</v>
      </c>
      <c r="P91" s="303"/>
      <c r="Q91" s="106"/>
      <c r="R91" s="106"/>
      <c r="S91" s="106"/>
    </row>
    <row r="92" spans="1:21" s="40" customFormat="1" ht="52.2" x14ac:dyDescent="0.3">
      <c r="A92" s="354"/>
      <c r="B92" s="386"/>
      <c r="C92" s="350"/>
      <c r="D92" s="234" t="s">
        <v>47</v>
      </c>
      <c r="E92" s="231"/>
      <c r="F92" s="135">
        <f t="shared" si="53"/>
        <v>9.8744999999999994</v>
      </c>
      <c r="G92" s="231">
        <v>9.8744999999999994</v>
      </c>
      <c r="H92" s="231">
        <v>0</v>
      </c>
      <c r="I92" s="285">
        <v>0</v>
      </c>
      <c r="J92" s="285"/>
      <c r="K92" s="285"/>
      <c r="L92" s="285"/>
      <c r="M92" s="285"/>
      <c r="N92" s="231">
        <v>0</v>
      </c>
      <c r="O92" s="231">
        <v>0</v>
      </c>
      <c r="P92" s="303"/>
      <c r="Q92" s="106"/>
      <c r="R92" s="106"/>
      <c r="S92" s="106"/>
    </row>
    <row r="93" spans="1:21" s="40" customFormat="1" ht="34.799999999999997" x14ac:dyDescent="0.3">
      <c r="A93" s="354"/>
      <c r="B93" s="386"/>
      <c r="C93" s="350"/>
      <c r="D93" s="234" t="s">
        <v>87</v>
      </c>
      <c r="E93" s="231"/>
      <c r="F93" s="135">
        <f t="shared" si="53"/>
        <v>0</v>
      </c>
      <c r="G93" s="231">
        <v>0</v>
      </c>
      <c r="H93" s="231">
        <v>0</v>
      </c>
      <c r="I93" s="285">
        <v>0</v>
      </c>
      <c r="J93" s="285"/>
      <c r="K93" s="285"/>
      <c r="L93" s="285"/>
      <c r="M93" s="285"/>
      <c r="N93" s="231">
        <v>0</v>
      </c>
      <c r="O93" s="231">
        <v>0</v>
      </c>
      <c r="P93" s="303"/>
      <c r="Q93" s="106"/>
      <c r="R93" s="106"/>
      <c r="S93" s="106"/>
    </row>
    <row r="94" spans="1:21" s="40" customFormat="1" ht="28.5" customHeight="1" x14ac:dyDescent="0.3">
      <c r="A94" s="354"/>
      <c r="B94" s="286" t="s">
        <v>210</v>
      </c>
      <c r="C94" s="288" t="s">
        <v>116</v>
      </c>
      <c r="D94" s="288" t="s">
        <v>116</v>
      </c>
      <c r="E94" s="228"/>
      <c r="F94" s="290" t="s">
        <v>117</v>
      </c>
      <c r="G94" s="227" t="s">
        <v>214</v>
      </c>
      <c r="H94" s="227" t="s">
        <v>215</v>
      </c>
      <c r="I94" s="283" t="s">
        <v>123</v>
      </c>
      <c r="J94" s="284" t="s">
        <v>118</v>
      </c>
      <c r="K94" s="284"/>
      <c r="L94" s="284"/>
      <c r="M94" s="284"/>
      <c r="N94" s="227" t="s">
        <v>124</v>
      </c>
      <c r="O94" s="227" t="s">
        <v>125</v>
      </c>
      <c r="P94" s="295" t="s">
        <v>116</v>
      </c>
      <c r="Q94" s="41"/>
    </row>
    <row r="95" spans="1:21" s="40" customFormat="1" ht="28.5" customHeight="1" x14ac:dyDescent="0.3">
      <c r="A95" s="354"/>
      <c r="B95" s="286"/>
      <c r="C95" s="288"/>
      <c r="D95" s="288"/>
      <c r="E95" s="228"/>
      <c r="F95" s="290"/>
      <c r="G95" s="228"/>
      <c r="H95" s="228"/>
      <c r="I95" s="283"/>
      <c r="J95" s="228" t="s">
        <v>119</v>
      </c>
      <c r="K95" s="228" t="s">
        <v>120</v>
      </c>
      <c r="L95" s="228" t="s">
        <v>121</v>
      </c>
      <c r="M95" s="228" t="s">
        <v>122</v>
      </c>
      <c r="N95" s="228"/>
      <c r="O95" s="228"/>
      <c r="P95" s="295"/>
      <c r="Q95" s="41"/>
    </row>
    <row r="96" spans="1:21" s="40" customFormat="1" ht="27" customHeight="1" x14ac:dyDescent="0.3">
      <c r="A96" s="354"/>
      <c r="B96" s="286"/>
      <c r="C96" s="288"/>
      <c r="D96" s="288"/>
      <c r="E96" s="228"/>
      <c r="F96" s="136">
        <v>13</v>
      </c>
      <c r="G96" s="121">
        <v>13</v>
      </c>
      <c r="H96" s="121">
        <v>13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295"/>
      <c r="Q96" s="41"/>
    </row>
    <row r="97" spans="1:31" s="9" customFormat="1" ht="46.8" customHeight="1" x14ac:dyDescent="0.3">
      <c r="A97" s="423" t="s">
        <v>182</v>
      </c>
      <c r="B97" s="423"/>
      <c r="C97" s="423"/>
      <c r="D97" s="423"/>
      <c r="E97" s="147" t="e">
        <f>E98+E99+E100+E102</f>
        <v>#REF!</v>
      </c>
      <c r="F97" s="149">
        <f t="shared" ref="F97:F102" si="64">SUM(G97:O97)</f>
        <v>860055.13404999999</v>
      </c>
      <c r="G97" s="147">
        <f t="shared" ref="G97:H97" si="65">G98+G99+G100+G101</f>
        <v>135554.28376000002</v>
      </c>
      <c r="H97" s="147">
        <f t="shared" si="65"/>
        <v>183362.95158999995</v>
      </c>
      <c r="I97" s="306">
        <f>I98+I99+I100+I101</f>
        <v>191774.17069999999</v>
      </c>
      <c r="J97" s="306"/>
      <c r="K97" s="306"/>
      <c r="L97" s="306"/>
      <c r="M97" s="306"/>
      <c r="N97" s="147">
        <f t="shared" ref="N97:O97" si="66">N98+N99+N100+N101</f>
        <v>174681.864</v>
      </c>
      <c r="O97" s="147">
        <f t="shared" si="66"/>
        <v>174681.864</v>
      </c>
      <c r="P97" s="148"/>
      <c r="Q97" s="98"/>
      <c r="R97" s="98"/>
      <c r="S97" s="98"/>
      <c r="W97" s="45"/>
      <c r="X97" s="45"/>
      <c r="Y97" s="45"/>
      <c r="Z97" s="45"/>
    </row>
    <row r="98" spans="1:31" ht="33.75" customHeight="1" x14ac:dyDescent="0.3">
      <c r="A98" s="343" t="s">
        <v>40</v>
      </c>
      <c r="B98" s="343"/>
      <c r="C98" s="343"/>
      <c r="D98" s="343"/>
      <c r="E98" s="48" t="e">
        <f>#REF!+#REF!+#REF!</f>
        <v>#REF!</v>
      </c>
      <c r="F98" s="149">
        <f t="shared" si="64"/>
        <v>11902.04867</v>
      </c>
      <c r="G98" s="48">
        <f t="shared" ref="G98:I101" si="67">G7+G19+G62+G86+G74+G47</f>
        <v>592.47</v>
      </c>
      <c r="H98" s="48">
        <f t="shared" si="67"/>
        <v>11309.578670000001</v>
      </c>
      <c r="I98" s="285">
        <f t="shared" si="67"/>
        <v>0</v>
      </c>
      <c r="J98" s="285"/>
      <c r="K98" s="285"/>
      <c r="L98" s="285"/>
      <c r="M98" s="285"/>
      <c r="N98" s="48">
        <f>N7+N19+N62+N86+N74+N47</f>
        <v>0</v>
      </c>
      <c r="O98" s="48">
        <f>O7+O19+O62+O86+O74+O47</f>
        <v>0</v>
      </c>
      <c r="P98" s="13"/>
      <c r="Q98" s="35"/>
      <c r="R98" s="35"/>
      <c r="S98" s="35"/>
      <c r="T98" s="35" t="e">
        <f>#REF!+#REF!+#REF!+#REF!</f>
        <v>#REF!</v>
      </c>
      <c r="U98" s="35"/>
      <c r="W98" s="45"/>
      <c r="X98" s="45"/>
      <c r="Y98" s="45"/>
      <c r="Z98" s="45"/>
    </row>
    <row r="99" spans="1:31" ht="26.25" customHeight="1" x14ac:dyDescent="0.3">
      <c r="A99" s="343" t="s">
        <v>1</v>
      </c>
      <c r="B99" s="343"/>
      <c r="C99" s="343"/>
      <c r="D99" s="343"/>
      <c r="E99" s="48" t="e">
        <f>E63+#REF!+#REF!+#REF!+#REF!</f>
        <v>#REF!</v>
      </c>
      <c r="F99" s="149">
        <f t="shared" si="64"/>
        <v>14738.34957</v>
      </c>
      <c r="G99" s="48">
        <f t="shared" si="67"/>
        <v>530.49</v>
      </c>
      <c r="H99" s="48">
        <f t="shared" si="67"/>
        <v>9699.8595700000005</v>
      </c>
      <c r="I99" s="285">
        <f t="shared" si="67"/>
        <v>4508</v>
      </c>
      <c r="J99" s="285"/>
      <c r="K99" s="285"/>
      <c r="L99" s="285"/>
      <c r="M99" s="285"/>
      <c r="N99" s="48">
        <f t="shared" ref="N99:O99" si="68">N8+N20+N63+N87+N75+N48</f>
        <v>0</v>
      </c>
      <c r="O99" s="48">
        <f t="shared" si="68"/>
        <v>0</v>
      </c>
      <c r="P99" s="13"/>
      <c r="Q99" s="35"/>
      <c r="R99" s="35"/>
      <c r="S99" s="35"/>
      <c r="T99" s="35" t="e">
        <f>#REF!+#REF!+#REF!+#REF!</f>
        <v>#REF!</v>
      </c>
      <c r="U99" s="35"/>
      <c r="W99" s="45"/>
      <c r="X99" s="45"/>
      <c r="Y99" s="45"/>
      <c r="Z99" s="45"/>
    </row>
    <row r="100" spans="1:31" ht="27.75" customHeight="1" x14ac:dyDescent="0.3">
      <c r="A100" s="343" t="s">
        <v>48</v>
      </c>
      <c r="B100" s="343"/>
      <c r="C100" s="343"/>
      <c r="D100" s="343"/>
      <c r="E100" s="48" t="e">
        <f>E9+E21+E64+#REF!+#REF!+#REF!+#REF!+#REF!+#REF!</f>
        <v>#REF!</v>
      </c>
      <c r="F100" s="149">
        <f t="shared" si="64"/>
        <v>717184.34380999999</v>
      </c>
      <c r="G100" s="48">
        <f t="shared" si="67"/>
        <v>113176.13176</v>
      </c>
      <c r="H100" s="48">
        <f t="shared" si="67"/>
        <v>138774.71334999998</v>
      </c>
      <c r="I100" s="285">
        <f t="shared" si="67"/>
        <v>163467.3707</v>
      </c>
      <c r="J100" s="285"/>
      <c r="K100" s="285"/>
      <c r="L100" s="285"/>
      <c r="M100" s="285"/>
      <c r="N100" s="48">
        <f t="shared" ref="N100:O100" si="69">N9+N21+N64+N88+N76+N49</f>
        <v>150883.06400000001</v>
      </c>
      <c r="O100" s="48">
        <f t="shared" si="69"/>
        <v>150883.06400000001</v>
      </c>
      <c r="P100" s="13"/>
      <c r="Q100" s="197">
        <f>I100</f>
        <v>163467.3707</v>
      </c>
      <c r="R100" s="35"/>
      <c r="S100" s="35"/>
      <c r="T100" s="35" t="e">
        <f>#REF!+#REF!+#REF!+#REF!+#REF!+#REF!+#REF!+#REF!+#REF!+#REF!+#REF!</f>
        <v>#REF!</v>
      </c>
      <c r="U100" s="35"/>
      <c r="W100" s="45"/>
      <c r="X100" s="45"/>
      <c r="Y100" s="45"/>
      <c r="Z100" s="45"/>
    </row>
    <row r="101" spans="1:31" ht="30.75" customHeight="1" x14ac:dyDescent="0.3">
      <c r="A101" s="343" t="s">
        <v>87</v>
      </c>
      <c r="B101" s="343"/>
      <c r="C101" s="343"/>
      <c r="D101" s="343"/>
      <c r="E101" s="48"/>
      <c r="F101" s="149">
        <f t="shared" si="64"/>
        <v>116230.39200000001</v>
      </c>
      <c r="G101" s="48">
        <f t="shared" si="67"/>
        <v>21255.191999999999</v>
      </c>
      <c r="H101" s="48">
        <f t="shared" si="67"/>
        <v>23578.799999999999</v>
      </c>
      <c r="I101" s="285">
        <f t="shared" si="67"/>
        <v>23798.799999999999</v>
      </c>
      <c r="J101" s="285"/>
      <c r="K101" s="285"/>
      <c r="L101" s="285"/>
      <c r="M101" s="285"/>
      <c r="N101" s="48">
        <f t="shared" ref="N101:O101" si="70">N10+N22+N65+N89+N77+N50</f>
        <v>23798.799999999999</v>
      </c>
      <c r="O101" s="48">
        <f t="shared" si="70"/>
        <v>23798.799999999999</v>
      </c>
      <c r="P101" s="13"/>
      <c r="Q101" s="35"/>
      <c r="R101" s="35"/>
      <c r="S101" s="35"/>
      <c r="T101" s="35"/>
      <c r="U101" s="35"/>
      <c r="W101" s="45"/>
      <c r="X101" s="45"/>
      <c r="Y101" s="45"/>
      <c r="Z101" s="45"/>
    </row>
    <row r="102" spans="1:31" ht="30.75" customHeight="1" x14ac:dyDescent="0.35">
      <c r="A102" s="406" t="s">
        <v>88</v>
      </c>
      <c r="B102" s="406"/>
      <c r="C102" s="406"/>
      <c r="D102" s="406"/>
      <c r="E102" s="91">
        <f>E23</f>
        <v>13879.4</v>
      </c>
      <c r="F102" s="149">
        <f t="shared" si="64"/>
        <v>116230.39200000001</v>
      </c>
      <c r="G102" s="91">
        <f>G23</f>
        <v>21255.191999999999</v>
      </c>
      <c r="H102" s="91">
        <f>H23</f>
        <v>23578.799999999999</v>
      </c>
      <c r="I102" s="323">
        <f>I23</f>
        <v>23798.799999999999</v>
      </c>
      <c r="J102" s="323"/>
      <c r="K102" s="323"/>
      <c r="L102" s="323"/>
      <c r="M102" s="323"/>
      <c r="N102" s="91">
        <f>N23</f>
        <v>23798.799999999999</v>
      </c>
      <c r="O102" s="91">
        <f>O23</f>
        <v>23798.799999999999</v>
      </c>
      <c r="P102" s="6"/>
      <c r="Q102" s="34"/>
      <c r="R102" s="34"/>
      <c r="S102" s="34"/>
      <c r="T102" s="34" t="e">
        <f>#REF!+#REF!</f>
        <v>#REF!</v>
      </c>
      <c r="U102" s="53"/>
      <c r="W102" s="45"/>
      <c r="X102" s="45"/>
      <c r="Y102" s="45"/>
      <c r="Z102" s="45"/>
    </row>
    <row r="103" spans="1:31" x14ac:dyDescent="0.3">
      <c r="F103" s="150"/>
      <c r="H103" s="50"/>
      <c r="N103" s="46"/>
      <c r="O103" s="46"/>
    </row>
    <row r="104" spans="1:31" x14ac:dyDescent="0.3">
      <c r="G104" s="39"/>
      <c r="H104" s="50"/>
      <c r="N104" s="46"/>
      <c r="O104" s="46"/>
    </row>
    <row r="105" spans="1:31" ht="18" x14ac:dyDescent="0.35">
      <c r="B105" s="430" t="s">
        <v>19</v>
      </c>
      <c r="C105" s="431"/>
      <c r="D105" s="431"/>
      <c r="E105" s="56">
        <v>0</v>
      </c>
      <c r="F105" s="57">
        <f t="shared" ref="F105:F113" si="71">SUM(I105:O105)</f>
        <v>0</v>
      </c>
      <c r="G105" s="56">
        <v>0</v>
      </c>
      <c r="H105" s="56">
        <v>0</v>
      </c>
      <c r="I105" s="424">
        <v>0</v>
      </c>
      <c r="J105" s="425"/>
      <c r="K105" s="425"/>
      <c r="L105" s="425"/>
      <c r="M105" s="426"/>
      <c r="N105" s="56">
        <v>0</v>
      </c>
      <c r="O105" s="56">
        <v>0</v>
      </c>
      <c r="P105" s="46"/>
      <c r="U105" s="1"/>
      <c r="V105" s="1"/>
      <c r="W105" s="46"/>
      <c r="X105" s="46"/>
      <c r="Y105" s="1"/>
      <c r="Z105" s="1"/>
      <c r="AA105" s="1"/>
      <c r="AB105" s="1"/>
      <c r="AC105" s="1"/>
      <c r="AD105" s="1"/>
      <c r="AE105" s="1"/>
    </row>
    <row r="106" spans="1:31" ht="18" x14ac:dyDescent="0.35">
      <c r="B106" s="430" t="s">
        <v>21</v>
      </c>
      <c r="C106" s="431"/>
      <c r="D106" s="431"/>
      <c r="E106" s="56">
        <v>0</v>
      </c>
      <c r="F106" s="57">
        <f t="shared" si="71"/>
        <v>495</v>
      </c>
      <c r="G106" s="56">
        <v>165</v>
      </c>
      <c r="H106" s="56">
        <v>165</v>
      </c>
      <c r="I106" s="424">
        <v>165</v>
      </c>
      <c r="J106" s="425"/>
      <c r="K106" s="425"/>
      <c r="L106" s="425"/>
      <c r="M106" s="426"/>
      <c r="N106" s="56">
        <v>165</v>
      </c>
      <c r="O106" s="56">
        <v>165</v>
      </c>
      <c r="U106" s="1"/>
      <c r="V106" s="1"/>
      <c r="W106" s="46"/>
      <c r="X106" s="46"/>
      <c r="Y106" s="1"/>
      <c r="Z106" s="1"/>
      <c r="AA106" s="1"/>
      <c r="AB106" s="1"/>
      <c r="AC106" s="1"/>
      <c r="AD106" s="1"/>
      <c r="AE106" s="1"/>
    </row>
    <row r="107" spans="1:31" ht="18" x14ac:dyDescent="0.35">
      <c r="B107" s="432" t="s">
        <v>20</v>
      </c>
      <c r="C107" s="433"/>
      <c r="D107" s="433"/>
      <c r="E107" s="58">
        <f>SUM(E105:E106)</f>
        <v>0</v>
      </c>
      <c r="F107" s="57">
        <f t="shared" si="71"/>
        <v>495</v>
      </c>
      <c r="G107" s="58">
        <f>SUM(G105:G106)</f>
        <v>165</v>
      </c>
      <c r="H107" s="58">
        <f>SUM(H105:H106)</f>
        <v>165</v>
      </c>
      <c r="I107" s="427">
        <f>SUM(I105:I106)</f>
        <v>165</v>
      </c>
      <c r="J107" s="428"/>
      <c r="K107" s="428"/>
      <c r="L107" s="428"/>
      <c r="M107" s="429"/>
      <c r="N107" s="58">
        <f>SUM(N105:N106)</f>
        <v>165</v>
      </c>
      <c r="O107" s="58">
        <f>SUM(O105:O106)</f>
        <v>165</v>
      </c>
      <c r="U107" s="1"/>
      <c r="V107" s="1"/>
      <c r="W107" s="46"/>
      <c r="X107" s="46"/>
      <c r="Y107" s="1"/>
      <c r="Z107" s="1"/>
      <c r="AA107" s="1"/>
      <c r="AB107" s="1"/>
      <c r="AC107" s="1"/>
      <c r="AD107" s="1"/>
      <c r="AE107" s="1"/>
    </row>
    <row r="108" spans="1:31" ht="18" x14ac:dyDescent="0.35">
      <c r="B108" s="430" t="s">
        <v>40</v>
      </c>
      <c r="C108" s="431"/>
      <c r="D108" s="431"/>
      <c r="E108" s="56" t="e">
        <f>E98-#REF!</f>
        <v>#REF!</v>
      </c>
      <c r="F108" s="57">
        <f t="shared" si="71"/>
        <v>0</v>
      </c>
      <c r="G108" s="56">
        <f t="shared" ref="G108:H108" si="72">G98</f>
        <v>592.47</v>
      </c>
      <c r="H108" s="56">
        <f t="shared" si="72"/>
        <v>11309.578670000001</v>
      </c>
      <c r="I108" s="424">
        <f>I98</f>
        <v>0</v>
      </c>
      <c r="J108" s="425"/>
      <c r="K108" s="425"/>
      <c r="L108" s="425"/>
      <c r="M108" s="426"/>
      <c r="N108" s="56">
        <f t="shared" ref="N108:O108" si="73">N98</f>
        <v>0</v>
      </c>
      <c r="O108" s="56">
        <f t="shared" si="73"/>
        <v>0</v>
      </c>
      <c r="W108" s="46"/>
      <c r="X108" s="46"/>
    </row>
    <row r="109" spans="1:31" ht="18" x14ac:dyDescent="0.35">
      <c r="B109" s="430" t="s">
        <v>1</v>
      </c>
      <c r="C109" s="431"/>
      <c r="D109" s="431"/>
      <c r="E109" s="56" t="e">
        <f>E99-#REF!</f>
        <v>#REF!</v>
      </c>
      <c r="F109" s="57">
        <f t="shared" si="71"/>
        <v>4508</v>
      </c>
      <c r="G109" s="56">
        <f t="shared" ref="G109:H109" si="74">G99-G105</f>
        <v>530.49</v>
      </c>
      <c r="H109" s="56">
        <f t="shared" si="74"/>
        <v>9699.8595700000005</v>
      </c>
      <c r="I109" s="424">
        <f>I99-I105</f>
        <v>4508</v>
      </c>
      <c r="J109" s="425"/>
      <c r="K109" s="425"/>
      <c r="L109" s="425"/>
      <c r="M109" s="426"/>
      <c r="N109" s="56">
        <f t="shared" ref="N109:O109" si="75">N99-N105</f>
        <v>0</v>
      </c>
      <c r="O109" s="56">
        <f t="shared" si="75"/>
        <v>0</v>
      </c>
      <c r="W109" s="46"/>
      <c r="X109" s="46"/>
    </row>
    <row r="110" spans="1:31" ht="18" x14ac:dyDescent="0.35">
      <c r="B110" s="430" t="s">
        <v>48</v>
      </c>
      <c r="C110" s="431"/>
      <c r="D110" s="431"/>
      <c r="E110" s="56" t="e">
        <f>E100-#REF!</f>
        <v>#REF!</v>
      </c>
      <c r="F110" s="57">
        <f t="shared" si="71"/>
        <v>464738.4987</v>
      </c>
      <c r="G110" s="56">
        <f t="shared" ref="G110:H110" si="76">G100-G106</f>
        <v>113011.13176</v>
      </c>
      <c r="H110" s="56">
        <f t="shared" si="76"/>
        <v>138609.71334999998</v>
      </c>
      <c r="I110" s="424">
        <f>I100-I106</f>
        <v>163302.3707</v>
      </c>
      <c r="J110" s="425"/>
      <c r="K110" s="425"/>
      <c r="L110" s="425"/>
      <c r="M110" s="426"/>
      <c r="N110" s="56">
        <f t="shared" ref="N110:O110" si="77">N100-N106</f>
        <v>150718.06400000001</v>
      </c>
      <c r="O110" s="56">
        <f t="shared" si="77"/>
        <v>150718.06400000001</v>
      </c>
      <c r="W110" s="46"/>
      <c r="X110" s="46"/>
    </row>
    <row r="111" spans="1:31" ht="18" x14ac:dyDescent="0.35">
      <c r="B111" s="430" t="s">
        <v>87</v>
      </c>
      <c r="C111" s="431"/>
      <c r="D111" s="434"/>
      <c r="E111" s="56"/>
      <c r="F111" s="57">
        <f t="shared" si="71"/>
        <v>71396.399999999994</v>
      </c>
      <c r="G111" s="56">
        <f t="shared" ref="G111:H111" si="78">G112</f>
        <v>21255.191999999999</v>
      </c>
      <c r="H111" s="56">
        <f t="shared" si="78"/>
        <v>23578.799999999999</v>
      </c>
      <c r="I111" s="424">
        <f>I112</f>
        <v>23798.799999999999</v>
      </c>
      <c r="J111" s="425"/>
      <c r="K111" s="425"/>
      <c r="L111" s="425"/>
      <c r="M111" s="426"/>
      <c r="N111" s="56">
        <f t="shared" ref="N111:O111" si="79">N112</f>
        <v>23798.799999999999</v>
      </c>
      <c r="O111" s="56">
        <f t="shared" si="79"/>
        <v>23798.799999999999</v>
      </c>
      <c r="W111" s="46"/>
      <c r="X111" s="46"/>
    </row>
    <row r="112" spans="1:31" ht="18" x14ac:dyDescent="0.35">
      <c r="B112" s="430" t="s">
        <v>88</v>
      </c>
      <c r="C112" s="431"/>
      <c r="D112" s="431"/>
      <c r="E112" s="56" t="e">
        <f>E102-#REF!</f>
        <v>#REF!</v>
      </c>
      <c r="F112" s="57">
        <f t="shared" si="71"/>
        <v>71396.399999999994</v>
      </c>
      <c r="G112" s="56">
        <f t="shared" ref="G112:H112" si="80">G102</f>
        <v>21255.191999999999</v>
      </c>
      <c r="H112" s="56">
        <f t="shared" si="80"/>
        <v>23578.799999999999</v>
      </c>
      <c r="I112" s="424">
        <f>I102</f>
        <v>23798.799999999999</v>
      </c>
      <c r="J112" s="425"/>
      <c r="K112" s="425"/>
      <c r="L112" s="425"/>
      <c r="M112" s="426"/>
      <c r="N112" s="56">
        <f t="shared" ref="N112:O112" si="81">N102</f>
        <v>23798.799999999999</v>
      </c>
      <c r="O112" s="56">
        <f t="shared" si="81"/>
        <v>23798.799999999999</v>
      </c>
      <c r="W112" s="46"/>
      <c r="X112" s="46"/>
    </row>
    <row r="113" spans="2:24" ht="18" x14ac:dyDescent="0.35">
      <c r="B113" s="432" t="s">
        <v>25</v>
      </c>
      <c r="C113" s="433"/>
      <c r="D113" s="433"/>
      <c r="E113" s="58" t="e">
        <f>SUM(E108:E112)</f>
        <v>#REF!</v>
      </c>
      <c r="F113" s="57">
        <f t="shared" si="71"/>
        <v>540642.89870000002</v>
      </c>
      <c r="G113" s="58">
        <f t="shared" ref="G113:H113" si="82">G108+G109+G110+G111</f>
        <v>135389.28376000002</v>
      </c>
      <c r="H113" s="58">
        <f t="shared" si="82"/>
        <v>183197.95158999995</v>
      </c>
      <c r="I113" s="427">
        <f>I108+I109+I110+I111</f>
        <v>191609.17069999999</v>
      </c>
      <c r="J113" s="428"/>
      <c r="K113" s="428"/>
      <c r="L113" s="428"/>
      <c r="M113" s="429"/>
      <c r="N113" s="58">
        <f t="shared" ref="N113:O113" si="83">N108+N109+N110+N111</f>
        <v>174516.864</v>
      </c>
      <c r="O113" s="58">
        <f t="shared" si="83"/>
        <v>174516.864</v>
      </c>
      <c r="W113" s="46"/>
      <c r="X113" s="46"/>
    </row>
    <row r="114" spans="2:24" x14ac:dyDescent="0.3">
      <c r="E114" s="46"/>
      <c r="F114" s="152"/>
      <c r="G114" s="50"/>
      <c r="H114" s="50"/>
      <c r="I114" s="46"/>
      <c r="J114" s="46"/>
      <c r="K114" s="46"/>
      <c r="L114" s="46"/>
      <c r="M114" s="46"/>
      <c r="N114" s="46"/>
      <c r="O114" s="46"/>
    </row>
    <row r="115" spans="2:24" x14ac:dyDescent="0.3">
      <c r="E115" s="46"/>
      <c r="F115" s="152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2:24" x14ac:dyDescent="0.3">
      <c r="E116" s="46"/>
      <c r="F116" s="152"/>
      <c r="G116" s="50"/>
      <c r="H116" s="50"/>
      <c r="I116" s="46"/>
      <c r="J116" s="46"/>
      <c r="K116" s="46"/>
      <c r="L116" s="46"/>
      <c r="M116" s="46"/>
      <c r="N116" s="46"/>
      <c r="O116" s="46"/>
    </row>
    <row r="119" spans="2:24" x14ac:dyDescent="0.3">
      <c r="G119" s="50"/>
      <c r="H119" s="50"/>
      <c r="N119" s="50"/>
    </row>
  </sheetData>
  <mergeCells count="224">
    <mergeCell ref="I28:M28"/>
    <mergeCell ref="P82:P84"/>
    <mergeCell ref="D82:D84"/>
    <mergeCell ref="I34:M34"/>
    <mergeCell ref="I74:M74"/>
    <mergeCell ref="P24:P28"/>
    <mergeCell ref="I26:M26"/>
    <mergeCell ref="D29:D31"/>
    <mergeCell ref="P39:P42"/>
    <mergeCell ref="P43:P45"/>
    <mergeCell ref="I67:M67"/>
    <mergeCell ref="I68:M68"/>
    <mergeCell ref="I69:M69"/>
    <mergeCell ref="D70:D72"/>
    <mergeCell ref="F70:F71"/>
    <mergeCell ref="D43:D45"/>
    <mergeCell ref="F43:F44"/>
    <mergeCell ref="I43:I44"/>
    <mergeCell ref="J43:M43"/>
    <mergeCell ref="D58:D60"/>
    <mergeCell ref="I51:M51"/>
    <mergeCell ref="F58:F59"/>
    <mergeCell ref="I70:I71"/>
    <mergeCell ref="J70:M70"/>
    <mergeCell ref="J36:M36"/>
    <mergeCell ref="A46:A50"/>
    <mergeCell ref="B46:B50"/>
    <mergeCell ref="C46:C50"/>
    <mergeCell ref="C58:C60"/>
    <mergeCell ref="A51:A60"/>
    <mergeCell ref="B51:B54"/>
    <mergeCell ref="C51:C54"/>
    <mergeCell ref="B61:B65"/>
    <mergeCell ref="A61:A65"/>
    <mergeCell ref="B58:B60"/>
    <mergeCell ref="I50:M50"/>
    <mergeCell ref="I42:M42"/>
    <mergeCell ref="I41:M41"/>
    <mergeCell ref="I40:M40"/>
    <mergeCell ref="I39:M39"/>
    <mergeCell ref="C55:C57"/>
    <mergeCell ref="D55:D57"/>
    <mergeCell ref="P94:P96"/>
    <mergeCell ref="P85:P89"/>
    <mergeCell ref="D94:D96"/>
    <mergeCell ref="C94:C96"/>
    <mergeCell ref="B90:B93"/>
    <mergeCell ref="C90:C93"/>
    <mergeCell ref="C85:C89"/>
    <mergeCell ref="J94:M94"/>
    <mergeCell ref="I87:M87"/>
    <mergeCell ref="I86:M86"/>
    <mergeCell ref="I89:M89"/>
    <mergeCell ref="I85:M85"/>
    <mergeCell ref="I88:M88"/>
    <mergeCell ref="I93:M93"/>
    <mergeCell ref="I92:M92"/>
    <mergeCell ref="I91:M91"/>
    <mergeCell ref="P90:P93"/>
    <mergeCell ref="F94:F95"/>
    <mergeCell ref="I94:I95"/>
    <mergeCell ref="P46:P50"/>
    <mergeCell ref="P58:P60"/>
    <mergeCell ref="I46:M46"/>
    <mergeCell ref="P51:P54"/>
    <mergeCell ref="I66:M66"/>
    <mergeCell ref="P61:P65"/>
    <mergeCell ref="I63:M63"/>
    <mergeCell ref="I62:M62"/>
    <mergeCell ref="I64:M64"/>
    <mergeCell ref="I61:M61"/>
    <mergeCell ref="I47:M47"/>
    <mergeCell ref="I48:M48"/>
    <mergeCell ref="I49:M49"/>
    <mergeCell ref="I58:I59"/>
    <mergeCell ref="J58:M58"/>
    <mergeCell ref="I65:M65"/>
    <mergeCell ref="I52:M52"/>
    <mergeCell ref="I53:M53"/>
    <mergeCell ref="I54:M54"/>
    <mergeCell ref="P66:P69"/>
    <mergeCell ref="P6:P10"/>
    <mergeCell ref="P36:P38"/>
    <mergeCell ref="F29:F30"/>
    <mergeCell ref="I29:I30"/>
    <mergeCell ref="J29:M29"/>
    <mergeCell ref="P29:P31"/>
    <mergeCell ref="P18:P23"/>
    <mergeCell ref="I9:M9"/>
    <mergeCell ref="B18:B23"/>
    <mergeCell ref="I7:M7"/>
    <mergeCell ref="I6:M6"/>
    <mergeCell ref="P11:P14"/>
    <mergeCell ref="B15:B17"/>
    <mergeCell ref="I32:M32"/>
    <mergeCell ref="I35:M35"/>
    <mergeCell ref="I33:M33"/>
    <mergeCell ref="D36:D38"/>
    <mergeCell ref="F36:F37"/>
    <mergeCell ref="I36:I37"/>
    <mergeCell ref="B24:B28"/>
    <mergeCell ref="C24:C28"/>
    <mergeCell ref="P15:P17"/>
    <mergeCell ref="P32:P35"/>
    <mergeCell ref="B36:B38"/>
    <mergeCell ref="I18:M18"/>
    <mergeCell ref="I8:M8"/>
    <mergeCell ref="A11:A17"/>
    <mergeCell ref="I14:M14"/>
    <mergeCell ref="I13:M13"/>
    <mergeCell ref="I12:M12"/>
    <mergeCell ref="I11:M11"/>
    <mergeCell ref="I10:M10"/>
    <mergeCell ref="B6:B10"/>
    <mergeCell ref="C6:C10"/>
    <mergeCell ref="A18:A23"/>
    <mergeCell ref="C15:C17"/>
    <mergeCell ref="A6:A10"/>
    <mergeCell ref="B11:B14"/>
    <mergeCell ref="C11:C14"/>
    <mergeCell ref="I27:M27"/>
    <mergeCell ref="I24:M24"/>
    <mergeCell ref="I3:M3"/>
    <mergeCell ref="P1:P3"/>
    <mergeCell ref="A1:A3"/>
    <mergeCell ref="I4:M4"/>
    <mergeCell ref="I25:M25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I15:I16"/>
    <mergeCell ref="J15:M15"/>
    <mergeCell ref="I23:M23"/>
    <mergeCell ref="I22:M22"/>
    <mergeCell ref="I21:M21"/>
    <mergeCell ref="I20:M20"/>
    <mergeCell ref="I19:M19"/>
    <mergeCell ref="E1:E3"/>
    <mergeCell ref="A24:A31"/>
    <mergeCell ref="A32:A38"/>
    <mergeCell ref="C36:C38"/>
    <mergeCell ref="A90:A96"/>
    <mergeCell ref="B29:B31"/>
    <mergeCell ref="C29:C31"/>
    <mergeCell ref="B43:B45"/>
    <mergeCell ref="C43:C45"/>
    <mergeCell ref="B32:B35"/>
    <mergeCell ref="C32:C35"/>
    <mergeCell ref="A39:A45"/>
    <mergeCell ref="C39:C42"/>
    <mergeCell ref="B39:B42"/>
    <mergeCell ref="B94:B96"/>
    <mergeCell ref="B85:B89"/>
    <mergeCell ref="B78:B81"/>
    <mergeCell ref="C78:C81"/>
    <mergeCell ref="B73:B77"/>
    <mergeCell ref="C61:C65"/>
    <mergeCell ref="C73:C77"/>
    <mergeCell ref="B82:B84"/>
    <mergeCell ref="C82:C84"/>
    <mergeCell ref="A78:A84"/>
    <mergeCell ref="B55:B57"/>
    <mergeCell ref="A102:D102"/>
    <mergeCell ref="B108:D108"/>
    <mergeCell ref="B105:D105"/>
    <mergeCell ref="B106:D106"/>
    <mergeCell ref="B107:D107"/>
    <mergeCell ref="B111:D111"/>
    <mergeCell ref="B113:D113"/>
    <mergeCell ref="B109:D109"/>
    <mergeCell ref="B110:D110"/>
    <mergeCell ref="B112:D112"/>
    <mergeCell ref="I108:M108"/>
    <mergeCell ref="I107:M107"/>
    <mergeCell ref="I106:M106"/>
    <mergeCell ref="I90:M90"/>
    <mergeCell ref="I98:M98"/>
    <mergeCell ref="I97:M97"/>
    <mergeCell ref="I113:M113"/>
    <mergeCell ref="I112:M112"/>
    <mergeCell ref="I111:M111"/>
    <mergeCell ref="I110:M110"/>
    <mergeCell ref="I109:M109"/>
    <mergeCell ref="I102:M102"/>
    <mergeCell ref="F82:F83"/>
    <mergeCell ref="I82:I83"/>
    <mergeCell ref="J82:M82"/>
    <mergeCell ref="I78:M78"/>
    <mergeCell ref="I77:M77"/>
    <mergeCell ref="I76:M76"/>
    <mergeCell ref="I75:M75"/>
    <mergeCell ref="I73:M73"/>
    <mergeCell ref="I105:M105"/>
    <mergeCell ref="I101:M101"/>
    <mergeCell ref="I100:M100"/>
    <mergeCell ref="I99:M99"/>
    <mergeCell ref="A100:D100"/>
    <mergeCell ref="A99:D99"/>
    <mergeCell ref="A97:D97"/>
    <mergeCell ref="A98:D98"/>
    <mergeCell ref="A85:A89"/>
    <mergeCell ref="A101:D101"/>
    <mergeCell ref="A66:A72"/>
    <mergeCell ref="F55:F56"/>
    <mergeCell ref="I55:I56"/>
    <mergeCell ref="J55:M55"/>
    <mergeCell ref="P55:P57"/>
    <mergeCell ref="I81:M81"/>
    <mergeCell ref="I80:M80"/>
    <mergeCell ref="I79:M79"/>
    <mergeCell ref="P70:P72"/>
    <mergeCell ref="P78:P81"/>
    <mergeCell ref="P73:P77"/>
    <mergeCell ref="A73:A77"/>
    <mergeCell ref="B66:B69"/>
    <mergeCell ref="C66:C69"/>
    <mergeCell ref="C70:C72"/>
    <mergeCell ref="B70:B72"/>
  </mergeCells>
  <phoneticPr fontId="33" type="noConversion"/>
  <pageMargins left="0.19685039370078741" right="0.19685039370078741" top="0.59055118110236227" bottom="0.19685039370078741" header="0.39370078740157483" footer="0"/>
  <pageSetup paperSize="9" scale="48" firstPageNumber="17" fitToHeight="0" orientation="landscape" useFirstPageNumber="1" r:id="rId1"/>
  <headerFooter alignWithMargins="0">
    <oddHeader>&amp;C&amp;"Times New Roman,обычный"&amp;12&amp;K000000&amp;P</oddHeader>
  </headerFooter>
  <rowBreaks count="2" manualBreakCount="2">
    <brk id="57" max="15" man="1"/>
    <brk id="84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tabSelected="1" view="pageBreakPreview" topLeftCell="H27" zoomScale="59" zoomScaleNormal="70" zoomScaleSheetLayoutView="59" workbookViewId="0">
      <selection activeCell="I42" sqref="I42:N42"/>
    </sheetView>
  </sheetViews>
  <sheetFormatPr defaultColWidth="9.109375" defaultRowHeight="14.4" x14ac:dyDescent="0.3"/>
  <cols>
    <col min="1" max="1" width="6.6640625" style="1" customWidth="1"/>
    <col min="2" max="2" width="69" style="1" customWidth="1"/>
    <col min="3" max="3" width="18.44140625" style="1" customWidth="1"/>
    <col min="4" max="4" width="31.88671875" style="1" customWidth="1"/>
    <col min="5" max="5" width="21.33203125" style="1" hidden="1" customWidth="1"/>
    <col min="6" max="6" width="22.6640625" style="151" customWidth="1"/>
    <col min="7" max="7" width="23.109375" style="40" customWidth="1"/>
    <col min="8" max="8" width="23.44140625" style="40" customWidth="1"/>
    <col min="9" max="13" width="8" style="1" customWidth="1"/>
    <col min="14" max="15" width="22.44140625" style="1" customWidth="1"/>
    <col min="16" max="16" width="21" style="1" customWidth="1"/>
    <col min="17" max="17" width="31" style="1" hidden="1" customWidth="1"/>
    <col min="18" max="18" width="27.109375" style="1" hidden="1" customWidth="1"/>
    <col min="19" max="19" width="24.44140625" style="1" hidden="1" customWidth="1"/>
    <col min="20" max="20" width="0.109375" style="1" hidden="1" customWidth="1"/>
    <col min="21" max="21" width="19.44140625" style="1" customWidth="1"/>
    <col min="22" max="22" width="23.44140625" style="1" customWidth="1"/>
    <col min="23" max="23" width="19" style="1" customWidth="1"/>
    <col min="24" max="24" width="22.88671875" style="1" customWidth="1"/>
    <col min="25" max="25" width="19.33203125" style="1" customWidth="1"/>
    <col min="26" max="16384" width="9.109375" style="1"/>
  </cols>
  <sheetData>
    <row r="1" spans="1:19" ht="29.25" customHeight="1" x14ac:dyDescent="0.3">
      <c r="A1" s="444" t="s">
        <v>0</v>
      </c>
      <c r="B1" s="444" t="s">
        <v>5</v>
      </c>
      <c r="C1" s="444" t="s">
        <v>50</v>
      </c>
      <c r="D1" s="444" t="s">
        <v>6</v>
      </c>
      <c r="E1" s="444" t="s">
        <v>55</v>
      </c>
      <c r="F1" s="449" t="s">
        <v>7</v>
      </c>
      <c r="G1" s="444" t="s">
        <v>16</v>
      </c>
      <c r="H1" s="444"/>
      <c r="I1" s="444"/>
      <c r="J1" s="444"/>
      <c r="K1" s="444"/>
      <c r="L1" s="444"/>
      <c r="M1" s="444"/>
      <c r="N1" s="444"/>
      <c r="O1" s="444"/>
      <c r="P1" s="444" t="s">
        <v>236</v>
      </c>
      <c r="Q1" s="123"/>
      <c r="R1" s="123"/>
      <c r="S1" s="123"/>
    </row>
    <row r="2" spans="1:19" ht="57" customHeight="1" x14ac:dyDescent="0.3">
      <c r="A2" s="444"/>
      <c r="B2" s="444"/>
      <c r="C2" s="444"/>
      <c r="D2" s="444"/>
      <c r="E2" s="444"/>
      <c r="F2" s="449"/>
      <c r="G2" s="237" t="s">
        <v>45</v>
      </c>
      <c r="H2" s="237" t="s">
        <v>46</v>
      </c>
      <c r="I2" s="436" t="s">
        <v>82</v>
      </c>
      <c r="J2" s="436"/>
      <c r="K2" s="436"/>
      <c r="L2" s="436"/>
      <c r="M2" s="436"/>
      <c r="N2" s="237" t="s">
        <v>83</v>
      </c>
      <c r="O2" s="237" t="s">
        <v>84</v>
      </c>
      <c r="P2" s="444"/>
      <c r="Q2" s="123" t="s">
        <v>41</v>
      </c>
      <c r="R2" s="123" t="s">
        <v>42</v>
      </c>
      <c r="S2" s="123"/>
    </row>
    <row r="3" spans="1:19" ht="17.399999999999999" x14ac:dyDescent="0.3">
      <c r="A3" s="221" t="s">
        <v>13</v>
      </c>
      <c r="B3" s="221">
        <v>2</v>
      </c>
      <c r="C3" s="221" t="s">
        <v>8</v>
      </c>
      <c r="D3" s="221" t="s">
        <v>37</v>
      </c>
      <c r="E3" s="221" t="s">
        <v>9</v>
      </c>
      <c r="F3" s="134" t="s">
        <v>9</v>
      </c>
      <c r="G3" s="221" t="s">
        <v>35</v>
      </c>
      <c r="H3" s="221" t="s">
        <v>36</v>
      </c>
      <c r="I3" s="354" t="s">
        <v>10</v>
      </c>
      <c r="J3" s="354"/>
      <c r="K3" s="354"/>
      <c r="L3" s="354"/>
      <c r="M3" s="354"/>
      <c r="N3" s="221" t="s">
        <v>11</v>
      </c>
      <c r="O3" s="221" t="s">
        <v>12</v>
      </c>
      <c r="P3" s="221" t="s">
        <v>14</v>
      </c>
      <c r="Q3" s="29"/>
      <c r="R3" s="29"/>
      <c r="S3" s="29"/>
    </row>
    <row r="4" spans="1:19" ht="34.5" customHeight="1" x14ac:dyDescent="0.3">
      <c r="A4" s="319" t="s">
        <v>145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101"/>
      <c r="R4" s="101"/>
      <c r="S4" s="101"/>
    </row>
    <row r="5" spans="1:19" s="9" customFormat="1" ht="36.75" customHeight="1" x14ac:dyDescent="0.3">
      <c r="A5" s="395" t="s">
        <v>13</v>
      </c>
      <c r="B5" s="450" t="s">
        <v>76</v>
      </c>
      <c r="C5" s="450" t="s">
        <v>86</v>
      </c>
      <c r="D5" s="153" t="s">
        <v>2</v>
      </c>
      <c r="E5" s="247">
        <f>E8</f>
        <v>181275.1586</v>
      </c>
      <c r="F5" s="156">
        <f t="shared" ref="F5:F14" si="0">SUM(G5:O5)</f>
        <v>2101317.3082699999</v>
      </c>
      <c r="G5" s="247">
        <f t="shared" ref="G5:H5" si="1">G6+G7+G8+G9</f>
        <v>407683.76996000001</v>
      </c>
      <c r="H5" s="247">
        <f t="shared" si="1"/>
        <v>447571.36115000001</v>
      </c>
      <c r="I5" s="448">
        <f>I6+I7+I8+I9</f>
        <v>416593.52616000001</v>
      </c>
      <c r="J5" s="448"/>
      <c r="K5" s="448"/>
      <c r="L5" s="448"/>
      <c r="M5" s="448"/>
      <c r="N5" s="247">
        <f t="shared" ref="N5:O5" si="2">N6+N7+N8+N9</f>
        <v>414734.32550000004</v>
      </c>
      <c r="O5" s="247">
        <f t="shared" si="2"/>
        <v>414734.32550000004</v>
      </c>
      <c r="P5" s="300"/>
      <c r="Q5" s="101"/>
      <c r="R5" s="101"/>
      <c r="S5" s="101"/>
    </row>
    <row r="6" spans="1:19" s="9" customFormat="1" ht="42.75" customHeight="1" x14ac:dyDescent="0.3">
      <c r="A6" s="395"/>
      <c r="B6" s="450"/>
      <c r="C6" s="450"/>
      <c r="D6" s="153" t="s">
        <v>40</v>
      </c>
      <c r="E6" s="247"/>
      <c r="F6" s="156">
        <f t="shared" si="0"/>
        <v>0</v>
      </c>
      <c r="G6" s="246">
        <f t="shared" ref="G6:H6" si="3">G11+G18+G26</f>
        <v>0</v>
      </c>
      <c r="H6" s="246">
        <f t="shared" si="3"/>
        <v>0</v>
      </c>
      <c r="I6" s="308">
        <f>I11+I18+I26</f>
        <v>0</v>
      </c>
      <c r="J6" s="308"/>
      <c r="K6" s="308"/>
      <c r="L6" s="308"/>
      <c r="M6" s="308"/>
      <c r="N6" s="246">
        <f t="shared" ref="N6:O6" si="4">N11+N18+N26</f>
        <v>0</v>
      </c>
      <c r="O6" s="246">
        <f t="shared" si="4"/>
        <v>0</v>
      </c>
      <c r="P6" s="300"/>
      <c r="Q6" s="101"/>
      <c r="R6" s="101"/>
      <c r="S6" s="101"/>
    </row>
    <row r="7" spans="1:19" s="9" customFormat="1" ht="44.25" customHeight="1" x14ac:dyDescent="0.3">
      <c r="A7" s="395"/>
      <c r="B7" s="450"/>
      <c r="C7" s="450"/>
      <c r="D7" s="153" t="s">
        <v>1</v>
      </c>
      <c r="E7" s="247"/>
      <c r="F7" s="156">
        <f t="shared" si="0"/>
        <v>538.57065999999998</v>
      </c>
      <c r="G7" s="246">
        <f t="shared" ref="G7:H7" si="5">G12+G19+G27</f>
        <v>141.46065999999999</v>
      </c>
      <c r="H7" s="246">
        <f t="shared" si="5"/>
        <v>397.11</v>
      </c>
      <c r="I7" s="308">
        <f>I12+I19+I27</f>
        <v>0</v>
      </c>
      <c r="J7" s="308"/>
      <c r="K7" s="308"/>
      <c r="L7" s="308"/>
      <c r="M7" s="308"/>
      <c r="N7" s="246">
        <f t="shared" ref="N7:O7" si="6">N12+N19+N27</f>
        <v>0</v>
      </c>
      <c r="O7" s="246">
        <f t="shared" si="6"/>
        <v>0</v>
      </c>
      <c r="P7" s="300"/>
      <c r="Q7" s="101"/>
      <c r="R7" s="101"/>
      <c r="S7" s="101"/>
    </row>
    <row r="8" spans="1:19" s="9" customFormat="1" ht="52.2" x14ac:dyDescent="0.3">
      <c r="A8" s="395"/>
      <c r="B8" s="450"/>
      <c r="C8" s="450"/>
      <c r="D8" s="153" t="s">
        <v>48</v>
      </c>
      <c r="E8" s="245">
        <f>E13+E20+E28</f>
        <v>181275.1586</v>
      </c>
      <c r="F8" s="156">
        <f t="shared" si="0"/>
        <v>1140284.8073100001</v>
      </c>
      <c r="G8" s="245">
        <f t="shared" ref="G8:H8" si="7">G13+G20+G28</f>
        <v>236926.81779999999</v>
      </c>
      <c r="H8" s="245">
        <f t="shared" si="7"/>
        <v>249704.64145</v>
      </c>
      <c r="I8" s="447">
        <f>I13+I20+I28</f>
        <v>219123.91645999998</v>
      </c>
      <c r="J8" s="447"/>
      <c r="K8" s="447"/>
      <c r="L8" s="447"/>
      <c r="M8" s="447"/>
      <c r="N8" s="245">
        <f t="shared" ref="N8:O8" si="8">N13+N20+N28</f>
        <v>217264.71580000001</v>
      </c>
      <c r="O8" s="245">
        <f t="shared" si="8"/>
        <v>217264.71580000001</v>
      </c>
      <c r="P8" s="300"/>
      <c r="Q8" s="31"/>
      <c r="R8" s="31"/>
      <c r="S8" s="31"/>
    </row>
    <row r="9" spans="1:19" s="9" customFormat="1" ht="39.75" customHeight="1" x14ac:dyDescent="0.3">
      <c r="A9" s="395"/>
      <c r="B9" s="450"/>
      <c r="C9" s="450"/>
      <c r="D9" s="153" t="s">
        <v>87</v>
      </c>
      <c r="E9" s="245"/>
      <c r="F9" s="156">
        <f t="shared" si="0"/>
        <v>960493.93030000012</v>
      </c>
      <c r="G9" s="245">
        <f t="shared" ref="G9:H9" si="9">G14+G21+G29</f>
        <v>170615.4915</v>
      </c>
      <c r="H9" s="245">
        <f t="shared" si="9"/>
        <v>197469.6097</v>
      </c>
      <c r="I9" s="447">
        <f>I14+I21+I29</f>
        <v>197469.6097</v>
      </c>
      <c r="J9" s="447"/>
      <c r="K9" s="447"/>
      <c r="L9" s="447"/>
      <c r="M9" s="447"/>
      <c r="N9" s="245">
        <f t="shared" ref="N9:O9" si="10">N14+N21+N29</f>
        <v>197469.6097</v>
      </c>
      <c r="O9" s="245">
        <f t="shared" si="10"/>
        <v>197469.6097</v>
      </c>
      <c r="P9" s="300"/>
      <c r="Q9" s="31"/>
      <c r="R9" s="31"/>
      <c r="S9" s="31"/>
    </row>
    <row r="10" spans="1:19" s="9" customFormat="1" ht="99" customHeight="1" x14ac:dyDescent="0.3">
      <c r="A10" s="395"/>
      <c r="B10" s="450"/>
      <c r="C10" s="450"/>
      <c r="D10" s="153" t="s">
        <v>88</v>
      </c>
      <c r="E10" s="245"/>
      <c r="F10" s="156">
        <f t="shared" si="0"/>
        <v>960493.93030000012</v>
      </c>
      <c r="G10" s="245">
        <f t="shared" ref="G10:H10" si="11">G22</f>
        <v>170615.4915</v>
      </c>
      <c r="H10" s="245">
        <f t="shared" si="11"/>
        <v>197469.6097</v>
      </c>
      <c r="I10" s="447">
        <f>I22</f>
        <v>197469.6097</v>
      </c>
      <c r="J10" s="447"/>
      <c r="K10" s="447"/>
      <c r="L10" s="447"/>
      <c r="M10" s="447"/>
      <c r="N10" s="245">
        <f t="shared" ref="N10:O10" si="12">N22</f>
        <v>197469.6097</v>
      </c>
      <c r="O10" s="245">
        <f t="shared" si="12"/>
        <v>197469.6097</v>
      </c>
      <c r="P10" s="300"/>
      <c r="Q10" s="31"/>
      <c r="R10" s="31"/>
      <c r="S10" s="31"/>
    </row>
    <row r="11" spans="1:19" s="9" customFormat="1" ht="47.25" customHeight="1" x14ac:dyDescent="0.3">
      <c r="A11" s="455" t="s">
        <v>26</v>
      </c>
      <c r="B11" s="417" t="s">
        <v>251</v>
      </c>
      <c r="C11" s="319" t="s">
        <v>86</v>
      </c>
      <c r="D11" s="100" t="s">
        <v>40</v>
      </c>
      <c r="E11" s="102"/>
      <c r="F11" s="156">
        <f t="shared" si="0"/>
        <v>0</v>
      </c>
      <c r="G11" s="244">
        <v>0</v>
      </c>
      <c r="H11" s="244">
        <v>0</v>
      </c>
      <c r="I11" s="309">
        <v>0</v>
      </c>
      <c r="J11" s="309"/>
      <c r="K11" s="309"/>
      <c r="L11" s="309"/>
      <c r="M11" s="309"/>
      <c r="N11" s="244">
        <v>0</v>
      </c>
      <c r="O11" s="244">
        <v>0</v>
      </c>
      <c r="P11" s="311" t="s">
        <v>3</v>
      </c>
      <c r="Q11" s="31"/>
      <c r="R11" s="31"/>
      <c r="S11" s="31"/>
    </row>
    <row r="12" spans="1:19" ht="34.799999999999997" x14ac:dyDescent="0.3">
      <c r="A12" s="455"/>
      <c r="B12" s="417"/>
      <c r="C12" s="319"/>
      <c r="D12" s="239" t="s">
        <v>1</v>
      </c>
      <c r="E12" s="71"/>
      <c r="F12" s="156">
        <f t="shared" si="0"/>
        <v>538.57065999999998</v>
      </c>
      <c r="G12" s="244">
        <v>141.46065999999999</v>
      </c>
      <c r="H12" s="244">
        <v>397.11</v>
      </c>
      <c r="I12" s="309">
        <v>0</v>
      </c>
      <c r="J12" s="309"/>
      <c r="K12" s="309"/>
      <c r="L12" s="309"/>
      <c r="M12" s="309"/>
      <c r="N12" s="244">
        <v>0</v>
      </c>
      <c r="O12" s="244">
        <v>0</v>
      </c>
      <c r="P12" s="311"/>
      <c r="Q12" s="31"/>
      <c r="R12" s="31"/>
      <c r="S12" s="31"/>
    </row>
    <row r="13" spans="1:19" ht="52.2" x14ac:dyDescent="0.3">
      <c r="A13" s="455"/>
      <c r="B13" s="417"/>
      <c r="C13" s="319"/>
      <c r="D13" s="238" t="s">
        <v>48</v>
      </c>
      <c r="E13" s="244">
        <v>97858.007519999999</v>
      </c>
      <c r="F13" s="156">
        <f t="shared" si="0"/>
        <v>588751.05239999993</v>
      </c>
      <c r="G13" s="244">
        <v>116139.13128</v>
      </c>
      <c r="H13" s="244">
        <v>114975.76281</v>
      </c>
      <c r="I13" s="313">
        <f>118311.639+376.46818+2193.94092-41.16779</f>
        <v>120840.88030999998</v>
      </c>
      <c r="J13" s="313"/>
      <c r="K13" s="313"/>
      <c r="L13" s="313"/>
      <c r="M13" s="313"/>
      <c r="N13" s="244">
        <v>118397.639</v>
      </c>
      <c r="O13" s="244">
        <v>118397.639</v>
      </c>
      <c r="P13" s="311"/>
      <c r="Q13" s="52" t="e">
        <f>('[1]Лист 1'!$F$476+'[1]Лист 1'!$F$477)/1000</f>
        <v>#REF!</v>
      </c>
      <c r="R13" s="124">
        <v>16611.023000000001</v>
      </c>
      <c r="S13" s="33" t="e">
        <f>Q13-R13</f>
        <v>#REF!</v>
      </c>
    </row>
    <row r="14" spans="1:19" ht="34.799999999999997" x14ac:dyDescent="0.3">
      <c r="A14" s="455"/>
      <c r="B14" s="417"/>
      <c r="C14" s="319"/>
      <c r="D14" s="238" t="s">
        <v>87</v>
      </c>
      <c r="E14" s="244"/>
      <c r="F14" s="156">
        <f t="shared" si="0"/>
        <v>0</v>
      </c>
      <c r="G14" s="244">
        <v>0</v>
      </c>
      <c r="H14" s="244">
        <v>0</v>
      </c>
      <c r="I14" s="309">
        <v>0</v>
      </c>
      <c r="J14" s="309"/>
      <c r="K14" s="309"/>
      <c r="L14" s="309"/>
      <c r="M14" s="309"/>
      <c r="N14" s="244">
        <v>0</v>
      </c>
      <c r="O14" s="244">
        <v>0</v>
      </c>
      <c r="P14" s="311"/>
      <c r="Q14" s="52"/>
      <c r="R14" s="125"/>
      <c r="S14" s="33"/>
    </row>
    <row r="15" spans="1:19" s="40" customFormat="1" ht="35.25" customHeight="1" x14ac:dyDescent="0.3">
      <c r="A15" s="455"/>
      <c r="B15" s="286" t="s">
        <v>178</v>
      </c>
      <c r="C15" s="288" t="s">
        <v>116</v>
      </c>
      <c r="D15" s="288" t="s">
        <v>116</v>
      </c>
      <c r="E15" s="228"/>
      <c r="F15" s="290" t="s">
        <v>117</v>
      </c>
      <c r="G15" s="227" t="s">
        <v>214</v>
      </c>
      <c r="H15" s="227" t="s">
        <v>215</v>
      </c>
      <c r="I15" s="283" t="s">
        <v>123</v>
      </c>
      <c r="J15" s="284" t="s">
        <v>118</v>
      </c>
      <c r="K15" s="284"/>
      <c r="L15" s="284"/>
      <c r="M15" s="284"/>
      <c r="N15" s="227" t="s">
        <v>124</v>
      </c>
      <c r="O15" s="227" t="s">
        <v>125</v>
      </c>
      <c r="P15" s="295" t="s">
        <v>116</v>
      </c>
      <c r="Q15" s="99"/>
      <c r="R15" s="9"/>
      <c r="S15" s="9"/>
    </row>
    <row r="16" spans="1:19" s="40" customFormat="1" ht="25.5" customHeight="1" x14ac:dyDescent="0.3">
      <c r="A16" s="455"/>
      <c r="B16" s="286"/>
      <c r="C16" s="288"/>
      <c r="D16" s="288"/>
      <c r="E16" s="228"/>
      <c r="F16" s="290"/>
      <c r="G16" s="228"/>
      <c r="H16" s="228"/>
      <c r="I16" s="283"/>
      <c r="J16" s="228" t="s">
        <v>119</v>
      </c>
      <c r="K16" s="228" t="s">
        <v>120</v>
      </c>
      <c r="L16" s="228" t="s">
        <v>121</v>
      </c>
      <c r="M16" s="228" t="s">
        <v>122</v>
      </c>
      <c r="N16" s="228"/>
      <c r="O16" s="228"/>
      <c r="P16" s="295"/>
      <c r="Q16" s="99"/>
      <c r="R16" s="9"/>
      <c r="S16" s="9"/>
    </row>
    <row r="17" spans="1:21" s="40" customFormat="1" ht="39" customHeight="1" x14ac:dyDescent="0.3">
      <c r="A17" s="455"/>
      <c r="B17" s="286"/>
      <c r="C17" s="288"/>
      <c r="D17" s="288"/>
      <c r="E17" s="228"/>
      <c r="F17" s="136">
        <v>100</v>
      </c>
      <c r="G17" s="121">
        <v>100</v>
      </c>
      <c r="H17" s="121">
        <v>100</v>
      </c>
      <c r="I17" s="121">
        <v>100</v>
      </c>
      <c r="J17" s="121">
        <v>100</v>
      </c>
      <c r="K17" s="121">
        <v>100</v>
      </c>
      <c r="L17" s="121">
        <v>100</v>
      </c>
      <c r="M17" s="121">
        <v>100</v>
      </c>
      <c r="N17" s="121">
        <v>100</v>
      </c>
      <c r="O17" s="121">
        <v>100</v>
      </c>
      <c r="P17" s="295"/>
      <c r="Q17" s="99"/>
      <c r="R17" s="9"/>
      <c r="S17" s="9"/>
    </row>
    <row r="18" spans="1:21" ht="37.5" customHeight="1" x14ac:dyDescent="0.3">
      <c r="A18" s="455" t="s">
        <v>27</v>
      </c>
      <c r="B18" s="417" t="s">
        <v>252</v>
      </c>
      <c r="C18" s="319" t="s">
        <v>86</v>
      </c>
      <c r="D18" s="238" t="s">
        <v>40</v>
      </c>
      <c r="E18" s="244"/>
      <c r="F18" s="156">
        <f>SUM(G18:O18)</f>
        <v>0</v>
      </c>
      <c r="G18" s="244">
        <v>0</v>
      </c>
      <c r="H18" s="244">
        <v>0</v>
      </c>
      <c r="I18" s="309">
        <v>0</v>
      </c>
      <c r="J18" s="309"/>
      <c r="K18" s="309"/>
      <c r="L18" s="309"/>
      <c r="M18" s="309"/>
      <c r="N18" s="244">
        <v>0</v>
      </c>
      <c r="O18" s="244">
        <v>0</v>
      </c>
      <c r="P18" s="311" t="s">
        <v>81</v>
      </c>
      <c r="Q18" s="52"/>
      <c r="R18" s="125"/>
      <c r="S18" s="33"/>
    </row>
    <row r="19" spans="1:21" ht="43.5" customHeight="1" x14ac:dyDescent="0.3">
      <c r="A19" s="455"/>
      <c r="B19" s="417"/>
      <c r="C19" s="319"/>
      <c r="D19" s="238" t="s">
        <v>1</v>
      </c>
      <c r="E19" s="244"/>
      <c r="F19" s="156">
        <f>SUM(G19:O19)</f>
        <v>0</v>
      </c>
      <c r="G19" s="244">
        <v>0</v>
      </c>
      <c r="H19" s="244">
        <v>0</v>
      </c>
      <c r="I19" s="309">
        <v>0</v>
      </c>
      <c r="J19" s="309"/>
      <c r="K19" s="309"/>
      <c r="L19" s="309"/>
      <c r="M19" s="309"/>
      <c r="N19" s="244">
        <v>0</v>
      </c>
      <c r="O19" s="244">
        <v>0</v>
      </c>
      <c r="P19" s="311"/>
      <c r="Q19" s="52"/>
      <c r="R19" s="125"/>
      <c r="S19" s="33"/>
    </row>
    <row r="20" spans="1:21" ht="56.25" customHeight="1" x14ac:dyDescent="0.3">
      <c r="A20" s="455"/>
      <c r="B20" s="417"/>
      <c r="C20" s="319"/>
      <c r="D20" s="238" t="s">
        <v>48</v>
      </c>
      <c r="E20" s="244">
        <v>39046.151080000003</v>
      </c>
      <c r="F20" s="156">
        <f>SUM(G20:O20)</f>
        <v>498672.26290999993</v>
      </c>
      <c r="G20" s="244">
        <v>110760.19452</v>
      </c>
      <c r="H20" s="244">
        <v>125993.87864</v>
      </c>
      <c r="I20" s="309">
        <f>87308.0768-6.04065</f>
        <v>87302.03615</v>
      </c>
      <c r="J20" s="309"/>
      <c r="K20" s="309"/>
      <c r="L20" s="309"/>
      <c r="M20" s="309"/>
      <c r="N20" s="244">
        <f>87120+188.0768</f>
        <v>87308.076799999995</v>
      </c>
      <c r="O20" s="244">
        <f>87120+188.0768</f>
        <v>87308.076799999995</v>
      </c>
      <c r="P20" s="311"/>
      <c r="Q20" s="52" t="e">
        <f>'[1]Лист 1'!$F$478/1000</f>
        <v>#REF!</v>
      </c>
      <c r="R20" s="125">
        <v>0.27</v>
      </c>
      <c r="S20" s="33" t="e">
        <f>Q20-R20</f>
        <v>#REF!</v>
      </c>
    </row>
    <row r="21" spans="1:21" ht="34.799999999999997" x14ac:dyDescent="0.3">
      <c r="A21" s="455"/>
      <c r="B21" s="417"/>
      <c r="C21" s="319"/>
      <c r="D21" s="238" t="s">
        <v>87</v>
      </c>
      <c r="E21" s="244"/>
      <c r="F21" s="156">
        <f>SUM(G21:O21)</f>
        <v>960493.93030000012</v>
      </c>
      <c r="G21" s="244">
        <f>G22</f>
        <v>170615.4915</v>
      </c>
      <c r="H21" s="244">
        <f>H22</f>
        <v>197469.6097</v>
      </c>
      <c r="I21" s="309">
        <f>I22</f>
        <v>197469.6097</v>
      </c>
      <c r="J21" s="309"/>
      <c r="K21" s="309"/>
      <c r="L21" s="309"/>
      <c r="M21" s="309"/>
      <c r="N21" s="244">
        <f t="shared" ref="N21:O21" si="13">N22</f>
        <v>197469.6097</v>
      </c>
      <c r="O21" s="244">
        <f t="shared" si="13"/>
        <v>197469.6097</v>
      </c>
      <c r="P21" s="311"/>
      <c r="Q21" s="52"/>
      <c r="R21" s="125"/>
      <c r="S21" s="33"/>
    </row>
    <row r="22" spans="1:21" ht="87" x14ac:dyDescent="0.3">
      <c r="A22" s="455"/>
      <c r="B22" s="417"/>
      <c r="C22" s="319"/>
      <c r="D22" s="238" t="s">
        <v>88</v>
      </c>
      <c r="E22" s="244"/>
      <c r="F22" s="156">
        <f>SUM(G22:O22)</f>
        <v>960493.93030000012</v>
      </c>
      <c r="G22" s="71">
        <v>170615.4915</v>
      </c>
      <c r="H22" s="71">
        <v>197469.6097</v>
      </c>
      <c r="I22" s="456">
        <f>N22</f>
        <v>197469.6097</v>
      </c>
      <c r="J22" s="456"/>
      <c r="K22" s="456"/>
      <c r="L22" s="456"/>
      <c r="M22" s="456"/>
      <c r="N22" s="71">
        <f>H22</f>
        <v>197469.6097</v>
      </c>
      <c r="O22" s="71">
        <f>N22</f>
        <v>197469.6097</v>
      </c>
      <c r="P22" s="311"/>
      <c r="Q22" s="52"/>
      <c r="R22" s="125"/>
      <c r="S22" s="33"/>
    </row>
    <row r="23" spans="1:21" s="40" customFormat="1" ht="39" customHeight="1" x14ac:dyDescent="0.3">
      <c r="A23" s="455"/>
      <c r="B23" s="286" t="s">
        <v>184</v>
      </c>
      <c r="C23" s="288" t="s">
        <v>116</v>
      </c>
      <c r="D23" s="288" t="s">
        <v>116</v>
      </c>
      <c r="E23" s="228"/>
      <c r="F23" s="290" t="s">
        <v>117</v>
      </c>
      <c r="G23" s="227" t="s">
        <v>214</v>
      </c>
      <c r="H23" s="227" t="s">
        <v>215</v>
      </c>
      <c r="I23" s="283" t="s">
        <v>123</v>
      </c>
      <c r="J23" s="284" t="s">
        <v>118</v>
      </c>
      <c r="K23" s="284"/>
      <c r="L23" s="284"/>
      <c r="M23" s="284"/>
      <c r="N23" s="227" t="s">
        <v>124</v>
      </c>
      <c r="O23" s="227" t="s">
        <v>125</v>
      </c>
      <c r="P23" s="295" t="s">
        <v>116</v>
      </c>
      <c r="Q23" s="99"/>
      <c r="R23" s="9"/>
      <c r="S23" s="9"/>
    </row>
    <row r="24" spans="1:21" s="40" customFormat="1" ht="31.5" customHeight="1" x14ac:dyDescent="0.3">
      <c r="A24" s="455"/>
      <c r="B24" s="286"/>
      <c r="C24" s="288"/>
      <c r="D24" s="288"/>
      <c r="E24" s="228"/>
      <c r="F24" s="290"/>
      <c r="G24" s="228"/>
      <c r="H24" s="228"/>
      <c r="I24" s="283"/>
      <c r="J24" s="228" t="s">
        <v>119</v>
      </c>
      <c r="K24" s="228" t="s">
        <v>120</v>
      </c>
      <c r="L24" s="228" t="s">
        <v>121</v>
      </c>
      <c r="M24" s="228" t="s">
        <v>122</v>
      </c>
      <c r="N24" s="228"/>
      <c r="O24" s="228"/>
      <c r="P24" s="295"/>
      <c r="Q24" s="99"/>
      <c r="R24" s="9"/>
      <c r="S24" s="9"/>
    </row>
    <row r="25" spans="1:21" s="40" customFormat="1" ht="27" customHeight="1" x14ac:dyDescent="0.3">
      <c r="A25" s="455"/>
      <c r="B25" s="286"/>
      <c r="C25" s="288"/>
      <c r="D25" s="288"/>
      <c r="E25" s="228"/>
      <c r="F25" s="136">
        <v>3</v>
      </c>
      <c r="G25" s="121">
        <v>3</v>
      </c>
      <c r="H25" s="121">
        <v>3</v>
      </c>
      <c r="I25" s="121">
        <v>3</v>
      </c>
      <c r="J25" s="121">
        <v>3</v>
      </c>
      <c r="K25" s="121">
        <v>3</v>
      </c>
      <c r="L25" s="121">
        <v>3</v>
      </c>
      <c r="M25" s="121">
        <v>3</v>
      </c>
      <c r="N25" s="121">
        <v>3</v>
      </c>
      <c r="O25" s="121">
        <v>3</v>
      </c>
      <c r="P25" s="295"/>
      <c r="Q25" s="99"/>
      <c r="R25" s="9"/>
      <c r="S25" s="9"/>
    </row>
    <row r="26" spans="1:21" ht="46.5" customHeight="1" x14ac:dyDescent="0.3">
      <c r="A26" s="455" t="s">
        <v>28</v>
      </c>
      <c r="B26" s="417" t="s">
        <v>146</v>
      </c>
      <c r="C26" s="319" t="s">
        <v>86</v>
      </c>
      <c r="D26" s="238" t="s">
        <v>40</v>
      </c>
      <c r="E26" s="244"/>
      <c r="F26" s="156">
        <f>SUM(G26:O26)</f>
        <v>0</v>
      </c>
      <c r="G26" s="244">
        <v>0</v>
      </c>
      <c r="H26" s="244">
        <v>0</v>
      </c>
      <c r="I26" s="309">
        <v>0</v>
      </c>
      <c r="J26" s="309"/>
      <c r="K26" s="309"/>
      <c r="L26" s="309"/>
      <c r="M26" s="309"/>
      <c r="N26" s="244">
        <v>0</v>
      </c>
      <c r="O26" s="244">
        <v>0</v>
      </c>
      <c r="P26" s="311" t="s">
        <v>38</v>
      </c>
      <c r="Q26" s="52"/>
      <c r="R26" s="125"/>
      <c r="S26" s="33"/>
    </row>
    <row r="27" spans="1:21" ht="34.799999999999997" x14ac:dyDescent="0.3">
      <c r="A27" s="455"/>
      <c r="B27" s="417"/>
      <c r="C27" s="319"/>
      <c r="D27" s="238" t="s">
        <v>1</v>
      </c>
      <c r="E27" s="244"/>
      <c r="F27" s="156">
        <f>SUM(G27:O27)</f>
        <v>0</v>
      </c>
      <c r="G27" s="244">
        <v>0</v>
      </c>
      <c r="H27" s="244">
        <v>0</v>
      </c>
      <c r="I27" s="309">
        <v>0</v>
      </c>
      <c r="J27" s="309"/>
      <c r="K27" s="309"/>
      <c r="L27" s="309"/>
      <c r="M27" s="309"/>
      <c r="N27" s="244">
        <v>0</v>
      </c>
      <c r="O27" s="244">
        <v>0</v>
      </c>
      <c r="P27" s="311"/>
      <c r="Q27" s="52"/>
      <c r="R27" s="125"/>
      <c r="S27" s="33"/>
    </row>
    <row r="28" spans="1:21" ht="57.75" customHeight="1" x14ac:dyDescent="0.3">
      <c r="A28" s="455"/>
      <c r="B28" s="417"/>
      <c r="C28" s="319"/>
      <c r="D28" s="238" t="s">
        <v>48</v>
      </c>
      <c r="E28" s="244">
        <v>44371</v>
      </c>
      <c r="F28" s="156">
        <f>SUM(G28:O28)</f>
        <v>52861.491999999998</v>
      </c>
      <c r="G28" s="244">
        <v>10027.492</v>
      </c>
      <c r="H28" s="244">
        <v>8735</v>
      </c>
      <c r="I28" s="309">
        <v>10981</v>
      </c>
      <c r="J28" s="309"/>
      <c r="K28" s="309"/>
      <c r="L28" s="309"/>
      <c r="M28" s="309"/>
      <c r="N28" s="244">
        <v>11559</v>
      </c>
      <c r="O28" s="244">
        <v>11559</v>
      </c>
      <c r="P28" s="311"/>
      <c r="Q28" s="52">
        <v>0</v>
      </c>
      <c r="R28" s="125">
        <v>0</v>
      </c>
      <c r="S28" s="33">
        <f>Q28-R28</f>
        <v>0</v>
      </c>
      <c r="T28" s="5"/>
      <c r="U28" s="5"/>
    </row>
    <row r="29" spans="1:21" ht="34.799999999999997" x14ac:dyDescent="0.3">
      <c r="A29" s="455"/>
      <c r="B29" s="417"/>
      <c r="C29" s="319"/>
      <c r="D29" s="238" t="s">
        <v>87</v>
      </c>
      <c r="E29" s="244"/>
      <c r="F29" s="156">
        <f>SUM(G29:O29)</f>
        <v>0</v>
      </c>
      <c r="G29" s="244">
        <v>0</v>
      </c>
      <c r="H29" s="244">
        <v>0</v>
      </c>
      <c r="I29" s="309">
        <v>0</v>
      </c>
      <c r="J29" s="309"/>
      <c r="K29" s="309"/>
      <c r="L29" s="309"/>
      <c r="M29" s="309"/>
      <c r="N29" s="244">
        <v>0</v>
      </c>
      <c r="O29" s="244">
        <v>0</v>
      </c>
      <c r="P29" s="311"/>
      <c r="Q29" s="33"/>
      <c r="R29" s="126"/>
      <c r="S29" s="33"/>
      <c r="T29" s="5"/>
      <c r="U29" s="5"/>
    </row>
    <row r="30" spans="1:21" s="40" customFormat="1" ht="30" customHeight="1" x14ac:dyDescent="0.3">
      <c r="A30" s="455"/>
      <c r="B30" s="286" t="s">
        <v>260</v>
      </c>
      <c r="C30" s="288" t="s">
        <v>116</v>
      </c>
      <c r="D30" s="288" t="s">
        <v>116</v>
      </c>
      <c r="E30" s="228"/>
      <c r="F30" s="290" t="s">
        <v>117</v>
      </c>
      <c r="G30" s="227" t="s">
        <v>214</v>
      </c>
      <c r="H30" s="227" t="s">
        <v>46</v>
      </c>
      <c r="I30" s="283" t="s">
        <v>123</v>
      </c>
      <c r="J30" s="284" t="s">
        <v>118</v>
      </c>
      <c r="K30" s="284"/>
      <c r="L30" s="284"/>
      <c r="M30" s="284"/>
      <c r="N30" s="227" t="s">
        <v>124</v>
      </c>
      <c r="O30" s="227" t="s">
        <v>125</v>
      </c>
      <c r="P30" s="295" t="s">
        <v>116</v>
      </c>
      <c r="Q30" s="99"/>
      <c r="R30" s="9"/>
      <c r="S30" s="9"/>
    </row>
    <row r="31" spans="1:21" s="40" customFormat="1" ht="27.75" customHeight="1" x14ac:dyDescent="0.3">
      <c r="A31" s="455"/>
      <c r="B31" s="286"/>
      <c r="C31" s="288"/>
      <c r="D31" s="288"/>
      <c r="E31" s="228"/>
      <c r="F31" s="290"/>
      <c r="G31" s="228"/>
      <c r="H31" s="228"/>
      <c r="I31" s="283"/>
      <c r="J31" s="228" t="s">
        <v>119</v>
      </c>
      <c r="K31" s="228" t="s">
        <v>120</v>
      </c>
      <c r="L31" s="228" t="s">
        <v>121</v>
      </c>
      <c r="M31" s="228" t="s">
        <v>122</v>
      </c>
      <c r="N31" s="228"/>
      <c r="O31" s="228"/>
      <c r="P31" s="295"/>
      <c r="Q31" s="99"/>
      <c r="R31" s="9"/>
      <c r="S31" s="9"/>
    </row>
    <row r="32" spans="1:21" s="40" customFormat="1" ht="33.75" customHeight="1" x14ac:dyDescent="0.3">
      <c r="A32" s="455"/>
      <c r="B32" s="286"/>
      <c r="C32" s="288"/>
      <c r="D32" s="288"/>
      <c r="E32" s="228"/>
      <c r="F32" s="136">
        <f>I32+G32+H32+N32+O32</f>
        <v>80</v>
      </c>
      <c r="G32" s="121">
        <v>16</v>
      </c>
      <c r="H32" s="121">
        <v>16</v>
      </c>
      <c r="I32" s="121">
        <v>16</v>
      </c>
      <c r="J32" s="121">
        <v>6</v>
      </c>
      <c r="K32" s="121">
        <v>6</v>
      </c>
      <c r="L32" s="121">
        <v>15</v>
      </c>
      <c r="M32" s="121">
        <v>16</v>
      </c>
      <c r="N32" s="121">
        <v>16</v>
      </c>
      <c r="O32" s="121">
        <v>16</v>
      </c>
      <c r="P32" s="295"/>
      <c r="Q32" s="99"/>
      <c r="R32" s="9"/>
      <c r="S32" s="9"/>
    </row>
    <row r="33" spans="1:25" s="9" customFormat="1" ht="42.75" customHeight="1" x14ac:dyDescent="0.3">
      <c r="A33" s="341" t="s">
        <v>183</v>
      </c>
      <c r="B33" s="342"/>
      <c r="C33" s="342"/>
      <c r="D33" s="342"/>
      <c r="E33" s="132">
        <f>E36</f>
        <v>181275.1586</v>
      </c>
      <c r="F33" s="137">
        <f t="shared" ref="F33:F46" si="14">SUM(G33:O33)</f>
        <v>2101317.3082699999</v>
      </c>
      <c r="G33" s="132">
        <f t="shared" ref="G33:H33" si="15">G34+G35+G36+G37</f>
        <v>407683.76996000001</v>
      </c>
      <c r="H33" s="132">
        <f t="shared" si="15"/>
        <v>447571.36115000001</v>
      </c>
      <c r="I33" s="339">
        <f>I34+I35+I36+I37</f>
        <v>416593.52616000001</v>
      </c>
      <c r="J33" s="339"/>
      <c r="K33" s="339"/>
      <c r="L33" s="339"/>
      <c r="M33" s="339"/>
      <c r="N33" s="132">
        <f t="shared" ref="N33:O33" si="16">N34+N35+N36+N37</f>
        <v>414734.32550000004</v>
      </c>
      <c r="O33" s="132">
        <f t="shared" si="16"/>
        <v>414734.32550000004</v>
      </c>
      <c r="P33" s="133"/>
      <c r="Q33" s="32"/>
      <c r="R33" s="32"/>
      <c r="S33" s="32"/>
      <c r="X33" s="45"/>
      <c r="Y33" s="45"/>
    </row>
    <row r="34" spans="1:25" s="9" customFormat="1" ht="18" x14ac:dyDescent="0.3">
      <c r="A34" s="452" t="s">
        <v>40</v>
      </c>
      <c r="B34" s="452"/>
      <c r="C34" s="452"/>
      <c r="D34" s="452"/>
      <c r="E34" s="97"/>
      <c r="F34" s="137">
        <f t="shared" si="14"/>
        <v>0</v>
      </c>
      <c r="G34" s="97">
        <f t="shared" ref="G34:H34" si="17">G6</f>
        <v>0</v>
      </c>
      <c r="H34" s="97">
        <f t="shared" si="17"/>
        <v>0</v>
      </c>
      <c r="I34" s="451">
        <f>I6</f>
        <v>0</v>
      </c>
      <c r="J34" s="451"/>
      <c r="K34" s="451"/>
      <c r="L34" s="451"/>
      <c r="M34" s="451"/>
      <c r="N34" s="97">
        <f t="shared" ref="N34:O34" si="18">N6</f>
        <v>0</v>
      </c>
      <c r="O34" s="97">
        <f t="shared" si="18"/>
        <v>0</v>
      </c>
      <c r="P34" s="12"/>
      <c r="Q34" s="32"/>
      <c r="R34" s="32"/>
      <c r="S34" s="32"/>
      <c r="X34" s="45"/>
      <c r="Y34" s="45"/>
    </row>
    <row r="35" spans="1:25" ht="18" x14ac:dyDescent="0.3">
      <c r="A35" s="343" t="s">
        <v>1</v>
      </c>
      <c r="B35" s="343"/>
      <c r="C35" s="343"/>
      <c r="D35" s="343"/>
      <c r="E35" s="48">
        <f>E7</f>
        <v>0</v>
      </c>
      <c r="F35" s="137">
        <f t="shared" si="14"/>
        <v>538.57065999999998</v>
      </c>
      <c r="G35" s="48">
        <f t="shared" ref="G35:H35" si="19">G7</f>
        <v>141.46065999999999</v>
      </c>
      <c r="H35" s="48">
        <f t="shared" si="19"/>
        <v>397.11</v>
      </c>
      <c r="I35" s="285">
        <f>I7</f>
        <v>0</v>
      </c>
      <c r="J35" s="285"/>
      <c r="K35" s="285"/>
      <c r="L35" s="285"/>
      <c r="M35" s="285"/>
      <c r="N35" s="48">
        <f t="shared" ref="N35:O35" si="20">N7</f>
        <v>0</v>
      </c>
      <c r="O35" s="48">
        <f t="shared" si="20"/>
        <v>0</v>
      </c>
      <c r="P35" s="12"/>
      <c r="Q35" s="32"/>
      <c r="R35" s="32"/>
      <c r="S35" s="32"/>
      <c r="X35" s="46"/>
      <c r="Y35" s="46"/>
    </row>
    <row r="36" spans="1:25" ht="18" x14ac:dyDescent="0.3">
      <c r="A36" s="343" t="s">
        <v>48</v>
      </c>
      <c r="B36" s="343"/>
      <c r="C36" s="343"/>
      <c r="D36" s="343"/>
      <c r="E36" s="48">
        <f>E8</f>
        <v>181275.1586</v>
      </c>
      <c r="F36" s="137">
        <f t="shared" si="14"/>
        <v>1140284.8073100001</v>
      </c>
      <c r="G36" s="48">
        <f t="shared" ref="G36:H36" si="21">G8</f>
        <v>236926.81779999999</v>
      </c>
      <c r="H36" s="48">
        <f t="shared" si="21"/>
        <v>249704.64145</v>
      </c>
      <c r="I36" s="285">
        <f>I8</f>
        <v>219123.91645999998</v>
      </c>
      <c r="J36" s="285"/>
      <c r="K36" s="285"/>
      <c r="L36" s="285"/>
      <c r="M36" s="285"/>
      <c r="N36" s="48">
        <f t="shared" ref="N36:O36" si="22">N8</f>
        <v>217264.71580000001</v>
      </c>
      <c r="O36" s="48">
        <f t="shared" si="22"/>
        <v>217264.71580000001</v>
      </c>
      <c r="P36" s="12"/>
      <c r="Q36" s="32"/>
      <c r="R36" s="32"/>
      <c r="S36" s="32"/>
      <c r="U36" s="46">
        <f>I36</f>
        <v>219123.91645999998</v>
      </c>
      <c r="X36" s="46"/>
      <c r="Y36" s="46"/>
    </row>
    <row r="37" spans="1:25" ht="18" x14ac:dyDescent="0.3">
      <c r="A37" s="343" t="s">
        <v>87</v>
      </c>
      <c r="B37" s="343"/>
      <c r="C37" s="343"/>
      <c r="D37" s="343"/>
      <c r="E37" s="48"/>
      <c r="F37" s="137">
        <f t="shared" si="14"/>
        <v>960493.93030000012</v>
      </c>
      <c r="G37" s="48">
        <f t="shared" ref="G37:H37" si="23">G9</f>
        <v>170615.4915</v>
      </c>
      <c r="H37" s="48">
        <f t="shared" si="23"/>
        <v>197469.6097</v>
      </c>
      <c r="I37" s="285">
        <f>I9</f>
        <v>197469.6097</v>
      </c>
      <c r="J37" s="285"/>
      <c r="K37" s="285"/>
      <c r="L37" s="285"/>
      <c r="M37" s="285"/>
      <c r="N37" s="48">
        <f t="shared" ref="N37:O37" si="24">N9</f>
        <v>197469.6097</v>
      </c>
      <c r="O37" s="48">
        <f t="shared" si="24"/>
        <v>197469.6097</v>
      </c>
      <c r="P37" s="12"/>
      <c r="Q37" s="32"/>
      <c r="R37" s="32"/>
      <c r="S37" s="32"/>
      <c r="X37" s="46"/>
      <c r="Y37" s="46"/>
    </row>
    <row r="38" spans="1:25" ht="18" x14ac:dyDescent="0.35">
      <c r="A38" s="406" t="s">
        <v>88</v>
      </c>
      <c r="B38" s="406"/>
      <c r="C38" s="406"/>
      <c r="D38" s="406"/>
      <c r="E38" s="37" t="e">
        <f>#REF!+'Подпрограмма 1'!#REF!+'Подпрограмма 2'!#REF!</f>
        <v>#REF!</v>
      </c>
      <c r="F38" s="137">
        <f t="shared" si="14"/>
        <v>960493.93030000012</v>
      </c>
      <c r="G38" s="91">
        <f t="shared" ref="G38:H38" si="25">G10</f>
        <v>170615.4915</v>
      </c>
      <c r="H38" s="91">
        <f t="shared" si="25"/>
        <v>197469.6097</v>
      </c>
      <c r="I38" s="323">
        <f>I10</f>
        <v>197469.6097</v>
      </c>
      <c r="J38" s="323"/>
      <c r="K38" s="323"/>
      <c r="L38" s="323"/>
      <c r="M38" s="323"/>
      <c r="N38" s="91">
        <f t="shared" ref="N38:O38" si="26">N10</f>
        <v>197469.6097</v>
      </c>
      <c r="O38" s="91">
        <f t="shared" si="26"/>
        <v>197469.6097</v>
      </c>
      <c r="P38" s="6"/>
      <c r="Q38" s="104" t="e">
        <f>#REF!+'Подпрограмма 1'!#REF!+'Подпрограмма 2'!#REF!</f>
        <v>#REF!</v>
      </c>
      <c r="R38" s="9"/>
      <c r="S38" s="9"/>
      <c r="T38" s="4"/>
      <c r="U38" s="4"/>
      <c r="X38" s="46"/>
      <c r="Y38" s="46"/>
    </row>
    <row r="39" spans="1:25" s="9" customFormat="1" ht="36.75" customHeight="1" x14ac:dyDescent="0.3">
      <c r="A39" s="445" t="s">
        <v>17</v>
      </c>
      <c r="B39" s="445"/>
      <c r="C39" s="445"/>
      <c r="D39" s="445"/>
      <c r="E39" s="154" t="e">
        <f>E40+E41+E42+E45+E46</f>
        <v>#REF!</v>
      </c>
      <c r="F39" s="157">
        <f t="shared" si="14"/>
        <v>70559569.373999998</v>
      </c>
      <c r="G39" s="242">
        <f>G40+G41+G42+G44</f>
        <v>12803361.490590002</v>
      </c>
      <c r="H39" s="242">
        <f t="shared" ref="H39" si="27">H40+H41+H42+H44</f>
        <v>13263134.16708</v>
      </c>
      <c r="I39" s="292">
        <f>I40+I41+I42+I44</f>
        <v>15198230.738470001</v>
      </c>
      <c r="J39" s="292"/>
      <c r="K39" s="292"/>
      <c r="L39" s="292"/>
      <c r="M39" s="292"/>
      <c r="N39" s="242">
        <f t="shared" ref="N39:O39" si="28">N40+N41+N42+N44</f>
        <v>14704992.342680002</v>
      </c>
      <c r="O39" s="242">
        <f t="shared" si="28"/>
        <v>14589850.63518</v>
      </c>
      <c r="P39" s="155"/>
      <c r="Q39" s="20"/>
      <c r="T39" s="8"/>
      <c r="U39" s="8"/>
      <c r="V39" s="113">
        <v>64839775.624750003</v>
      </c>
      <c r="W39" s="45">
        <f t="shared" ref="W39:W46" si="29">F39-V39</f>
        <v>5719793.7492499948</v>
      </c>
      <c r="X39" s="45">
        <v>12803361.490590002</v>
      </c>
      <c r="Y39" s="45"/>
    </row>
    <row r="40" spans="1:25" s="9" customFormat="1" ht="17.399999999999999" x14ac:dyDescent="0.3">
      <c r="A40" s="446" t="s">
        <v>40</v>
      </c>
      <c r="B40" s="446"/>
      <c r="C40" s="446"/>
      <c r="D40" s="446"/>
      <c r="E40" s="103" t="e">
        <f>'Подпрограмма 1'!E406+'Подпрограмма 2'!E98</f>
        <v>#REF!</v>
      </c>
      <c r="F40" s="157">
        <f t="shared" si="14"/>
        <v>2261992.6770500001</v>
      </c>
      <c r="G40" s="241">
        <f>'Подпрограмма 1'!G406+'Подпрограмма 2'!G98+'Подпрограмма 3'!G34</f>
        <v>398561.31916999992</v>
      </c>
      <c r="H40" s="241">
        <f>'Подпрограмма 1'!H406+'Подпрограмма 2'!H98+'Подпрограмма 3'!H34</f>
        <v>463676.47893000004</v>
      </c>
      <c r="I40" s="457">
        <f>'Подпрограмма 1'!I406+'Подпрограмма 2'!I98+'Подпрограмма 3'!I34</f>
        <v>483501.89039999997</v>
      </c>
      <c r="J40" s="457"/>
      <c r="K40" s="457"/>
      <c r="L40" s="457"/>
      <c r="M40" s="457"/>
      <c r="N40" s="241">
        <f>'Подпрограмма 1'!N406+'Подпрограмма 2'!N98+'Подпрограмма 3'!N34</f>
        <v>463826.77772000001</v>
      </c>
      <c r="O40" s="241">
        <f>'Подпрограмма 1'!O406+'Подпрограмма 2'!O98+'Подпрограмма 3'!O34</f>
        <v>452426.21083</v>
      </c>
      <c r="P40" s="19"/>
      <c r="Q40" s="20" t="e">
        <f>#REF!</f>
        <v>#REF!</v>
      </c>
      <c r="T40" s="8"/>
      <c r="U40" s="8"/>
      <c r="V40" s="113">
        <v>1872051.01917</v>
      </c>
      <c r="W40" s="45">
        <f t="shared" si="29"/>
        <v>389941.65788000007</v>
      </c>
      <c r="X40" s="114">
        <v>398561.31916999992</v>
      </c>
      <c r="Y40" s="114">
        <f t="shared" ref="Y40:Y46" si="30">G40-X40</f>
        <v>0</v>
      </c>
    </row>
    <row r="41" spans="1:25" s="9" customFormat="1" ht="17.399999999999999" x14ac:dyDescent="0.3">
      <c r="A41" s="446" t="s">
        <v>1</v>
      </c>
      <c r="B41" s="446"/>
      <c r="C41" s="446"/>
      <c r="D41" s="446"/>
      <c r="E41" s="103" t="e">
        <f>#REF!+'Подпрограмма 1'!E407+'Подпрограмма 2'!E99+#REF!</f>
        <v>#REF!</v>
      </c>
      <c r="F41" s="157">
        <f t="shared" si="14"/>
        <v>40875923.874990001</v>
      </c>
      <c r="G41" s="241">
        <f>'Подпрограмма 1'!G407+'Подпрограмма 2'!G99+'Подпрограмма 3'!G35</f>
        <v>7623938.0609600022</v>
      </c>
      <c r="H41" s="241">
        <f>'Подпрограмма 1'!H407+'Подпрограмма 2'!H99+'Подпрограмма 3'!H35</f>
        <v>7799971.7568800012</v>
      </c>
      <c r="I41" s="457">
        <f>'Подпрограмма 1'!I407+'Подпрограмма 2'!I99+'Подпрограмма 3'!I35</f>
        <v>8527849.6859500017</v>
      </c>
      <c r="J41" s="457"/>
      <c r="K41" s="457"/>
      <c r="L41" s="457"/>
      <c r="M41" s="457"/>
      <c r="N41" s="241">
        <f>'Подпрограмма 1'!N407+'Подпрограмма 2'!N99+'Подпрограмма 3'!N35</f>
        <v>8508214.7220300008</v>
      </c>
      <c r="O41" s="241">
        <f>'Подпрограмма 1'!O407+'Подпрограмма 2'!O99+'Подпрограмма 3'!O35</f>
        <v>8415949.6491700001</v>
      </c>
      <c r="P41" s="19"/>
      <c r="Q41" s="21" t="e">
        <f>#REF!+'Подпрограмма 1'!#REF!+'Подпрограмма 2'!#REF!+#REF!</f>
        <v>#REF!</v>
      </c>
      <c r="T41" s="8"/>
      <c r="U41" s="8"/>
      <c r="V41" s="113">
        <v>39441712.982210003</v>
      </c>
      <c r="W41" s="45">
        <f t="shared" si="29"/>
        <v>1434210.8927799985</v>
      </c>
      <c r="X41" s="114">
        <v>7623938.0609600022</v>
      </c>
      <c r="Y41" s="114">
        <f t="shared" si="30"/>
        <v>0</v>
      </c>
    </row>
    <row r="42" spans="1:25" s="9" customFormat="1" ht="17.399999999999999" x14ac:dyDescent="0.3">
      <c r="A42" s="446" t="s">
        <v>48</v>
      </c>
      <c r="B42" s="446"/>
      <c r="C42" s="446"/>
      <c r="D42" s="446"/>
      <c r="E42" s="103" t="e">
        <f>#REF!+'Подпрограмма 1'!E408+'Подпрограмма 2'!E100+#REF!+'Подпрограмма 3'!E36</f>
        <v>#REF!</v>
      </c>
      <c r="F42" s="157">
        <f t="shared" si="14"/>
        <v>23320882.633040003</v>
      </c>
      <c r="G42" s="241">
        <f>'Подпрограмма 1'!G408+'Подпрограмма 2'!G100+'Подпрограмма 3'!G36</f>
        <v>4095859.6682799999</v>
      </c>
      <c r="H42" s="241">
        <f>'Подпрограмма 1'!H408+'Подпрограмма 2'!H100+'Подпрограмма 3'!H36</f>
        <v>4128790.1930699996</v>
      </c>
      <c r="I42" s="457">
        <f>'Подпрограмма 1'!I408+'Подпрограмма 2'!I100+'Подпрограмма 3'!I36</f>
        <v>5338521.8259399999</v>
      </c>
      <c r="J42" s="457"/>
      <c r="K42" s="457"/>
      <c r="L42" s="457"/>
      <c r="M42" s="457"/>
      <c r="N42" s="241">
        <f>'Подпрограмма 1'!N408+'Подпрограмма 2'!N100+'Подпрограмма 3'!N36</f>
        <v>4884593.5067500006</v>
      </c>
      <c r="O42" s="241">
        <f>'Подпрограмма 1'!O408+'Подпрограмма 2'!O100+'Подпрограмма 3'!O36</f>
        <v>4873117.4390000012</v>
      </c>
      <c r="P42" s="19"/>
      <c r="Q42" s="21" t="e">
        <f>#REF!+'Подпрограмма 1'!#REF!+'Подпрограмма 2'!#REF!+#REF!+#REF!</f>
        <v>#REF!</v>
      </c>
      <c r="T42" s="8"/>
      <c r="U42" s="8"/>
      <c r="V42" s="113">
        <v>19909798.706069998</v>
      </c>
      <c r="W42" s="45">
        <f t="shared" si="29"/>
        <v>3411083.926970005</v>
      </c>
      <c r="X42" s="114">
        <v>4095859.6682799999</v>
      </c>
      <c r="Y42" s="114">
        <f t="shared" si="30"/>
        <v>0</v>
      </c>
    </row>
    <row r="43" spans="1:25" s="9" customFormat="1" ht="18" x14ac:dyDescent="0.35">
      <c r="A43" s="406" t="s">
        <v>59</v>
      </c>
      <c r="B43" s="406"/>
      <c r="C43" s="406"/>
      <c r="D43" s="406"/>
      <c r="E43" s="243" t="e">
        <f>#REF!</f>
        <v>#REF!</v>
      </c>
      <c r="F43" s="158">
        <f t="shared" si="14"/>
        <v>2798298</v>
      </c>
      <c r="G43" s="240">
        <f>'Подпрограмма 1'!G409</f>
        <v>413035</v>
      </c>
      <c r="H43" s="240">
        <f>'Подпрограмма 1'!H409</f>
        <v>493052</v>
      </c>
      <c r="I43" s="323">
        <f>'Подпрограмма 1'!I409</f>
        <v>630737</v>
      </c>
      <c r="J43" s="323"/>
      <c r="K43" s="323"/>
      <c r="L43" s="323"/>
      <c r="M43" s="323"/>
      <c r="N43" s="240">
        <f>'Подпрограмма 1'!N409</f>
        <v>630737</v>
      </c>
      <c r="O43" s="240">
        <f>'Подпрограмма 1'!O409</f>
        <v>630737</v>
      </c>
      <c r="P43" s="6"/>
      <c r="V43" s="113">
        <v>2529243</v>
      </c>
      <c r="W43" s="45">
        <f t="shared" si="29"/>
        <v>269055</v>
      </c>
      <c r="X43" s="114">
        <v>413035</v>
      </c>
      <c r="Y43" s="114">
        <f t="shared" si="30"/>
        <v>0</v>
      </c>
    </row>
    <row r="44" spans="1:25" s="9" customFormat="1" ht="18" x14ac:dyDescent="0.35">
      <c r="A44" s="407" t="s">
        <v>87</v>
      </c>
      <c r="B44" s="407"/>
      <c r="C44" s="407"/>
      <c r="D44" s="407"/>
      <c r="E44" s="243"/>
      <c r="F44" s="157">
        <f t="shared" si="14"/>
        <v>4100770.1889200006</v>
      </c>
      <c r="G44" s="243">
        <f>G45+G46</f>
        <v>685002.44218000001</v>
      </c>
      <c r="H44" s="243">
        <f>H45+H46</f>
        <v>870695.73820000014</v>
      </c>
      <c r="I44" s="340">
        <f>I45+I46</f>
        <v>848357.3361800001</v>
      </c>
      <c r="J44" s="340"/>
      <c r="K44" s="340"/>
      <c r="L44" s="340"/>
      <c r="M44" s="340"/>
      <c r="N44" s="243">
        <f t="shared" ref="N44:O44" si="31">N45+N46</f>
        <v>848357.3361800001</v>
      </c>
      <c r="O44" s="243">
        <f t="shared" si="31"/>
        <v>848357.3361800001</v>
      </c>
      <c r="P44" s="6"/>
      <c r="V44" s="113">
        <v>3616212.9173000003</v>
      </c>
      <c r="W44" s="45">
        <f t="shared" si="29"/>
        <v>484557.27162000025</v>
      </c>
      <c r="X44" s="114">
        <v>685002.44218000001</v>
      </c>
      <c r="Y44" s="114">
        <f t="shared" si="30"/>
        <v>0</v>
      </c>
    </row>
    <row r="45" spans="1:25" s="9" customFormat="1" ht="18" x14ac:dyDescent="0.35">
      <c r="A45" s="406" t="s">
        <v>88</v>
      </c>
      <c r="B45" s="406"/>
      <c r="C45" s="406"/>
      <c r="D45" s="406"/>
      <c r="E45" s="105" t="e">
        <f>#REF!+'Подпрограмма 1'!E411+'Подпрограмма 2'!E102</f>
        <v>#REF!</v>
      </c>
      <c r="F45" s="158">
        <f t="shared" si="14"/>
        <v>3978891.0249199998</v>
      </c>
      <c r="G45" s="240">
        <f>'Подпрограмма 1'!G411+'Подпрограмма 2'!G102+'Подпрограмма 3'!G38</f>
        <v>661811.04018000001</v>
      </c>
      <c r="H45" s="240">
        <f>'Подпрограмма 1'!H411+'Подпрограмма 2'!H102+'Подпрограмма 3'!H38</f>
        <v>846169.42820000008</v>
      </c>
      <c r="I45" s="323">
        <f>'Подпрограмма 1'!I411+'Подпрограмма 2'!I102+'Подпрограмма 3'!I38</f>
        <v>823636.85218000005</v>
      </c>
      <c r="J45" s="323"/>
      <c r="K45" s="323"/>
      <c r="L45" s="323"/>
      <c r="M45" s="323"/>
      <c r="N45" s="240">
        <f>'Подпрограмма 1'!N411+'Подпрограмма 2'!N102+'Подпрограмма 3'!N38</f>
        <v>823636.85218000005</v>
      </c>
      <c r="O45" s="240">
        <f>'Подпрограмма 1'!O411+'Подпрограмма 2'!O102+'Подпрограмма 3'!O38</f>
        <v>823636.85218000005</v>
      </c>
      <c r="P45" s="6"/>
      <c r="Q45" s="104" t="e">
        <f>#REF!+'Подпрограмма 1'!F405+'Подпрограмма 2'!F97</f>
        <v>#REF!</v>
      </c>
      <c r="T45" s="8"/>
      <c r="U45" s="8"/>
      <c r="V45" s="113">
        <v>3494139.5792999999</v>
      </c>
      <c r="W45" s="45">
        <f t="shared" si="29"/>
        <v>484751.4456199999</v>
      </c>
      <c r="X45" s="114">
        <v>661811.04018000001</v>
      </c>
      <c r="Y45" s="114">
        <f t="shared" si="30"/>
        <v>0</v>
      </c>
    </row>
    <row r="46" spans="1:25" s="9" customFormat="1" ht="18" x14ac:dyDescent="0.35">
      <c r="A46" s="406" t="s">
        <v>89</v>
      </c>
      <c r="B46" s="406"/>
      <c r="C46" s="406"/>
      <c r="D46" s="406"/>
      <c r="E46" s="105" t="e">
        <f>#REF!+'Подпрограмма 1'!E412</f>
        <v>#REF!</v>
      </c>
      <c r="F46" s="158">
        <f t="shared" si="14"/>
        <v>121879.16399999999</v>
      </c>
      <c r="G46" s="240">
        <f>'Подпрограмма 1'!G412</f>
        <v>23191.402000000002</v>
      </c>
      <c r="H46" s="240">
        <f>'Подпрограмма 1'!H412</f>
        <v>24526.31</v>
      </c>
      <c r="I46" s="323">
        <f>'Подпрограмма 1'!I412</f>
        <v>24720.484</v>
      </c>
      <c r="J46" s="323"/>
      <c r="K46" s="323"/>
      <c r="L46" s="323"/>
      <c r="M46" s="323"/>
      <c r="N46" s="240">
        <f>'Подпрограмма 1'!N412</f>
        <v>24720.484</v>
      </c>
      <c r="O46" s="240">
        <f>'Подпрограмма 1'!O412</f>
        <v>24720.484</v>
      </c>
      <c r="P46" s="6"/>
      <c r="Q46" s="104" t="e">
        <f>#REF!+'Подпрограмма 1'!F406</f>
        <v>#REF!</v>
      </c>
      <c r="T46" s="8"/>
      <c r="U46" s="8"/>
      <c r="V46" s="113">
        <v>122073.33799999999</v>
      </c>
      <c r="W46" s="45">
        <f t="shared" si="29"/>
        <v>-194.17399999999907</v>
      </c>
      <c r="X46" s="114">
        <v>23191.402000000002</v>
      </c>
      <c r="Y46" s="114">
        <f t="shared" si="30"/>
        <v>0</v>
      </c>
    </row>
    <row r="47" spans="1:25" s="9" customFormat="1" ht="18" x14ac:dyDescent="0.35">
      <c r="A47" s="65"/>
      <c r="B47" s="65"/>
      <c r="C47" s="65"/>
      <c r="D47" s="65"/>
      <c r="E47" s="66"/>
      <c r="F47" s="166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104"/>
      <c r="T47" s="8"/>
      <c r="U47" s="8"/>
    </row>
    <row r="48" spans="1:25" s="9" customFormat="1" ht="17.399999999999999" x14ac:dyDescent="0.3">
      <c r="A48" s="20"/>
      <c r="B48" s="20"/>
      <c r="C48" s="20"/>
      <c r="D48" s="20"/>
      <c r="E48" s="20"/>
      <c r="F48" s="167"/>
      <c r="G48" s="21"/>
      <c r="H48" s="193"/>
      <c r="I48" s="458"/>
      <c r="J48" s="458"/>
      <c r="K48" s="458"/>
      <c r="L48" s="458"/>
      <c r="M48" s="21"/>
      <c r="N48" s="21"/>
      <c r="O48" s="21"/>
      <c r="P48" s="22" t="s">
        <v>115</v>
      </c>
      <c r="Q48" s="22"/>
      <c r="U48" s="45">
        <f>U36+'Подпрограмма 2'!Q100+'Подпрограмма 1'!Q408</f>
        <v>5338521.8259399999</v>
      </c>
    </row>
    <row r="49" spans="1:17" s="9" customFormat="1" ht="18" x14ac:dyDescent="0.3">
      <c r="A49" s="23"/>
      <c r="B49" s="43" t="s">
        <v>219</v>
      </c>
      <c r="C49" s="23"/>
      <c r="D49" s="23"/>
      <c r="E49" s="23"/>
      <c r="F49" s="23" t="s">
        <v>217</v>
      </c>
      <c r="G49" s="23" t="s">
        <v>220</v>
      </c>
      <c r="H49" s="27"/>
      <c r="I49" s="23"/>
      <c r="J49" s="23"/>
      <c r="K49" s="23"/>
      <c r="L49" s="23"/>
      <c r="M49" s="23"/>
      <c r="N49" s="26"/>
      <c r="O49" s="26"/>
      <c r="P49" s="26"/>
      <c r="Q49" s="23"/>
    </row>
    <row r="50" spans="1:17" s="9" customFormat="1" ht="18" x14ac:dyDescent="0.3">
      <c r="A50" s="23"/>
      <c r="B50" s="27"/>
      <c r="C50" s="27"/>
      <c r="D50" s="168"/>
      <c r="E50" s="27"/>
      <c r="F50" s="27"/>
      <c r="G50" s="169"/>
      <c r="H50" s="170"/>
      <c r="I50" s="458"/>
      <c r="J50" s="458"/>
      <c r="K50" s="458"/>
      <c r="L50" s="458"/>
      <c r="M50" s="27"/>
      <c r="N50" s="27"/>
      <c r="O50" s="27"/>
      <c r="P50" s="27"/>
      <c r="Q50" s="27"/>
    </row>
    <row r="51" spans="1:17" s="9" customFormat="1" ht="35.1" customHeight="1" x14ac:dyDescent="0.3">
      <c r="A51" s="20"/>
      <c r="B51" s="20"/>
      <c r="C51" s="168"/>
      <c r="D51" s="168"/>
      <c r="E51" s="168"/>
      <c r="F51" s="168"/>
      <c r="G51" s="43"/>
      <c r="H51" s="43"/>
      <c r="I51" s="458"/>
      <c r="J51" s="458"/>
      <c r="K51" s="458"/>
      <c r="L51" s="458"/>
      <c r="M51" s="23"/>
      <c r="N51" s="219"/>
      <c r="O51" s="219"/>
      <c r="P51" s="20"/>
      <c r="Q51" s="20"/>
    </row>
    <row r="52" spans="1:17" s="9" customFormat="1" ht="18" x14ac:dyDescent="0.3">
      <c r="A52" s="20"/>
      <c r="B52" s="23" t="s">
        <v>18</v>
      </c>
      <c r="C52" s="23"/>
      <c r="D52" s="23"/>
      <c r="E52" s="23"/>
      <c r="F52" s="23" t="s">
        <v>217</v>
      </c>
      <c r="G52" s="43" t="s">
        <v>39</v>
      </c>
      <c r="H52" s="43"/>
      <c r="I52" s="23"/>
      <c r="J52" s="23"/>
      <c r="K52" s="23"/>
      <c r="L52" s="23"/>
      <c r="M52" s="23"/>
      <c r="N52" s="43"/>
      <c r="O52" s="43"/>
      <c r="P52" s="20"/>
      <c r="Q52" s="20"/>
    </row>
    <row r="53" spans="1:17" ht="18" x14ac:dyDescent="0.3">
      <c r="A53" s="20"/>
      <c r="B53" s="28"/>
      <c r="C53" s="28"/>
      <c r="D53" s="28"/>
      <c r="E53" s="28"/>
      <c r="F53" s="159"/>
      <c r="G53" s="24"/>
      <c r="H53" s="24"/>
      <c r="I53" s="23"/>
      <c r="J53" s="23"/>
      <c r="K53" s="23"/>
      <c r="L53" s="23"/>
      <c r="M53" s="23"/>
      <c r="N53" s="43"/>
      <c r="O53" s="43"/>
      <c r="P53" s="20"/>
      <c r="Q53" s="20"/>
    </row>
    <row r="54" spans="1:17" ht="18" x14ac:dyDescent="0.3">
      <c r="A54" s="20"/>
      <c r="B54" s="28"/>
      <c r="C54" s="28"/>
      <c r="D54" s="28"/>
      <c r="E54" s="28"/>
      <c r="F54" s="160"/>
      <c r="G54" s="24"/>
      <c r="H54" s="24"/>
      <c r="I54" s="25"/>
      <c r="J54" s="23"/>
      <c r="K54" s="23"/>
      <c r="L54" s="23"/>
      <c r="M54" s="23"/>
      <c r="N54" s="43"/>
      <c r="O54" s="43"/>
      <c r="P54" s="20"/>
      <c r="Q54" s="20"/>
    </row>
    <row r="55" spans="1:17" ht="18" hidden="1" x14ac:dyDescent="0.35">
      <c r="B55" s="430" t="s">
        <v>19</v>
      </c>
      <c r="C55" s="431"/>
      <c r="D55" s="431"/>
      <c r="E55" s="56" t="e">
        <f>#REF!+'Подпрограмма 1'!E415+'Подпрограмма 2'!E106</f>
        <v>#REF!</v>
      </c>
      <c r="F55" s="57">
        <f t="shared" ref="F55:F67" si="32">SUM(I55:O55)</f>
        <v>0</v>
      </c>
      <c r="G55" s="56">
        <f>'Подпрограмма 1'!F414+'Подпрограмма 2'!F105</f>
        <v>0</v>
      </c>
      <c r="H55" s="56" t="e">
        <f>'Подпрограмма 1'!#REF!+'Подпрограмма 2'!#REF!</f>
        <v>#REF!</v>
      </c>
      <c r="I55" s="424">
        <f>'Подпрограмма 1'!I414+'Подпрограмма 2'!I105</f>
        <v>0</v>
      </c>
      <c r="J55" s="425"/>
      <c r="K55" s="425"/>
      <c r="L55" s="425"/>
      <c r="M55" s="426"/>
      <c r="N55" s="56">
        <f>'Подпрограмма 1'!N414+'Подпрограмма 2'!N105</f>
        <v>0</v>
      </c>
      <c r="O55" s="56">
        <f>'Подпрограмма 1'!O414+'Подпрограмма 2'!O105</f>
        <v>0</v>
      </c>
      <c r="P55" s="7"/>
    </row>
    <row r="56" spans="1:17" ht="18" hidden="1" x14ac:dyDescent="0.35">
      <c r="B56" s="430" t="s">
        <v>21</v>
      </c>
      <c r="C56" s="431"/>
      <c r="D56" s="431"/>
      <c r="E56" s="56" t="e">
        <f>#REF!+'Подпрограмма 1'!E414</f>
        <v>#REF!</v>
      </c>
      <c r="F56" s="57">
        <f t="shared" si="32"/>
        <v>426113.27789999999</v>
      </c>
      <c r="G56" s="56">
        <f>'Подпрограмма 1'!F415+'Подпрограмма 2'!F106</f>
        <v>426113.27789999999</v>
      </c>
      <c r="H56" s="56" t="e">
        <f>'Подпрограмма 1'!#REF!+'Подпрограмма 2'!#REF!</f>
        <v>#REF!</v>
      </c>
      <c r="I56" s="424">
        <f>'Подпрограмма 1'!I415+'Подпрограмма 2'!I106</f>
        <v>95328.797900000005</v>
      </c>
      <c r="J56" s="425"/>
      <c r="K56" s="425"/>
      <c r="L56" s="425"/>
      <c r="M56" s="426"/>
      <c r="N56" s="56">
        <f>'Подпрограмма 1'!N415+'Подпрограмма 2'!N106</f>
        <v>165392.24</v>
      </c>
      <c r="O56" s="56">
        <f>'Подпрограмма 1'!O415+'Подпрограмма 2'!O106</f>
        <v>165392.24</v>
      </c>
      <c r="P56" s="7"/>
    </row>
    <row r="57" spans="1:17" ht="18" hidden="1" x14ac:dyDescent="0.35">
      <c r="B57" s="432" t="s">
        <v>20</v>
      </c>
      <c r="C57" s="433"/>
      <c r="D57" s="433"/>
      <c r="E57" s="58" t="e">
        <f>SUM(E55:E56)</f>
        <v>#REF!</v>
      </c>
      <c r="F57" s="57">
        <f t="shared" si="32"/>
        <v>426113.27789999999</v>
      </c>
      <c r="G57" s="58">
        <f>SUM(G55:G56)</f>
        <v>426113.27789999999</v>
      </c>
      <c r="H57" s="58" t="e">
        <f>SUM(H55:H56)</f>
        <v>#REF!</v>
      </c>
      <c r="I57" s="427">
        <f>SUM(I55:I56)</f>
        <v>95328.797900000005</v>
      </c>
      <c r="J57" s="428"/>
      <c r="K57" s="428"/>
      <c r="L57" s="428"/>
      <c r="M57" s="429"/>
      <c r="N57" s="58">
        <f>SUM(N55:N56)</f>
        <v>165392.24</v>
      </c>
      <c r="O57" s="58">
        <f>SUM(O55:O56)</f>
        <v>165392.24</v>
      </c>
      <c r="P57" s="7"/>
    </row>
    <row r="58" spans="1:17" ht="18" hidden="1" x14ac:dyDescent="0.35">
      <c r="B58" s="430" t="s">
        <v>61</v>
      </c>
      <c r="C58" s="431"/>
      <c r="D58" s="431"/>
      <c r="E58" s="56" t="e">
        <f>#REF!+'Подпрограмма 1'!E417</f>
        <v>#REF!</v>
      </c>
      <c r="F58" s="57">
        <f t="shared" si="32"/>
        <v>0</v>
      </c>
      <c r="G58" s="56">
        <f>'Подпрограмма 1'!F417</f>
        <v>0</v>
      </c>
      <c r="H58" s="56" t="e">
        <f>'Подпрограмма 1'!#REF!</f>
        <v>#REF!</v>
      </c>
      <c r="I58" s="424">
        <f>'Подпрограмма 1'!I417</f>
        <v>0</v>
      </c>
      <c r="J58" s="425"/>
      <c r="K58" s="425"/>
      <c r="L58" s="425"/>
      <c r="M58" s="426"/>
      <c r="N58" s="56">
        <f>'Подпрограмма 1'!N417</f>
        <v>0</v>
      </c>
      <c r="O58" s="56">
        <f>'Подпрограмма 1'!O417</f>
        <v>0</v>
      </c>
      <c r="P58" s="7"/>
    </row>
    <row r="59" spans="1:17" ht="18" hidden="1" x14ac:dyDescent="0.35">
      <c r="B59" s="430" t="s">
        <v>62</v>
      </c>
      <c r="C59" s="431"/>
      <c r="D59" s="431"/>
      <c r="E59" s="56" t="e">
        <f>#REF!+'Подпрограмма 1'!E418</f>
        <v>#REF!</v>
      </c>
      <c r="F59" s="57">
        <f t="shared" si="32"/>
        <v>20700</v>
      </c>
      <c r="G59" s="56">
        <f>'Подпрограмма 1'!F418</f>
        <v>20700</v>
      </c>
      <c r="H59" s="56" t="e">
        <f>'Подпрограмма 1'!#REF!</f>
        <v>#REF!</v>
      </c>
      <c r="I59" s="424">
        <f>'Подпрограмма 1'!I418</f>
        <v>6900</v>
      </c>
      <c r="J59" s="425"/>
      <c r="K59" s="425"/>
      <c r="L59" s="425"/>
      <c r="M59" s="426"/>
      <c r="N59" s="56">
        <f>'Подпрограмма 1'!N418</f>
        <v>6900</v>
      </c>
      <c r="O59" s="56">
        <f>'Подпрограмма 1'!O418</f>
        <v>6900</v>
      </c>
      <c r="P59" s="7"/>
    </row>
    <row r="60" spans="1:17" ht="18" hidden="1" x14ac:dyDescent="0.35">
      <c r="B60" s="432" t="s">
        <v>63</v>
      </c>
      <c r="C60" s="433"/>
      <c r="D60" s="433"/>
      <c r="E60" s="58" t="e">
        <f>SUM(E58:E59)</f>
        <v>#REF!</v>
      </c>
      <c r="F60" s="57">
        <f t="shared" si="32"/>
        <v>20700</v>
      </c>
      <c r="G60" s="58">
        <f>SUM(G58:G59)</f>
        <v>20700</v>
      </c>
      <c r="H60" s="58" t="e">
        <f>SUM(H58:H59)</f>
        <v>#REF!</v>
      </c>
      <c r="I60" s="427">
        <f>SUM(I58:I59)</f>
        <v>6900</v>
      </c>
      <c r="J60" s="428"/>
      <c r="K60" s="428"/>
      <c r="L60" s="428"/>
      <c r="M60" s="429"/>
      <c r="N60" s="58">
        <f>SUM(N58:N59)</f>
        <v>6900</v>
      </c>
      <c r="O60" s="58">
        <f>SUM(O58:O59)</f>
        <v>6900</v>
      </c>
      <c r="P60" s="7"/>
    </row>
    <row r="61" spans="1:17" ht="18" hidden="1" x14ac:dyDescent="0.35">
      <c r="B61" s="430" t="s">
        <v>43</v>
      </c>
      <c r="C61" s="431"/>
      <c r="D61" s="431"/>
      <c r="E61" s="47" t="e">
        <f>E40</f>
        <v>#REF!</v>
      </c>
      <c r="F61" s="57">
        <f t="shared" si="32"/>
        <v>1399754.87895</v>
      </c>
      <c r="G61" s="47">
        <f t="shared" ref="G61:H61" si="33">G40</f>
        <v>398561.31916999992</v>
      </c>
      <c r="H61" s="47">
        <f t="shared" si="33"/>
        <v>463676.47893000004</v>
      </c>
      <c r="I61" s="424">
        <f>I40</f>
        <v>483501.89039999997</v>
      </c>
      <c r="J61" s="425"/>
      <c r="K61" s="425"/>
      <c r="L61" s="425"/>
      <c r="M61" s="426"/>
      <c r="N61" s="47">
        <f t="shared" ref="N61:O61" si="34">N40</f>
        <v>463826.77772000001</v>
      </c>
      <c r="O61" s="47">
        <f t="shared" si="34"/>
        <v>452426.21083</v>
      </c>
    </row>
    <row r="62" spans="1:17" ht="18" hidden="1" x14ac:dyDescent="0.35">
      <c r="B62" s="430" t="s">
        <v>64</v>
      </c>
      <c r="C62" s="431"/>
      <c r="D62" s="431"/>
      <c r="E62" s="56" t="e">
        <f>E42-E55-E58-#REF!</f>
        <v>#REF!</v>
      </c>
      <c r="F62" s="57">
        <f t="shared" si="32"/>
        <v>25431314.057150003</v>
      </c>
      <c r="G62" s="56">
        <f t="shared" ref="G62:H62" si="35">G41-G55-G59</f>
        <v>7603238.0609600022</v>
      </c>
      <c r="H62" s="56" t="e">
        <f t="shared" si="35"/>
        <v>#REF!</v>
      </c>
      <c r="I62" s="424">
        <f>I41-I55-I59</f>
        <v>8520949.6859500017</v>
      </c>
      <c r="J62" s="425"/>
      <c r="K62" s="425"/>
      <c r="L62" s="425"/>
      <c r="M62" s="426"/>
      <c r="N62" s="56">
        <f t="shared" ref="N62:O62" si="36">N41-N55-N59</f>
        <v>8501314.7220300008</v>
      </c>
      <c r="O62" s="56">
        <f t="shared" si="36"/>
        <v>8409049.6491700001</v>
      </c>
      <c r="P62" s="7"/>
    </row>
    <row r="63" spans="1:17" ht="18" hidden="1" x14ac:dyDescent="0.35">
      <c r="B63" s="430" t="s">
        <v>23</v>
      </c>
      <c r="C63" s="431"/>
      <c r="D63" s="431"/>
      <c r="E63" s="56" t="e">
        <f>E41-E56-E59-#REF!</f>
        <v>#REF!</v>
      </c>
      <c r="F63" s="57">
        <f t="shared" si="32"/>
        <v>14670119.493790001</v>
      </c>
      <c r="G63" s="56">
        <f t="shared" ref="G63:H63" si="37">G42-G56-G58</f>
        <v>3669746.3903799998</v>
      </c>
      <c r="H63" s="56" t="e">
        <f t="shared" si="37"/>
        <v>#REF!</v>
      </c>
      <c r="I63" s="424">
        <f>I42-I56-I58</f>
        <v>5243193.0280400002</v>
      </c>
      <c r="J63" s="425"/>
      <c r="K63" s="425"/>
      <c r="L63" s="425"/>
      <c r="M63" s="426"/>
      <c r="N63" s="56">
        <f t="shared" ref="N63:O63" si="38">N42-N56-N58</f>
        <v>4719201.2667500004</v>
      </c>
      <c r="O63" s="56">
        <f t="shared" si="38"/>
        <v>4707725.199000001</v>
      </c>
      <c r="P63" s="7"/>
    </row>
    <row r="64" spans="1:17" ht="18" hidden="1" x14ac:dyDescent="0.35">
      <c r="B64" s="430" t="s">
        <v>87</v>
      </c>
      <c r="C64" s="431"/>
      <c r="D64" s="434"/>
      <c r="E64" s="56"/>
      <c r="F64" s="57">
        <f t="shared" si="32"/>
        <v>2545072.0085400003</v>
      </c>
      <c r="G64" s="56">
        <f t="shared" ref="G64:H64" si="39">G65+G66</f>
        <v>685002.44218000001</v>
      </c>
      <c r="H64" s="56">
        <f t="shared" si="39"/>
        <v>870695.73820000014</v>
      </c>
      <c r="I64" s="424">
        <f>I65+I66</f>
        <v>848357.3361800001</v>
      </c>
      <c r="J64" s="425"/>
      <c r="K64" s="425"/>
      <c r="L64" s="425"/>
      <c r="M64" s="426"/>
      <c r="N64" s="56">
        <f t="shared" ref="N64:O64" si="40">N65+N66</f>
        <v>848357.3361800001</v>
      </c>
      <c r="O64" s="56">
        <f t="shared" si="40"/>
        <v>848357.3361800001</v>
      </c>
      <c r="P64" s="7"/>
    </row>
    <row r="65" spans="1:19" ht="18" hidden="1" x14ac:dyDescent="0.35">
      <c r="B65" s="453" t="s">
        <v>88</v>
      </c>
      <c r="C65" s="454"/>
      <c r="D65" s="454"/>
      <c r="E65" s="56" t="e">
        <f>E45-#REF!</f>
        <v>#REF!</v>
      </c>
      <c r="F65" s="57">
        <f t="shared" si="32"/>
        <v>2470910.5565400003</v>
      </c>
      <c r="G65" s="56">
        <f t="shared" ref="G65:H65" si="41">G45</f>
        <v>661811.04018000001</v>
      </c>
      <c r="H65" s="56">
        <f t="shared" si="41"/>
        <v>846169.42820000008</v>
      </c>
      <c r="I65" s="424">
        <f>I45</f>
        <v>823636.85218000005</v>
      </c>
      <c r="J65" s="425"/>
      <c r="K65" s="425"/>
      <c r="L65" s="425"/>
      <c r="M65" s="426"/>
      <c r="N65" s="56">
        <f t="shared" ref="N65:O65" si="42">N45</f>
        <v>823636.85218000005</v>
      </c>
      <c r="O65" s="56">
        <f t="shared" si="42"/>
        <v>823636.85218000005</v>
      </c>
      <c r="P65" s="7"/>
    </row>
    <row r="66" spans="1:19" ht="18" hidden="1" x14ac:dyDescent="0.35">
      <c r="B66" s="453" t="s">
        <v>89</v>
      </c>
      <c r="C66" s="454"/>
      <c r="D66" s="454"/>
      <c r="E66" s="56" t="e">
        <f>E46</f>
        <v>#REF!</v>
      </c>
      <c r="F66" s="57">
        <f t="shared" si="32"/>
        <v>74161.452000000005</v>
      </c>
      <c r="G66" s="56">
        <f t="shared" ref="G66:H66" si="43">G46</f>
        <v>23191.402000000002</v>
      </c>
      <c r="H66" s="56">
        <f t="shared" si="43"/>
        <v>24526.31</v>
      </c>
      <c r="I66" s="424">
        <f>I46</f>
        <v>24720.484</v>
      </c>
      <c r="J66" s="425"/>
      <c r="K66" s="425"/>
      <c r="L66" s="425"/>
      <c r="M66" s="426"/>
      <c r="N66" s="56">
        <f t="shared" ref="N66:O66" si="44">N46</f>
        <v>24720.484</v>
      </c>
      <c r="O66" s="56">
        <f t="shared" si="44"/>
        <v>24720.484</v>
      </c>
      <c r="P66" s="7"/>
    </row>
    <row r="67" spans="1:19" ht="18" hidden="1" x14ac:dyDescent="0.35">
      <c r="B67" s="432" t="s">
        <v>24</v>
      </c>
      <c r="C67" s="433"/>
      <c r="D67" s="433"/>
      <c r="E67" s="58" t="e">
        <f>SUM(E61:E66)</f>
        <v>#REF!</v>
      </c>
      <c r="F67" s="57">
        <f t="shared" si="32"/>
        <v>46591332.446970001</v>
      </c>
      <c r="G67" s="57">
        <f>SUM(G61:G66)</f>
        <v>13041550.654870003</v>
      </c>
      <c r="H67" s="57" t="e">
        <f>SUM(H61:H66)</f>
        <v>#REF!</v>
      </c>
      <c r="I67" s="460">
        <f>SUM(I61:I66)</f>
        <v>15944359.276750002</v>
      </c>
      <c r="J67" s="461"/>
      <c r="K67" s="461"/>
      <c r="L67" s="461"/>
      <c r="M67" s="462"/>
      <c r="N67" s="57">
        <f>SUM(N61:N66)</f>
        <v>15381057.438860001</v>
      </c>
      <c r="O67" s="57">
        <f>SUM(O61:O66)</f>
        <v>15265915.73136</v>
      </c>
      <c r="P67" s="7"/>
    </row>
    <row r="68" spans="1:19" ht="15" hidden="1" customHeight="1" x14ac:dyDescent="0.3">
      <c r="A68" s="15"/>
      <c r="B68" s="15"/>
      <c r="C68" s="16"/>
      <c r="D68" s="16"/>
      <c r="E68" s="16"/>
      <c r="F68" s="161"/>
      <c r="G68" s="42"/>
      <c r="H68" s="51"/>
      <c r="I68" s="17"/>
      <c r="J68" s="17"/>
      <c r="K68" s="17"/>
      <c r="L68" s="17"/>
      <c r="M68" s="17"/>
      <c r="N68" s="18"/>
      <c r="O68" s="18"/>
      <c r="P68" s="15"/>
      <c r="Q68" s="15"/>
      <c r="R68" s="15"/>
      <c r="S68" s="15"/>
    </row>
    <row r="69" spans="1:19" hidden="1" x14ac:dyDescent="0.3">
      <c r="E69" s="4"/>
      <c r="F69" s="150"/>
      <c r="G69" s="4"/>
      <c r="H69" s="4"/>
      <c r="I69" s="4"/>
      <c r="J69" s="4"/>
      <c r="K69" s="4"/>
      <c r="L69" s="4"/>
      <c r="M69" s="4"/>
      <c r="N69" s="4"/>
      <c r="O69" s="4"/>
    </row>
    <row r="70" spans="1:19" ht="15.6" hidden="1" x14ac:dyDescent="0.3">
      <c r="C70" s="7"/>
      <c r="D70" s="7"/>
      <c r="E70" s="7"/>
      <c r="F70" s="162">
        <f>F57+F60+F61+F62+F63</f>
        <v>41948001.707790002</v>
      </c>
      <c r="G70" s="109">
        <f t="shared" ref="G70:H70" si="45">G57+G60+G61+G62+G63</f>
        <v>12118359.048410002</v>
      </c>
      <c r="H70" s="109" t="e">
        <f t="shared" si="45"/>
        <v>#REF!</v>
      </c>
      <c r="I70" s="459">
        <f>I57+I60+I61+I62+I63</f>
        <v>14349873.402290002</v>
      </c>
      <c r="J70" s="459"/>
      <c r="K70" s="459"/>
      <c r="L70" s="459"/>
      <c r="M70" s="459"/>
      <c r="N70" s="109">
        <f t="shared" ref="N70:O70" si="46">N57+N60+N61+N62+N63</f>
        <v>13856635.006500002</v>
      </c>
      <c r="O70" s="109">
        <f t="shared" si="46"/>
        <v>13741493.299000001</v>
      </c>
    </row>
    <row r="71" spans="1:19" ht="21" hidden="1" x14ac:dyDescent="0.4">
      <c r="E71" s="4"/>
      <c r="H71" s="70"/>
      <c r="I71" s="459"/>
      <c r="J71" s="459"/>
      <c r="K71" s="459"/>
      <c r="L71" s="459"/>
      <c r="M71" s="459"/>
      <c r="N71" s="70"/>
      <c r="O71" s="70"/>
    </row>
    <row r="72" spans="1:19" ht="15.6" hidden="1" x14ac:dyDescent="0.3">
      <c r="E72" s="4"/>
      <c r="F72" s="163"/>
      <c r="G72" s="41"/>
      <c r="H72" s="41"/>
      <c r="I72" s="459"/>
      <c r="J72" s="459"/>
      <c r="K72" s="459"/>
      <c r="L72" s="459"/>
      <c r="M72" s="459"/>
      <c r="N72" s="11"/>
      <c r="O72" s="11"/>
    </row>
    <row r="73" spans="1:19" ht="15.6" hidden="1" x14ac:dyDescent="0.3">
      <c r="E73" s="4"/>
      <c r="F73" s="163"/>
      <c r="G73" s="41"/>
      <c r="H73" s="60"/>
      <c r="I73" s="459"/>
      <c r="J73" s="459"/>
      <c r="K73" s="459"/>
      <c r="L73" s="459"/>
      <c r="M73" s="459"/>
      <c r="N73" s="4"/>
      <c r="O73" s="4"/>
    </row>
    <row r="74" spans="1:19" ht="15.6" x14ac:dyDescent="0.3">
      <c r="E74" s="4"/>
      <c r="F74" s="163"/>
      <c r="G74" s="41"/>
      <c r="H74" s="41"/>
      <c r="I74" s="459"/>
      <c r="J74" s="459"/>
      <c r="K74" s="459"/>
      <c r="L74" s="459"/>
      <c r="M74" s="459"/>
      <c r="N74" s="11"/>
      <c r="O74" s="11"/>
    </row>
    <row r="75" spans="1:19" ht="15.6" x14ac:dyDescent="0.3">
      <c r="E75" s="11"/>
      <c r="F75" s="163"/>
      <c r="G75" s="41"/>
      <c r="H75" s="41"/>
      <c r="I75" s="459"/>
      <c r="J75" s="459"/>
      <c r="K75" s="459"/>
      <c r="L75" s="459"/>
      <c r="M75" s="459"/>
      <c r="N75" s="11"/>
      <c r="O75" s="11"/>
    </row>
    <row r="76" spans="1:19" ht="18" x14ac:dyDescent="0.35">
      <c r="F76" s="163"/>
      <c r="I76" s="59"/>
      <c r="J76" s="59"/>
      <c r="K76" s="59"/>
      <c r="L76" s="59"/>
      <c r="M76" s="59"/>
    </row>
    <row r="77" spans="1:19" x14ac:dyDescent="0.3">
      <c r="E77" s="11"/>
      <c r="F77" s="163"/>
      <c r="G77" s="41"/>
      <c r="H77" s="41"/>
      <c r="I77" s="11"/>
      <c r="J77" s="11"/>
      <c r="K77" s="11"/>
      <c r="L77" s="11"/>
      <c r="M77" s="11"/>
      <c r="N77" s="41"/>
      <c r="O77" s="11"/>
    </row>
    <row r="78" spans="1:19" ht="18" x14ac:dyDescent="0.35">
      <c r="E78" s="11"/>
      <c r="F78" s="163"/>
      <c r="G78" s="41"/>
      <c r="H78" s="41"/>
      <c r="I78" s="59"/>
      <c r="J78" s="59"/>
      <c r="K78" s="59"/>
      <c r="L78" s="59"/>
      <c r="M78" s="59"/>
      <c r="N78" s="11"/>
      <c r="O78" s="11"/>
    </row>
    <row r="79" spans="1:19" ht="18" x14ac:dyDescent="0.35">
      <c r="F79" s="163"/>
      <c r="G79" s="41"/>
      <c r="I79" s="59"/>
      <c r="J79" s="59"/>
      <c r="K79" s="59"/>
      <c r="L79" s="59"/>
      <c r="M79" s="59"/>
    </row>
    <row r="80" spans="1:19" ht="18" x14ac:dyDescent="0.35">
      <c r="I80" s="61"/>
      <c r="J80" s="61"/>
      <c r="K80" s="61"/>
      <c r="L80" s="61"/>
      <c r="M80" s="61"/>
    </row>
    <row r="81" spans="6:15" x14ac:dyDescent="0.3">
      <c r="F81" s="163"/>
      <c r="G81" s="41"/>
      <c r="H81" s="41"/>
      <c r="I81" s="11"/>
      <c r="J81" s="11"/>
      <c r="K81" s="11"/>
      <c r="L81" s="11"/>
      <c r="M81" s="11"/>
      <c r="N81" s="11"/>
      <c r="O81" s="11"/>
    </row>
    <row r="82" spans="6:15" x14ac:dyDescent="0.3">
      <c r="F82" s="163"/>
      <c r="G82" s="41"/>
      <c r="H82" s="41"/>
      <c r="I82" s="11"/>
      <c r="J82" s="11"/>
      <c r="K82" s="11"/>
      <c r="L82" s="11"/>
      <c r="M82" s="11"/>
      <c r="N82" s="11"/>
      <c r="O82" s="11"/>
    </row>
    <row r="83" spans="6:15" x14ac:dyDescent="0.3">
      <c r="F83" s="150"/>
      <c r="G83" s="39"/>
      <c r="H83" s="39"/>
      <c r="I83" s="4"/>
      <c r="J83" s="4"/>
      <c r="K83" s="4"/>
      <c r="L83" s="4"/>
      <c r="M83" s="4"/>
      <c r="N83" s="4"/>
      <c r="O83" s="4"/>
    </row>
  </sheetData>
  <mergeCells count="130">
    <mergeCell ref="I71:M71"/>
    <mergeCell ref="I72:M72"/>
    <mergeCell ref="I73:M73"/>
    <mergeCell ref="I74:M74"/>
    <mergeCell ref="I75:M75"/>
    <mergeCell ref="I38:M38"/>
    <mergeCell ref="I37:M37"/>
    <mergeCell ref="I36:M36"/>
    <mergeCell ref="I58:M58"/>
    <mergeCell ref="I57:M57"/>
    <mergeCell ref="I56:M56"/>
    <mergeCell ref="I55:M55"/>
    <mergeCell ref="I63:M63"/>
    <mergeCell ref="I62:M62"/>
    <mergeCell ref="I61:M61"/>
    <mergeCell ref="I60:M60"/>
    <mergeCell ref="I59:M59"/>
    <mergeCell ref="I70:M70"/>
    <mergeCell ref="I67:M67"/>
    <mergeCell ref="I66:M66"/>
    <mergeCell ref="I65:M65"/>
    <mergeCell ref="I64:M64"/>
    <mergeCell ref="I50:L50"/>
    <mergeCell ref="I51:L51"/>
    <mergeCell ref="I41:M41"/>
    <mergeCell ref="I40:M40"/>
    <mergeCell ref="I39:M39"/>
    <mergeCell ref="I46:M46"/>
    <mergeCell ref="I45:M45"/>
    <mergeCell ref="I44:M44"/>
    <mergeCell ref="I43:M43"/>
    <mergeCell ref="I42:M42"/>
    <mergeCell ref="I48:L48"/>
    <mergeCell ref="A37:D37"/>
    <mergeCell ref="P30:P32"/>
    <mergeCell ref="F23:F24"/>
    <mergeCell ref="I23:I24"/>
    <mergeCell ref="J23:M23"/>
    <mergeCell ref="P23:P25"/>
    <mergeCell ref="A18:A25"/>
    <mergeCell ref="I21:M21"/>
    <mergeCell ref="I20:M20"/>
    <mergeCell ref="I19:M19"/>
    <mergeCell ref="I18:M18"/>
    <mergeCell ref="A26:A32"/>
    <mergeCell ref="C18:C22"/>
    <mergeCell ref="P26:P29"/>
    <mergeCell ref="B26:B29"/>
    <mergeCell ref="C26:C29"/>
    <mergeCell ref="I28:M28"/>
    <mergeCell ref="I27:M27"/>
    <mergeCell ref="A36:D36"/>
    <mergeCell ref="I35:M35"/>
    <mergeCell ref="A35:D35"/>
    <mergeCell ref="C23:C25"/>
    <mergeCell ref="D23:D25"/>
    <mergeCell ref="B30:B32"/>
    <mergeCell ref="I22:M22"/>
    <mergeCell ref="F15:F16"/>
    <mergeCell ref="F30:F31"/>
    <mergeCell ref="I30:I31"/>
    <mergeCell ref="J30:M30"/>
    <mergeCell ref="B15:B17"/>
    <mergeCell ref="C15:C17"/>
    <mergeCell ref="D15:D17"/>
    <mergeCell ref="B23:B25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P5:P10"/>
    <mergeCell ref="C30:C32"/>
    <mergeCell ref="D30:D32"/>
    <mergeCell ref="I15:I16"/>
    <mergeCell ref="J15:M15"/>
    <mergeCell ref="I34:M34"/>
    <mergeCell ref="A34:D34"/>
    <mergeCell ref="B65:D65"/>
    <mergeCell ref="B66:D66"/>
    <mergeCell ref="P15:P17"/>
    <mergeCell ref="A11:A17"/>
    <mergeCell ref="A33:D33"/>
    <mergeCell ref="B11:B14"/>
    <mergeCell ref="C11:C14"/>
    <mergeCell ref="P18:P22"/>
    <mergeCell ref="I26:M26"/>
    <mergeCell ref="P11:P14"/>
    <mergeCell ref="I33:M33"/>
    <mergeCell ref="I29:M29"/>
    <mergeCell ref="B18:B22"/>
    <mergeCell ref="I14:M14"/>
    <mergeCell ref="I13:M13"/>
    <mergeCell ref="I12:M12"/>
    <mergeCell ref="I11:M11"/>
    <mergeCell ref="G1:O1"/>
    <mergeCell ref="A39:D39"/>
    <mergeCell ref="A44:D44"/>
    <mergeCell ref="A40:D40"/>
    <mergeCell ref="A41:D41"/>
    <mergeCell ref="I2:M2"/>
    <mergeCell ref="I3:M3"/>
    <mergeCell ref="I10:M10"/>
    <mergeCell ref="I9:M9"/>
    <mergeCell ref="I8:M8"/>
    <mergeCell ref="I7:M7"/>
    <mergeCell ref="I6:M6"/>
    <mergeCell ref="I5:M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</mergeCells>
  <pageMargins left="0.19685039370078741" right="0.19685039370078741" top="0.59055118110236227" bottom="0.19685039370078741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Windows User</cp:lastModifiedBy>
  <cp:lastPrinted>2025-06-20T19:06:46Z</cp:lastPrinted>
  <dcterms:created xsi:type="dcterms:W3CDTF">2020-11-02T07:16:17Z</dcterms:created>
  <dcterms:modified xsi:type="dcterms:W3CDTF">2025-06-20T19:39:44Z</dcterms:modified>
</cp:coreProperties>
</file>