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92.168.10.4\общая\ГУБЕРНСКАЯ\ПРОГРАММА ОБРАЗОВАНИЕ 2023-2027\2025\10. Программа № от - уточнение\"/>
    </mc:Choice>
  </mc:AlternateContent>
  <bookViews>
    <workbookView xWindow="0" yWindow="0" windowWidth="28800" windowHeight="12435" tabRatio="733" activeTab="2"/>
  </bookViews>
  <sheets>
    <sheet name="Подпрограмма 1" sheetId="2" r:id="rId1"/>
    <sheet name="Подпрограмма 2" sheetId="3" r:id="rId2"/>
    <sheet name="Подпрограмма 3" sheetId="9" r:id="rId3"/>
  </sheets>
  <externalReferences>
    <externalReference r:id="rId4"/>
  </externalReferences>
  <definedNames>
    <definedName name="_xlnm._FilterDatabase" localSheetId="0" hidden="1">'Подпрограмма 1'!$A$13:$U$415</definedName>
    <definedName name="_xlnm._FilterDatabase" localSheetId="1" hidden="1">'Подпрограмма 2'!$A$6:$AA$102</definedName>
    <definedName name="_xlnm.Print_Titles" localSheetId="0">'Подпрограмма 1'!$11:$14</definedName>
    <definedName name="_xlnm.Print_Titles" localSheetId="1">'Подпрограмма 2'!$1:$4</definedName>
    <definedName name="_xlnm.Print_Titles" localSheetId="2">'Подпрограмма 3'!$1:$3</definedName>
    <definedName name="_xlnm.Print_Area" localSheetId="0">'Подпрограмма 1'!$A$1:$P$415</definedName>
    <definedName name="_xlnm.Print_Area" localSheetId="1">'Подпрограмма 2'!$A$1:$P$102</definedName>
    <definedName name="_xlnm.Print_Area" localSheetId="2">'Подпрограмма 3'!$A$1:$P$52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9" l="1"/>
  <c r="I108" i="2" l="1"/>
  <c r="I98" i="2" l="1"/>
  <c r="I46" i="2"/>
  <c r="I68" i="3" l="1"/>
  <c r="I128" i="2"/>
  <c r="I82" i="2" l="1"/>
  <c r="F204" i="2" l="1"/>
  <c r="I99" i="2" l="1"/>
  <c r="I83" i="2"/>
  <c r="I34" i="3" l="1"/>
  <c r="I26" i="3"/>
  <c r="I401" i="2" l="1"/>
  <c r="I388" i="2"/>
  <c r="I387" i="2"/>
  <c r="I192" i="2"/>
  <c r="I193" i="2"/>
  <c r="I91" i="2"/>
  <c r="I142" i="2" l="1"/>
  <c r="I143" i="2"/>
  <c r="I175" i="2" l="1"/>
  <c r="N175" i="2"/>
  <c r="O175" i="2"/>
  <c r="I176" i="2"/>
  <c r="N176" i="2"/>
  <c r="S154" i="2"/>
  <c r="F151" i="2"/>
  <c r="F150" i="2"/>
  <c r="F149" i="2"/>
  <c r="F148" i="2"/>
  <c r="F57" i="3" l="1"/>
  <c r="F400" i="2" l="1"/>
  <c r="F183" i="2" l="1"/>
  <c r="O98" i="2" l="1"/>
  <c r="O388" i="2"/>
  <c r="O387" i="2"/>
  <c r="N388" i="2"/>
  <c r="N387" i="2"/>
  <c r="O174" i="2"/>
  <c r="N174" i="2"/>
  <c r="I174" i="2"/>
  <c r="I377" i="2"/>
  <c r="I376" i="2"/>
  <c r="H17" i="2"/>
  <c r="G19" i="2"/>
  <c r="G261" i="2"/>
  <c r="I23" i="3" l="1"/>
  <c r="N23" i="3"/>
  <c r="O23" i="3"/>
  <c r="N63" i="3" l="1"/>
  <c r="O63" i="3"/>
  <c r="N64" i="3"/>
  <c r="O64" i="3"/>
  <c r="N65" i="3"/>
  <c r="O65" i="3"/>
  <c r="O62" i="3"/>
  <c r="N62" i="3"/>
  <c r="I63" i="3"/>
  <c r="I64" i="3"/>
  <c r="I65" i="3"/>
  <c r="I62" i="3"/>
  <c r="G63" i="3"/>
  <c r="H63" i="3"/>
  <c r="G64" i="3"/>
  <c r="H64" i="3"/>
  <c r="G65" i="3"/>
  <c r="H65" i="3"/>
  <c r="H62" i="3"/>
  <c r="G62" i="3"/>
  <c r="N20" i="3"/>
  <c r="O20" i="3"/>
  <c r="O19" i="3"/>
  <c r="N19" i="3"/>
  <c r="I20" i="3"/>
  <c r="I21" i="3"/>
  <c r="I19" i="3"/>
  <c r="G20" i="3"/>
  <c r="H20" i="3"/>
  <c r="G21" i="3"/>
  <c r="H21" i="3"/>
  <c r="H19" i="3"/>
  <c r="G19" i="3"/>
  <c r="O260" i="2"/>
  <c r="O261" i="2"/>
  <c r="N262" i="2"/>
  <c r="O262" i="2"/>
  <c r="O259" i="2"/>
  <c r="N259" i="2"/>
  <c r="I262" i="2"/>
  <c r="I259" i="2"/>
  <c r="G262" i="2"/>
  <c r="H262" i="2"/>
  <c r="G260" i="2"/>
  <c r="H260" i="2"/>
  <c r="H261" i="2"/>
  <c r="H259" i="2"/>
  <c r="G259" i="2"/>
  <c r="G249" i="2"/>
  <c r="H249" i="2"/>
  <c r="H248" i="2"/>
  <c r="G248" i="2"/>
  <c r="O20" i="2" l="1"/>
  <c r="N20" i="2"/>
  <c r="O18" i="2"/>
  <c r="N18" i="2"/>
  <c r="O17" i="2"/>
  <c r="N17" i="2"/>
  <c r="I17" i="2"/>
  <c r="H20" i="2"/>
  <c r="G18" i="2"/>
  <c r="H18" i="2"/>
  <c r="H19" i="2"/>
  <c r="G17" i="2"/>
  <c r="F17" i="2" s="1"/>
  <c r="G157" i="2"/>
  <c r="I84" i="2"/>
  <c r="H84" i="2"/>
  <c r="H21" i="2" s="1"/>
  <c r="H23" i="3"/>
  <c r="G23" i="3"/>
  <c r="F45" i="3"/>
  <c r="N384" i="2" l="1"/>
  <c r="O384" i="2"/>
  <c r="N385" i="2"/>
  <c r="O385" i="2"/>
  <c r="N386" i="2"/>
  <c r="O386" i="2"/>
  <c r="O383" i="2"/>
  <c r="N383" i="2"/>
  <c r="F32" i="9"/>
  <c r="I383" i="2"/>
  <c r="F76" i="2"/>
  <c r="F75" i="2"/>
  <c r="F74" i="2"/>
  <c r="F73" i="2"/>
  <c r="F407" i="2" l="1"/>
  <c r="F381" i="2"/>
  <c r="N360" i="2" l="1"/>
  <c r="O360" i="2"/>
  <c r="N361" i="2"/>
  <c r="O361" i="2"/>
  <c r="N362" i="2"/>
  <c r="O362" i="2"/>
  <c r="O359" i="2"/>
  <c r="N359" i="2"/>
  <c r="I360" i="2"/>
  <c r="I361" i="2"/>
  <c r="I362" i="2"/>
  <c r="I359" i="2"/>
  <c r="G360" i="2"/>
  <c r="H360" i="2"/>
  <c r="G361" i="2"/>
  <c r="H361" i="2"/>
  <c r="G362" i="2"/>
  <c r="H362" i="2"/>
  <c r="H359" i="2"/>
  <c r="G359" i="2"/>
  <c r="N334" i="2"/>
  <c r="O334" i="2"/>
  <c r="N335" i="2"/>
  <c r="O335" i="2"/>
  <c r="N336" i="2"/>
  <c r="O336" i="2"/>
  <c r="O333" i="2"/>
  <c r="N333" i="2"/>
  <c r="I334" i="2"/>
  <c r="I335" i="2"/>
  <c r="I336" i="2"/>
  <c r="I333" i="2"/>
  <c r="G335" i="2"/>
  <c r="H335" i="2"/>
  <c r="G336" i="2"/>
  <c r="H336" i="2"/>
  <c r="H333" i="2"/>
  <c r="H334" i="2"/>
  <c r="G334" i="2"/>
  <c r="G333" i="2"/>
  <c r="I156" i="2" l="1"/>
  <c r="I157" i="2"/>
  <c r="I159" i="2"/>
  <c r="I158" i="2"/>
  <c r="R409" i="2" s="1"/>
  <c r="F147" i="2"/>
  <c r="S155" i="2" l="1"/>
  <c r="S147" i="2"/>
  <c r="N22" i="9" l="1"/>
  <c r="H21" i="9"/>
  <c r="H59" i="9"/>
  <c r="H58" i="9"/>
  <c r="H60" i="9" s="1"/>
  <c r="H56" i="9"/>
  <c r="H55" i="9"/>
  <c r="H57" i="9" s="1"/>
  <c r="H10" i="9"/>
  <c r="H38" i="9" s="1"/>
  <c r="H9" i="9"/>
  <c r="H8" i="9"/>
  <c r="H36" i="9" s="1"/>
  <c r="H7" i="9"/>
  <c r="H35" i="9" s="1"/>
  <c r="H6" i="9"/>
  <c r="H34" i="9" s="1"/>
  <c r="F84" i="3"/>
  <c r="F17" i="3"/>
  <c r="H27" i="3"/>
  <c r="H22" i="3" s="1"/>
  <c r="H107" i="3"/>
  <c r="H90" i="3"/>
  <c r="H89" i="3"/>
  <c r="H88" i="3"/>
  <c r="H87" i="3"/>
  <c r="H86" i="3"/>
  <c r="H77" i="3"/>
  <c r="H76" i="3"/>
  <c r="H75" i="3"/>
  <c r="H74" i="3"/>
  <c r="H49" i="3"/>
  <c r="H48" i="3"/>
  <c r="H50" i="3"/>
  <c r="H47" i="3"/>
  <c r="H102" i="3"/>
  <c r="H112" i="3" s="1"/>
  <c r="H111" i="3" s="1"/>
  <c r="H10" i="3"/>
  <c r="H101" i="3" s="1"/>
  <c r="H9" i="3"/>
  <c r="H8" i="3"/>
  <c r="H7" i="3"/>
  <c r="H98" i="3" s="1"/>
  <c r="F399" i="2"/>
  <c r="F398" i="2"/>
  <c r="F397" i="2"/>
  <c r="F396" i="2"/>
  <c r="F395" i="2"/>
  <c r="F394" i="2"/>
  <c r="F393" i="2"/>
  <c r="I372" i="2"/>
  <c r="I373" i="2"/>
  <c r="R410" i="2" s="1"/>
  <c r="I374" i="2"/>
  <c r="I371" i="2"/>
  <c r="O374" i="2"/>
  <c r="N374" i="2"/>
  <c r="O373" i="2"/>
  <c r="N373" i="2"/>
  <c r="O372" i="2"/>
  <c r="N372" i="2"/>
  <c r="O371" i="2"/>
  <c r="N371" i="2"/>
  <c r="G372" i="2"/>
  <c r="H372" i="2"/>
  <c r="G373" i="2"/>
  <c r="H373" i="2"/>
  <c r="G374" i="2"/>
  <c r="H374" i="2"/>
  <c r="H371" i="2"/>
  <c r="G371" i="2"/>
  <c r="F380" i="2"/>
  <c r="F379" i="2"/>
  <c r="F378" i="2"/>
  <c r="F377" i="2"/>
  <c r="F376" i="2"/>
  <c r="F375" i="2"/>
  <c r="E372" i="2"/>
  <c r="E371" i="2"/>
  <c r="F357" i="2"/>
  <c r="F350" i="2"/>
  <c r="F343" i="2"/>
  <c r="F319" i="2"/>
  <c r="F406" i="2"/>
  <c r="F405" i="2"/>
  <c r="F404" i="2"/>
  <c r="F403" i="2"/>
  <c r="F402" i="2"/>
  <c r="F401" i="2"/>
  <c r="F392" i="2"/>
  <c r="F391" i="2"/>
  <c r="F390" i="2"/>
  <c r="F389" i="2"/>
  <c r="F388" i="2"/>
  <c r="F387" i="2"/>
  <c r="F366" i="2"/>
  <c r="F363" i="2"/>
  <c r="F354" i="2"/>
  <c r="F353" i="2"/>
  <c r="F352" i="2"/>
  <c r="F351" i="2"/>
  <c r="F347" i="2"/>
  <c r="F346" i="2"/>
  <c r="F345" i="2"/>
  <c r="F344" i="2"/>
  <c r="F339" i="2"/>
  <c r="F338" i="2"/>
  <c r="F337" i="2"/>
  <c r="F328" i="2"/>
  <c r="F327" i="2"/>
  <c r="F326" i="2"/>
  <c r="F325" i="2"/>
  <c r="F316" i="2"/>
  <c r="F315" i="2"/>
  <c r="F314" i="2"/>
  <c r="F313" i="2"/>
  <c r="F266" i="2"/>
  <c r="F263" i="2"/>
  <c r="F254" i="2"/>
  <c r="F251" i="2"/>
  <c r="F242" i="2"/>
  <c r="F241" i="2"/>
  <c r="F240" i="2"/>
  <c r="F239" i="2"/>
  <c r="F230" i="2"/>
  <c r="F229" i="2"/>
  <c r="F228" i="2"/>
  <c r="F227" i="2"/>
  <c r="F223" i="2"/>
  <c r="F222" i="2"/>
  <c r="F221" i="2"/>
  <c r="F220" i="2"/>
  <c r="F211" i="2"/>
  <c r="F210" i="2"/>
  <c r="F209" i="2"/>
  <c r="F208" i="2"/>
  <c r="F201" i="2"/>
  <c r="F200" i="2"/>
  <c r="F199" i="2"/>
  <c r="F198" i="2"/>
  <c r="F194" i="2"/>
  <c r="F193" i="2"/>
  <c r="F192" i="2"/>
  <c r="F191" i="2"/>
  <c r="F187" i="2"/>
  <c r="F186" i="2"/>
  <c r="F184" i="2"/>
  <c r="F175" i="2"/>
  <c r="F176" i="2"/>
  <c r="F177" i="2"/>
  <c r="F174" i="2"/>
  <c r="F168" i="2"/>
  <c r="F169" i="2"/>
  <c r="F170" i="2"/>
  <c r="F160" i="2"/>
  <c r="F162" i="2"/>
  <c r="F163" i="2"/>
  <c r="F144" i="2"/>
  <c r="F143" i="2"/>
  <c r="F142" i="2"/>
  <c r="F141" i="2"/>
  <c r="F137" i="2"/>
  <c r="F136" i="2"/>
  <c r="F135" i="2"/>
  <c r="F134" i="2"/>
  <c r="F130" i="2"/>
  <c r="F129" i="2"/>
  <c r="F128" i="2"/>
  <c r="F127" i="2"/>
  <c r="F123" i="2"/>
  <c r="F122" i="2"/>
  <c r="F121" i="2"/>
  <c r="F120" i="2"/>
  <c r="F112" i="2"/>
  <c r="F116" i="2"/>
  <c r="F114" i="2"/>
  <c r="F113" i="2"/>
  <c r="F109" i="2"/>
  <c r="F108" i="2"/>
  <c r="F107" i="2"/>
  <c r="F106" i="2"/>
  <c r="F102" i="2"/>
  <c r="F101" i="2"/>
  <c r="F99" i="2"/>
  <c r="F98" i="2"/>
  <c r="F96" i="2"/>
  <c r="F92" i="2"/>
  <c r="F90" i="2"/>
  <c r="F89" i="2"/>
  <c r="F85" i="2"/>
  <c r="F83" i="2"/>
  <c r="F81" i="2"/>
  <c r="F80" i="2"/>
  <c r="F69" i="2"/>
  <c r="F68" i="2"/>
  <c r="F67" i="2"/>
  <c r="F66" i="2"/>
  <c r="F62" i="2"/>
  <c r="F61" i="2"/>
  <c r="F60" i="2"/>
  <c r="F59" i="2"/>
  <c r="F55" i="2"/>
  <c r="F54" i="2"/>
  <c r="F53" i="2"/>
  <c r="F52" i="2"/>
  <c r="F48" i="2"/>
  <c r="F47" i="2"/>
  <c r="F46" i="2"/>
  <c r="F45" i="2"/>
  <c r="F44" i="2"/>
  <c r="F40" i="2"/>
  <c r="F41" i="2"/>
  <c r="F38" i="2"/>
  <c r="F39" i="2"/>
  <c r="F34" i="2"/>
  <c r="F33" i="2"/>
  <c r="F32" i="2"/>
  <c r="F31" i="2"/>
  <c r="F27" i="2"/>
  <c r="F25" i="2"/>
  <c r="F24" i="2"/>
  <c r="F307" i="2"/>
  <c r="F301" i="2"/>
  <c r="F273" i="2"/>
  <c r="F280" i="2"/>
  <c r="F287" i="2"/>
  <c r="F297" i="2"/>
  <c r="F295" i="2"/>
  <c r="F294" i="2"/>
  <c r="F296" i="2"/>
  <c r="F300" i="2"/>
  <c r="F293" i="2"/>
  <c r="F286" i="2"/>
  <c r="F279" i="2"/>
  <c r="F272" i="2"/>
  <c r="F269" i="2"/>
  <c r="F173" i="2"/>
  <c r="H99" i="3" l="1"/>
  <c r="H109" i="3" s="1"/>
  <c r="H6" i="3"/>
  <c r="H100" i="3"/>
  <c r="H110" i="3" s="1"/>
  <c r="H85" i="3"/>
  <c r="H108" i="3"/>
  <c r="H46" i="3"/>
  <c r="F374" i="2"/>
  <c r="H5" i="9"/>
  <c r="H37" i="9"/>
  <c r="H33" i="9" s="1"/>
  <c r="H18" i="3"/>
  <c r="H73" i="3"/>
  <c r="H61" i="3"/>
  <c r="F372" i="2"/>
  <c r="F371" i="2"/>
  <c r="I370" i="2"/>
  <c r="N370" i="2"/>
  <c r="H370" i="2"/>
  <c r="G370" i="2"/>
  <c r="O370" i="2"/>
  <c r="F373" i="2"/>
  <c r="I20" i="2"/>
  <c r="F30" i="2"/>
  <c r="H97" i="3" l="1"/>
  <c r="H113" i="3"/>
  <c r="F370" i="2"/>
  <c r="O100" i="2" l="1"/>
  <c r="N100" i="2"/>
  <c r="I100" i="2"/>
  <c r="I21" i="2" s="1"/>
  <c r="G422" i="2" l="1"/>
  <c r="G418" i="2"/>
  <c r="G419" i="2" s="1"/>
  <c r="G386" i="2"/>
  <c r="G385" i="2"/>
  <c r="G384" i="2"/>
  <c r="G383" i="2"/>
  <c r="F336" i="2"/>
  <c r="G324" i="2"/>
  <c r="G323" i="2"/>
  <c r="G322" i="2"/>
  <c r="G321" i="2"/>
  <c r="G312" i="2"/>
  <c r="G311" i="2"/>
  <c r="G310" i="2"/>
  <c r="G309" i="2"/>
  <c r="G250" i="2"/>
  <c r="G247" i="2"/>
  <c r="G238" i="2"/>
  <c r="G237" i="2"/>
  <c r="G236" i="2"/>
  <c r="G235" i="2"/>
  <c r="G219" i="2"/>
  <c r="G218" i="2"/>
  <c r="G217" i="2"/>
  <c r="G216" i="2"/>
  <c r="G159" i="2"/>
  <c r="G158" i="2"/>
  <c r="G156" i="2"/>
  <c r="G100" i="2"/>
  <c r="G84" i="2"/>
  <c r="G23" i="2"/>
  <c r="G22" i="2"/>
  <c r="G20" i="2"/>
  <c r="G411" i="2" l="1"/>
  <c r="G409" i="2"/>
  <c r="G410" i="2"/>
  <c r="G424" i="2" s="1"/>
  <c r="F100" i="2"/>
  <c r="G21" i="2"/>
  <c r="G423" i="2"/>
  <c r="G412" i="2"/>
  <c r="G43" i="9" s="1"/>
  <c r="G414" i="2"/>
  <c r="G320" i="2"/>
  <c r="G415" i="2"/>
  <c r="G46" i="9" s="1"/>
  <c r="G358" i="2"/>
  <c r="G234" i="2"/>
  <c r="G258" i="2"/>
  <c r="G155" i="2"/>
  <c r="G246" i="2"/>
  <c r="G215" i="2"/>
  <c r="G332" i="2"/>
  <c r="G308" i="2"/>
  <c r="G382" i="2"/>
  <c r="O20" i="9"/>
  <c r="N20" i="9"/>
  <c r="O34" i="3"/>
  <c r="O21" i="3" s="1"/>
  <c r="N34" i="3"/>
  <c r="N21" i="3" s="1"/>
  <c r="O115" i="2"/>
  <c r="N115" i="2"/>
  <c r="O91" i="2"/>
  <c r="N91" i="2"/>
  <c r="G413" i="2" l="1"/>
  <c r="F91" i="2"/>
  <c r="G425" i="2"/>
  <c r="G16" i="2"/>
  <c r="G408" i="2"/>
  <c r="F115" i="2"/>
  <c r="G428" i="2"/>
  <c r="G427" i="2"/>
  <c r="G426" i="2" l="1"/>
  <c r="G429" i="2" s="1"/>
  <c r="N82" i="2"/>
  <c r="O82" i="2"/>
  <c r="I386" i="2"/>
  <c r="H386" i="2"/>
  <c r="I385" i="2"/>
  <c r="H385" i="2"/>
  <c r="E385" i="2"/>
  <c r="H384" i="2"/>
  <c r="E384" i="2"/>
  <c r="H383" i="2"/>
  <c r="E383" i="2"/>
  <c r="F383" i="2" l="1"/>
  <c r="F385" i="2"/>
  <c r="F386" i="2"/>
  <c r="F82" i="2"/>
  <c r="E382" i="2"/>
  <c r="N382" i="2"/>
  <c r="O382" i="2"/>
  <c r="I384" i="2"/>
  <c r="I382" i="2" s="1"/>
  <c r="H382" i="2"/>
  <c r="F382" i="2" l="1"/>
  <c r="F384" i="2"/>
  <c r="F365" i="2"/>
  <c r="F364" i="2" l="1"/>
  <c r="F52" i="3"/>
  <c r="O22" i="9" l="1"/>
  <c r="I26" i="2" l="1"/>
  <c r="I19" i="2" l="1"/>
  <c r="H157" i="2"/>
  <c r="Q409" i="2" l="1"/>
  <c r="I253" i="2"/>
  <c r="I252" i="2"/>
  <c r="I265" i="2"/>
  <c r="I264" i="2"/>
  <c r="I275" i="2"/>
  <c r="I274" i="2"/>
  <c r="I281" i="2"/>
  <c r="I282" i="2"/>
  <c r="I289" i="2"/>
  <c r="I288" i="2"/>
  <c r="I303" i="2"/>
  <c r="F303" i="2" s="1"/>
  <c r="I302" i="2"/>
  <c r="F302" i="2" s="1"/>
  <c r="I260" i="2" l="1"/>
  <c r="I261" i="2"/>
  <c r="F252" i="2"/>
  <c r="I248" i="2"/>
  <c r="F253" i="2"/>
  <c r="I249" i="2"/>
  <c r="I218" i="2"/>
  <c r="Q410" i="2" s="1"/>
  <c r="I217" i="2"/>
  <c r="F340" i="2"/>
  <c r="F304" i="2"/>
  <c r="F290" i="2"/>
  <c r="F283" i="2"/>
  <c r="F276" i="2"/>
  <c r="H422" i="2"/>
  <c r="H418" i="2"/>
  <c r="H419" i="2" s="1"/>
  <c r="H324" i="2"/>
  <c r="H323" i="2"/>
  <c r="H322" i="2"/>
  <c r="H321" i="2"/>
  <c r="H310" i="2"/>
  <c r="H312" i="2"/>
  <c r="H311" i="2"/>
  <c r="H309" i="2"/>
  <c r="H250" i="2"/>
  <c r="H247" i="2"/>
  <c r="H238" i="2"/>
  <c r="H237" i="2"/>
  <c r="H236" i="2"/>
  <c r="H235" i="2"/>
  <c r="H218" i="2"/>
  <c r="H219" i="2"/>
  <c r="H217" i="2"/>
  <c r="H216" i="2"/>
  <c r="H158" i="2"/>
  <c r="H159" i="2"/>
  <c r="H156" i="2"/>
  <c r="H23" i="2"/>
  <c r="H22" i="2"/>
  <c r="F91" i="3"/>
  <c r="F92" i="3"/>
  <c r="F93" i="3"/>
  <c r="F79" i="3"/>
  <c r="F80" i="3"/>
  <c r="F81" i="3"/>
  <c r="F67" i="3"/>
  <c r="F69" i="3"/>
  <c r="F66" i="3"/>
  <c r="F40" i="3"/>
  <c r="F41" i="3"/>
  <c r="F42" i="3"/>
  <c r="F39" i="3"/>
  <c r="F33" i="3"/>
  <c r="F34" i="3"/>
  <c r="F35" i="3"/>
  <c r="F32" i="3"/>
  <c r="F24" i="3"/>
  <c r="F25" i="3"/>
  <c r="F28" i="3"/>
  <c r="F11" i="3"/>
  <c r="F12" i="3"/>
  <c r="F13" i="3"/>
  <c r="F14" i="3"/>
  <c r="G107" i="3"/>
  <c r="G88" i="3"/>
  <c r="G89" i="3"/>
  <c r="G87" i="3"/>
  <c r="G86" i="3"/>
  <c r="G77" i="3"/>
  <c r="G76" i="3"/>
  <c r="G75" i="3"/>
  <c r="G74" i="3"/>
  <c r="G49" i="3"/>
  <c r="G48" i="3"/>
  <c r="G50" i="3"/>
  <c r="G47" i="3"/>
  <c r="G27" i="3"/>
  <c r="G22" i="3" s="1"/>
  <c r="G102" i="3"/>
  <c r="G10" i="3"/>
  <c r="G9" i="3"/>
  <c r="G8" i="3"/>
  <c r="G7" i="3"/>
  <c r="F27" i="9"/>
  <c r="F28" i="9"/>
  <c r="F29" i="9"/>
  <c r="F26" i="9"/>
  <c r="F19" i="9"/>
  <c r="F22" i="9"/>
  <c r="F18" i="9"/>
  <c r="F12" i="9"/>
  <c r="F13" i="9"/>
  <c r="F14" i="9"/>
  <c r="F11" i="9"/>
  <c r="G21" i="9"/>
  <c r="G9" i="9" s="1"/>
  <c r="G37" i="9" s="1"/>
  <c r="G6" i="9"/>
  <c r="I6" i="9"/>
  <c r="G7" i="9"/>
  <c r="G35" i="9" s="1"/>
  <c r="I7" i="9"/>
  <c r="G8" i="9"/>
  <c r="I8" i="9"/>
  <c r="G10" i="9"/>
  <c r="G38" i="9" s="1"/>
  <c r="I10" i="9"/>
  <c r="G34" i="9"/>
  <c r="G98" i="3" l="1"/>
  <c r="H409" i="2"/>
  <c r="H410" i="2"/>
  <c r="H41" i="9" s="1"/>
  <c r="G6" i="3"/>
  <c r="G100" i="3"/>
  <c r="G99" i="3"/>
  <c r="G41" i="9" s="1"/>
  <c r="H413" i="2"/>
  <c r="H411" i="2"/>
  <c r="H42" i="9" s="1"/>
  <c r="G101" i="3"/>
  <c r="G40" i="9"/>
  <c r="H40" i="9"/>
  <c r="G45" i="9"/>
  <c r="H412" i="2"/>
  <c r="H414" i="2"/>
  <c r="H45" i="9" s="1"/>
  <c r="H415" i="2"/>
  <c r="H46" i="9" s="1"/>
  <c r="H234" i="2"/>
  <c r="Y46" i="9"/>
  <c r="G36" i="9"/>
  <c r="G33" i="9" s="1"/>
  <c r="G112" i="3"/>
  <c r="G111" i="3" s="1"/>
  <c r="G61" i="3"/>
  <c r="G46" i="3"/>
  <c r="H308" i="2"/>
  <c r="H320" i="2"/>
  <c r="H358" i="2"/>
  <c r="H332" i="2"/>
  <c r="H258" i="2"/>
  <c r="H155" i="2"/>
  <c r="H215" i="2"/>
  <c r="H246" i="2"/>
  <c r="G85" i="3"/>
  <c r="G73" i="3"/>
  <c r="G18" i="3"/>
  <c r="G5" i="9"/>
  <c r="G109" i="3" l="1"/>
  <c r="Y43" i="9"/>
  <c r="H43" i="9"/>
  <c r="G42" i="9"/>
  <c r="Y42" i="9" s="1"/>
  <c r="H428" i="2"/>
  <c r="H427" i="2"/>
  <c r="Y45" i="9"/>
  <c r="G44" i="9"/>
  <c r="G108" i="3"/>
  <c r="G110" i="3"/>
  <c r="H424" i="2"/>
  <c r="Y41" i="9"/>
  <c r="H425" i="2"/>
  <c r="H16" i="2"/>
  <c r="Y40" i="9"/>
  <c r="G97" i="3"/>
  <c r="H426" i="2" l="1"/>
  <c r="G113" i="3"/>
  <c r="Y44" i="9"/>
  <c r="G39" i="9"/>
  <c r="H408" i="2"/>
  <c r="H423" i="2"/>
  <c r="H429" i="2" s="1"/>
  <c r="F20" i="9" l="1"/>
  <c r="N288" i="2" l="1"/>
  <c r="F288" i="2" s="1"/>
  <c r="N281" i="2"/>
  <c r="F281" i="2" s="1"/>
  <c r="N274" i="2"/>
  <c r="F274" i="2" s="1"/>
  <c r="N264" i="2"/>
  <c r="N289" i="2"/>
  <c r="F289" i="2" s="1"/>
  <c r="F264" i="2" l="1"/>
  <c r="N260" i="2"/>
  <c r="N282" i="2"/>
  <c r="F282" i="2" s="1"/>
  <c r="N275" i="2" l="1"/>
  <c r="F275" i="2" s="1"/>
  <c r="N265" i="2"/>
  <c r="N217" i="2"/>
  <c r="O217" i="2"/>
  <c r="F265" i="2" l="1"/>
  <c r="N261" i="2"/>
  <c r="F217" i="2"/>
  <c r="F68" i="3" l="1"/>
  <c r="N21" i="9"/>
  <c r="O21" i="9"/>
  <c r="F26" i="3" l="1"/>
  <c r="F64" i="3"/>
  <c r="O185" i="2"/>
  <c r="N185" i="2"/>
  <c r="O156" i="2"/>
  <c r="O161" i="2"/>
  <c r="N161" i="2"/>
  <c r="F161" i="2" s="1"/>
  <c r="F185" i="2" l="1"/>
  <c r="O158" i="2"/>
  <c r="N157" i="2"/>
  <c r="N158" i="2"/>
  <c r="O157" i="2"/>
  <c r="F157" i="2" l="1"/>
  <c r="O26" i="2"/>
  <c r="O19" i="2" s="1"/>
  <c r="N26" i="2"/>
  <c r="F26" i="2" l="1"/>
  <c r="N19" i="2"/>
  <c r="F19" i="2" s="1"/>
  <c r="O258" i="2" l="1"/>
  <c r="N258" i="2"/>
  <c r="I21" i="9" l="1"/>
  <c r="I9" i="9" l="1"/>
  <c r="F21" i="9"/>
  <c r="I5" i="9" l="1"/>
  <c r="I47" i="3"/>
  <c r="N47" i="3"/>
  <c r="O47" i="3"/>
  <c r="N50" i="3"/>
  <c r="O50" i="3"/>
  <c r="I50" i="3"/>
  <c r="F261" i="2"/>
  <c r="I97" i="2"/>
  <c r="I18" i="2" s="1"/>
  <c r="F18" i="2" l="1"/>
  <c r="I16" i="2"/>
  <c r="F97" i="2"/>
  <c r="F54" i="3"/>
  <c r="F53" i="3"/>
  <c r="F51" i="3"/>
  <c r="F50" i="3"/>
  <c r="E49" i="3"/>
  <c r="E48" i="3"/>
  <c r="F47" i="3"/>
  <c r="E46" i="3" l="1"/>
  <c r="O238" i="2"/>
  <c r="N238" i="2"/>
  <c r="I238" i="2"/>
  <c r="O237" i="2"/>
  <c r="N237" i="2"/>
  <c r="E237" i="2"/>
  <c r="E234" i="2" s="1"/>
  <c r="O236" i="2"/>
  <c r="N236" i="2"/>
  <c r="I236" i="2"/>
  <c r="O235" i="2"/>
  <c r="N235" i="2"/>
  <c r="I235" i="2"/>
  <c r="F238" i="2" l="1"/>
  <c r="F236" i="2"/>
  <c r="F235" i="2"/>
  <c r="O234" i="2"/>
  <c r="N234" i="2"/>
  <c r="I237" i="2"/>
  <c r="F237" i="2" l="1"/>
  <c r="I234" i="2"/>
  <c r="F234" i="2" s="1"/>
  <c r="F158" i="2" l="1"/>
  <c r="O324" i="2" l="1"/>
  <c r="N324" i="2"/>
  <c r="I324" i="2"/>
  <c r="O323" i="2"/>
  <c r="N323" i="2"/>
  <c r="I323" i="2"/>
  <c r="E323" i="2"/>
  <c r="O322" i="2"/>
  <c r="N322" i="2"/>
  <c r="I322" i="2"/>
  <c r="E322" i="2"/>
  <c r="O321" i="2"/>
  <c r="N321" i="2"/>
  <c r="I321" i="2"/>
  <c r="E321" i="2"/>
  <c r="F260" i="2"/>
  <c r="F324" i="2" l="1"/>
  <c r="F321" i="2"/>
  <c r="F322" i="2"/>
  <c r="F323" i="2"/>
  <c r="I320" i="2"/>
  <c r="E320" i="2"/>
  <c r="N320" i="2"/>
  <c r="O320" i="2"/>
  <c r="F320" i="2" l="1"/>
  <c r="N23" i="2"/>
  <c r="N415" i="2" s="1"/>
  <c r="O23" i="2"/>
  <c r="O415" i="2" s="1"/>
  <c r="I23" i="2"/>
  <c r="F23" i="2" s="1"/>
  <c r="I415" i="2" l="1"/>
  <c r="F421" i="2"/>
  <c r="G59" i="9" s="1"/>
  <c r="F415" i="2" l="1"/>
  <c r="H66" i="9"/>
  <c r="N58" i="9"/>
  <c r="O58" i="9"/>
  <c r="N59" i="9"/>
  <c r="O59" i="9"/>
  <c r="N55" i="9"/>
  <c r="O55" i="9"/>
  <c r="I59" i="9"/>
  <c r="I58" i="9"/>
  <c r="I56" i="9"/>
  <c r="I55" i="9"/>
  <c r="O56" i="9" l="1"/>
  <c r="N56" i="9"/>
  <c r="I428" i="2" l="1"/>
  <c r="F335" i="2" l="1"/>
  <c r="F259" i="2"/>
  <c r="N46" i="9" l="1"/>
  <c r="N66" i="9" s="1"/>
  <c r="O46" i="9"/>
  <c r="O66" i="9" s="1"/>
  <c r="I38" i="9"/>
  <c r="O9" i="9"/>
  <c r="O37" i="9" s="1"/>
  <c r="I34" i="9"/>
  <c r="N6" i="9"/>
  <c r="N34" i="9" s="1"/>
  <c r="O6" i="9"/>
  <c r="O34" i="9" s="1"/>
  <c r="N7" i="9"/>
  <c r="N35" i="9" s="1"/>
  <c r="O7" i="9"/>
  <c r="O35" i="9" s="1"/>
  <c r="N8" i="9"/>
  <c r="N36" i="9" s="1"/>
  <c r="O8" i="9"/>
  <c r="O36" i="9" s="1"/>
  <c r="N9" i="9"/>
  <c r="N37" i="9" s="1"/>
  <c r="N10" i="9"/>
  <c r="N38" i="9" s="1"/>
  <c r="O10" i="9"/>
  <c r="I36" i="9"/>
  <c r="U36" i="9" s="1"/>
  <c r="I35" i="9"/>
  <c r="F6" i="9" l="1"/>
  <c r="F34" i="9"/>
  <c r="F35" i="9"/>
  <c r="F7" i="9"/>
  <c r="F8" i="9"/>
  <c r="F10" i="9"/>
  <c r="F9" i="9"/>
  <c r="O38" i="9"/>
  <c r="N33" i="9"/>
  <c r="O33" i="9"/>
  <c r="N5" i="9"/>
  <c r="O5" i="9"/>
  <c r="O77" i="3"/>
  <c r="N77" i="3"/>
  <c r="I77" i="3"/>
  <c r="O76" i="3"/>
  <c r="N76" i="3"/>
  <c r="I76" i="3"/>
  <c r="E76" i="3"/>
  <c r="O75" i="3"/>
  <c r="N75" i="3"/>
  <c r="I75" i="3"/>
  <c r="E75" i="3"/>
  <c r="O74" i="3"/>
  <c r="N74" i="3"/>
  <c r="I74" i="3"/>
  <c r="E74" i="3"/>
  <c r="F90" i="3"/>
  <c r="O89" i="3"/>
  <c r="N89" i="3"/>
  <c r="I89" i="3"/>
  <c r="O88" i="3"/>
  <c r="N88" i="3"/>
  <c r="I88" i="3"/>
  <c r="O87" i="3"/>
  <c r="N87" i="3"/>
  <c r="I87" i="3"/>
  <c r="E87" i="3"/>
  <c r="O86" i="3"/>
  <c r="N86" i="3"/>
  <c r="I86" i="3"/>
  <c r="E86" i="3"/>
  <c r="F76" i="3" l="1"/>
  <c r="F77" i="3"/>
  <c r="F38" i="9"/>
  <c r="F87" i="3"/>
  <c r="F36" i="9"/>
  <c r="F65" i="3"/>
  <c r="F75" i="3"/>
  <c r="F5" i="9"/>
  <c r="N73" i="3"/>
  <c r="F88" i="3"/>
  <c r="F74" i="3"/>
  <c r="F78" i="3"/>
  <c r="I48" i="3"/>
  <c r="F62" i="3"/>
  <c r="F89" i="3"/>
  <c r="I49" i="3"/>
  <c r="F63" i="3"/>
  <c r="N49" i="3"/>
  <c r="O48" i="3"/>
  <c r="O49" i="3"/>
  <c r="N48" i="3"/>
  <c r="N85" i="3"/>
  <c r="I73" i="3"/>
  <c r="E73" i="3"/>
  <c r="I85" i="3"/>
  <c r="I37" i="9"/>
  <c r="O73" i="3"/>
  <c r="O85" i="3"/>
  <c r="O61" i="3"/>
  <c r="N61" i="3"/>
  <c r="I61" i="3"/>
  <c r="F48" i="3" l="1"/>
  <c r="I33" i="9"/>
  <c r="F33" i="9" s="1"/>
  <c r="F37" i="9"/>
  <c r="F86" i="3"/>
  <c r="F61" i="3"/>
  <c r="I46" i="3"/>
  <c r="F85" i="3"/>
  <c r="F73" i="3"/>
  <c r="O46" i="3"/>
  <c r="N46" i="3"/>
  <c r="F49" i="3"/>
  <c r="N102" i="3"/>
  <c r="O102" i="3"/>
  <c r="F46" i="3" l="1"/>
  <c r="I102" i="3"/>
  <c r="F102" i="3" s="1"/>
  <c r="F23" i="3"/>
  <c r="F19" i="3"/>
  <c r="F20" i="3"/>
  <c r="F21" i="3"/>
  <c r="O112" i="3"/>
  <c r="O111" i="3" s="1"/>
  <c r="N112" i="3"/>
  <c r="N111" i="3" s="1"/>
  <c r="I112" i="3" l="1"/>
  <c r="I111" i="3" s="1"/>
  <c r="N27" i="3"/>
  <c r="N22" i="3" s="1"/>
  <c r="O27" i="3"/>
  <c r="O22" i="3" s="1"/>
  <c r="I27" i="3"/>
  <c r="I22" i="3" s="1"/>
  <c r="I101" i="3" s="1"/>
  <c r="N7" i="3"/>
  <c r="N98" i="3" s="1"/>
  <c r="O7" i="3"/>
  <c r="O98" i="3" s="1"/>
  <c r="N8" i="3"/>
  <c r="N99" i="3" s="1"/>
  <c r="O8" i="3"/>
  <c r="O99" i="3" s="1"/>
  <c r="N9" i="3"/>
  <c r="N100" i="3" s="1"/>
  <c r="O9" i="3"/>
  <c r="O100" i="3" s="1"/>
  <c r="N10" i="3"/>
  <c r="O10" i="3"/>
  <c r="I10" i="3"/>
  <c r="I9" i="3"/>
  <c r="I8" i="3"/>
  <c r="I99" i="3" s="1"/>
  <c r="I7" i="3"/>
  <c r="I98" i="3" s="1"/>
  <c r="O101" i="3" l="1"/>
  <c r="N101" i="3"/>
  <c r="I100" i="3"/>
  <c r="Q100" i="3" s="1"/>
  <c r="N18" i="3"/>
  <c r="O18" i="3"/>
  <c r="F10" i="3"/>
  <c r="F7" i="3"/>
  <c r="I108" i="3"/>
  <c r="F8" i="3"/>
  <c r="F27" i="3"/>
  <c r="F9" i="3"/>
  <c r="N108" i="3"/>
  <c r="N110" i="3"/>
  <c r="O110" i="3"/>
  <c r="O109" i="3"/>
  <c r="F98" i="3" l="1"/>
  <c r="F101" i="3"/>
  <c r="F99" i="3"/>
  <c r="I110" i="3"/>
  <c r="F100" i="3"/>
  <c r="I18" i="3"/>
  <c r="F18" i="3" s="1"/>
  <c r="F22" i="3"/>
  <c r="N97" i="3"/>
  <c r="O97" i="3"/>
  <c r="I109" i="3"/>
  <c r="N109" i="3"/>
  <c r="N113" i="3" s="1"/>
  <c r="O108" i="3"/>
  <c r="O113" i="3" s="1"/>
  <c r="I97" i="3"/>
  <c r="F362" i="2"/>
  <c r="F334" i="2"/>
  <c r="F333" i="2"/>
  <c r="N309" i="2"/>
  <c r="O309" i="2"/>
  <c r="N310" i="2"/>
  <c r="O310" i="2"/>
  <c r="N311" i="2"/>
  <c r="O311" i="2"/>
  <c r="N312" i="2"/>
  <c r="O312" i="2"/>
  <c r="I312" i="2"/>
  <c r="I311" i="2"/>
  <c r="I411" i="2" s="1"/>
  <c r="I310" i="2"/>
  <c r="I410" i="2" s="1"/>
  <c r="I309" i="2"/>
  <c r="E311" i="2"/>
  <c r="E308" i="2" s="1"/>
  <c r="F262" i="2"/>
  <c r="F311" i="2" l="1"/>
  <c r="F310" i="2"/>
  <c r="F312" i="2"/>
  <c r="F359" i="2"/>
  <c r="F360" i="2"/>
  <c r="F309" i="2"/>
  <c r="F361" i="2"/>
  <c r="I113" i="3"/>
  <c r="I258" i="2"/>
  <c r="F258" i="2" s="1"/>
  <c r="F97" i="3"/>
  <c r="I332" i="2"/>
  <c r="N358" i="2"/>
  <c r="O358" i="2"/>
  <c r="I358" i="2"/>
  <c r="O332" i="2"/>
  <c r="N332" i="2"/>
  <c r="I308" i="2"/>
  <c r="N308" i="2"/>
  <c r="O308" i="2"/>
  <c r="F308" i="2" l="1"/>
  <c r="F332" i="2"/>
  <c r="F358" i="2"/>
  <c r="N247" i="2"/>
  <c r="O247" i="2"/>
  <c r="N248" i="2"/>
  <c r="N410" i="2" s="1"/>
  <c r="O248" i="2"/>
  <c r="O410" i="2" s="1"/>
  <c r="N249" i="2"/>
  <c r="O249" i="2"/>
  <c r="N250" i="2"/>
  <c r="O250" i="2"/>
  <c r="I250" i="2"/>
  <c r="I247" i="2"/>
  <c r="N216" i="2"/>
  <c r="O216" i="2"/>
  <c r="N218" i="2"/>
  <c r="O218" i="2"/>
  <c r="N219" i="2"/>
  <c r="O219" i="2"/>
  <c r="I219" i="2"/>
  <c r="I216" i="2"/>
  <c r="I409" i="2" s="1"/>
  <c r="H62" i="9"/>
  <c r="E249" i="2"/>
  <c r="E246" i="2" s="1"/>
  <c r="O159" i="2"/>
  <c r="N159" i="2"/>
  <c r="N167" i="2"/>
  <c r="N412" i="2"/>
  <c r="N22" i="2"/>
  <c r="N414" i="2" s="1"/>
  <c r="N45" i="9" s="1"/>
  <c r="O22" i="2"/>
  <c r="O414" i="2" s="1"/>
  <c r="O45" i="9" s="1"/>
  <c r="I412" i="2"/>
  <c r="N411" i="2" l="1"/>
  <c r="I413" i="2"/>
  <c r="O411" i="2"/>
  <c r="O409" i="2"/>
  <c r="O412" i="2"/>
  <c r="O43" i="9" s="1"/>
  <c r="H61" i="9"/>
  <c r="H67" i="9" s="1"/>
  <c r="O41" i="9"/>
  <c r="O62" i="9" s="1"/>
  <c r="F247" i="2"/>
  <c r="F216" i="2"/>
  <c r="F159" i="2"/>
  <c r="F219" i="2"/>
  <c r="F250" i="2"/>
  <c r="N43" i="9"/>
  <c r="F20" i="2"/>
  <c r="N156" i="2"/>
  <c r="N409" i="2" s="1"/>
  <c r="F167" i="2"/>
  <c r="F218" i="2"/>
  <c r="F249" i="2"/>
  <c r="F248" i="2"/>
  <c r="O40" i="9"/>
  <c r="O65" i="9"/>
  <c r="O64" i="9" s="1"/>
  <c r="O44" i="9"/>
  <c r="N65" i="9"/>
  <c r="N64" i="9" s="1"/>
  <c r="N44" i="9"/>
  <c r="I43" i="9"/>
  <c r="I246" i="2"/>
  <c r="I215" i="2"/>
  <c r="O215" i="2"/>
  <c r="O155" i="2"/>
  <c r="N215" i="2"/>
  <c r="O246" i="2"/>
  <c r="N246" i="2"/>
  <c r="I155" i="2"/>
  <c r="N84" i="2"/>
  <c r="N21" i="2" s="1"/>
  <c r="O84" i="2"/>
  <c r="O21" i="2" s="1"/>
  <c r="O413" i="2" s="1"/>
  <c r="E81" i="2"/>
  <c r="N413" i="2" l="1"/>
  <c r="F21" i="2"/>
  <c r="H63" i="9"/>
  <c r="Q411" i="2"/>
  <c r="U48" i="9" s="1"/>
  <c r="O61" i="9"/>
  <c r="F156" i="2"/>
  <c r="N40" i="9"/>
  <c r="H70" i="9"/>
  <c r="F410" i="2"/>
  <c r="F84" i="2"/>
  <c r="F16" i="2" s="1"/>
  <c r="F215" i="2"/>
  <c r="F246" i="2"/>
  <c r="F412" i="2"/>
  <c r="F43" i="9"/>
  <c r="W43" i="9" s="1"/>
  <c r="I42" i="9"/>
  <c r="I41" i="9"/>
  <c r="N61" i="9" l="1"/>
  <c r="F411" i="2"/>
  <c r="F409" i="2"/>
  <c r="O42" i="9"/>
  <c r="I63" i="9"/>
  <c r="I62" i="9"/>
  <c r="N16" i="2"/>
  <c r="O16" i="2"/>
  <c r="O63" i="9" l="1"/>
  <c r="F413" i="2"/>
  <c r="O39" i="9"/>
  <c r="O408" i="2"/>
  <c r="I107" i="3" l="1"/>
  <c r="I422" i="2"/>
  <c r="I419" i="2" l="1"/>
  <c r="E38" i="9" l="1"/>
  <c r="E261" i="2" l="1"/>
  <c r="E260" i="2"/>
  <c r="E258" i="2" l="1"/>
  <c r="E35" i="9" l="1"/>
  <c r="N42" i="9" l="1"/>
  <c r="N63" i="9" s="1"/>
  <c r="N41" i="9"/>
  <c r="N155" i="2"/>
  <c r="F155" i="2" s="1"/>
  <c r="F42" i="9" l="1"/>
  <c r="W42" i="9" s="1"/>
  <c r="N408" i="2"/>
  <c r="N39" i="9"/>
  <c r="N62" i="9"/>
  <c r="F41" i="9" l="1"/>
  <c r="W41" i="9" s="1"/>
  <c r="E158" i="2"/>
  <c r="E157" i="2"/>
  <c r="E156" i="2" l="1"/>
  <c r="E412" i="2" l="1"/>
  <c r="E64" i="3" l="1"/>
  <c r="E21" i="3"/>
  <c r="E155" i="2" l="1"/>
  <c r="E18" i="2"/>
  <c r="E17" i="2"/>
  <c r="E20" i="2" l="1"/>
  <c r="E63" i="3" l="1"/>
  <c r="E61" i="3" s="1"/>
  <c r="E334" i="2"/>
  <c r="E333" i="2"/>
  <c r="E98" i="3" l="1"/>
  <c r="E108" i="3" s="1"/>
  <c r="F105" i="3" l="1"/>
  <c r="E59" i="9" l="1"/>
  <c r="E58" i="9"/>
  <c r="N107" i="3"/>
  <c r="O107" i="3"/>
  <c r="E107" i="3"/>
  <c r="O422" i="2"/>
  <c r="N422" i="2"/>
  <c r="E422" i="2"/>
  <c r="E373" i="2" s="1"/>
  <c r="E370" i="2" s="1"/>
  <c r="F420" i="2"/>
  <c r="G58" i="9" s="1"/>
  <c r="G60" i="9" s="1"/>
  <c r="E418" i="2"/>
  <c r="E55" i="9" s="1"/>
  <c r="E417" i="2"/>
  <c r="F422" i="2" l="1"/>
  <c r="I60" i="9"/>
  <c r="F58" i="9"/>
  <c r="F59" i="9"/>
  <c r="N57" i="9"/>
  <c r="F107" i="3"/>
  <c r="F106" i="3"/>
  <c r="O419" i="2"/>
  <c r="E419" i="2"/>
  <c r="F417" i="2"/>
  <c r="G55" i="9" s="1"/>
  <c r="G62" i="9" s="1"/>
  <c r="F418" i="2"/>
  <c r="E56" i="9"/>
  <c r="E57" i="9" s="1"/>
  <c r="N419" i="2"/>
  <c r="O57" i="9"/>
  <c r="E60" i="9"/>
  <c r="O60" i="9"/>
  <c r="N60" i="9"/>
  <c r="G56" i="9" l="1"/>
  <c r="G63" i="9" s="1"/>
  <c r="N70" i="9"/>
  <c r="O70" i="9"/>
  <c r="F56" i="9"/>
  <c r="F55" i="9"/>
  <c r="I57" i="9"/>
  <c r="F60" i="9"/>
  <c r="F419" i="2"/>
  <c r="G57" i="9" l="1"/>
  <c r="F57" i="9"/>
  <c r="E98" i="2" l="1"/>
  <c r="E19" i="2" s="1"/>
  <c r="E218" i="2" l="1"/>
  <c r="I22" i="2"/>
  <c r="F22" i="2" s="1"/>
  <c r="E23" i="2"/>
  <c r="E22" i="2"/>
  <c r="Q38" i="9"/>
  <c r="I414" i="2" l="1"/>
  <c r="G65" i="9"/>
  <c r="I46" i="9"/>
  <c r="F46" i="9" s="1"/>
  <c r="W46" i="9" s="1"/>
  <c r="E215" i="2"/>
  <c r="E43" i="9"/>
  <c r="F414" i="2" l="1"/>
  <c r="I45" i="9"/>
  <c r="I427" i="2"/>
  <c r="I426" i="2" s="1"/>
  <c r="G66" i="9"/>
  <c r="G64" i="9" s="1"/>
  <c r="I66" i="9"/>
  <c r="Q40" i="9"/>
  <c r="F45" i="9" l="1"/>
  <c r="W45" i="9" s="1"/>
  <c r="H44" i="9"/>
  <c r="H39" i="9" s="1"/>
  <c r="H65" i="9"/>
  <c r="H64" i="9" s="1"/>
  <c r="I65" i="9"/>
  <c r="I64" i="9" s="1"/>
  <c r="F64" i="9" s="1"/>
  <c r="I44" i="9"/>
  <c r="E23" i="3"/>
  <c r="E102" i="3" s="1"/>
  <c r="N428" i="2"/>
  <c r="E335" i="2"/>
  <c r="E409" i="2"/>
  <c r="E360" i="2" s="1"/>
  <c r="O428" i="2"/>
  <c r="E16" i="2"/>
  <c r="F44" i="9" l="1"/>
  <c r="W44" i="9" s="1"/>
  <c r="F428" i="2"/>
  <c r="E112" i="3"/>
  <c r="F111" i="3"/>
  <c r="O427" i="2"/>
  <c r="O426" i="2" s="1"/>
  <c r="N427" i="2"/>
  <c r="N426" i="2" s="1"/>
  <c r="F108" i="3"/>
  <c r="O423" i="2"/>
  <c r="N423" i="2"/>
  <c r="E423" i="2"/>
  <c r="E411" i="2"/>
  <c r="E425" i="2" s="1"/>
  <c r="E332" i="2"/>
  <c r="E18" i="3"/>
  <c r="F427" i="2" l="1"/>
  <c r="F426" i="2"/>
  <c r="F112" i="3"/>
  <c r="E8" i="9" l="1"/>
  <c r="E5" i="9" s="1"/>
  <c r="E36" i="9" l="1"/>
  <c r="E33" i="9" s="1"/>
  <c r="S28" i="9" l="1"/>
  <c r="Q20" i="9"/>
  <c r="S20" i="9" s="1"/>
  <c r="Q13" i="9"/>
  <c r="S13" i="9" s="1"/>
  <c r="T98" i="3"/>
  <c r="E40" i="9" l="1"/>
  <c r="E61" i="9" s="1"/>
  <c r="E99" i="3"/>
  <c r="E9" i="3"/>
  <c r="E100" i="3" s="1"/>
  <c r="E109" i="3" l="1"/>
  <c r="E88" i="3" s="1"/>
  <c r="E85" i="3" s="1"/>
  <c r="I425" i="2"/>
  <c r="I424" i="2"/>
  <c r="N425" i="2"/>
  <c r="O424" i="2"/>
  <c r="N424" i="2"/>
  <c r="E97" i="3"/>
  <c r="E110" i="3"/>
  <c r="E113" i="3" s="1"/>
  <c r="Q42" i="9"/>
  <c r="N429" i="2" l="1"/>
  <c r="F424" i="2"/>
  <c r="O425" i="2"/>
  <c r="O429" i="2" s="1"/>
  <c r="F109" i="3"/>
  <c r="F425" i="2" l="1"/>
  <c r="E410" i="2"/>
  <c r="E424" i="2" l="1"/>
  <c r="E361" i="2"/>
  <c r="Q41" i="9"/>
  <c r="E6" i="3" l="1"/>
  <c r="N6" i="3" l="1"/>
  <c r="O6" i="3"/>
  <c r="I6" i="3"/>
  <c r="F6" i="3" l="1"/>
  <c r="F110" i="3"/>
  <c r="F113" i="3" l="1"/>
  <c r="E42" i="9"/>
  <c r="E62" i="9" s="1"/>
  <c r="N67" i="9" l="1"/>
  <c r="O67" i="9"/>
  <c r="F65" i="9"/>
  <c r="F66" i="9"/>
  <c r="F62" i="9" l="1"/>
  <c r="E41" i="9"/>
  <c r="E63" i="9" s="1"/>
  <c r="E415" i="2"/>
  <c r="E428" i="2" s="1"/>
  <c r="F63" i="9" l="1"/>
  <c r="E414" i="2"/>
  <c r="E408" i="2" l="1"/>
  <c r="E359" i="2" s="1"/>
  <c r="E358" i="2" s="1"/>
  <c r="E427" i="2"/>
  <c r="E46" i="9" l="1"/>
  <c r="E66" i="9" s="1"/>
  <c r="E45" i="9" l="1"/>
  <c r="E39" i="9" l="1"/>
  <c r="E65" i="9"/>
  <c r="E67" i="9" s="1"/>
  <c r="T102" i="3"/>
  <c r="T99" i="3"/>
  <c r="T100" i="3" l="1"/>
  <c r="E429" i="2" l="1"/>
  <c r="I40" i="9" l="1"/>
  <c r="I408" i="2"/>
  <c r="F408" i="2" s="1"/>
  <c r="I423" i="2"/>
  <c r="F40" i="9" l="1"/>
  <c r="W40" i="9" s="1"/>
  <c r="Q45" i="9"/>
  <c r="Q46" i="9"/>
  <c r="F423" i="2"/>
  <c r="I429" i="2"/>
  <c r="F429" i="2" s="1"/>
  <c r="I39" i="9"/>
  <c r="F39" i="9" s="1"/>
  <c r="W39" i="9" s="1"/>
  <c r="I61" i="9"/>
  <c r="I70" i="9" s="1"/>
  <c r="G61" i="9" l="1"/>
  <c r="F61" i="9"/>
  <c r="F70" i="9" s="1"/>
  <c r="I67" i="9"/>
  <c r="F67" i="9" s="1"/>
  <c r="G70" i="9" l="1"/>
  <c r="G67" i="9"/>
</calcChain>
</file>

<file path=xl/sharedStrings.xml><?xml version="1.0" encoding="utf-8"?>
<sst xmlns="http://schemas.openxmlformats.org/spreadsheetml/2006/main" count="1707" uniqueCount="284">
  <si>
    <t>№ п/п</t>
  </si>
  <si>
    <t>Средства бюджета Московской области</t>
  </si>
  <si>
    <t>Итого:</t>
  </si>
  <si>
    <t>Управление образования</t>
  </si>
  <si>
    <t>№ п.п</t>
  </si>
  <si>
    <t>Мероприятия по реализации Программы</t>
  </si>
  <si>
    <t>Источники финансирования</t>
  </si>
  <si>
    <t>Всего                       (тыс. руб.)</t>
  </si>
  <si>
    <t>3</t>
  </si>
  <si>
    <t>5</t>
  </si>
  <si>
    <t>7</t>
  </si>
  <si>
    <t>9</t>
  </si>
  <si>
    <t>10</t>
  </si>
  <si>
    <t>1</t>
  </si>
  <si>
    <t>11</t>
  </si>
  <si>
    <t>Объем финансирования по годам (тыс. рублей)</t>
  </si>
  <si>
    <t>Объем финансирования по годам (тыс. руб.)</t>
  </si>
  <si>
    <t>ВСЕГО по Муниципальной программе, в том числе</t>
  </si>
  <si>
    <t>Начальник Управления бухгалтерского учета и отчетности, главный бухгалтер</t>
  </si>
  <si>
    <t>Администрация средства бюджета Московской области</t>
  </si>
  <si>
    <t>Администрация всего</t>
  </si>
  <si>
    <t>Администрация средства бюджета Одинцовского района</t>
  </si>
  <si>
    <t>Управление (за разницей) средства бюджета Одинцовского района</t>
  </si>
  <si>
    <t>Управление (за разницей) средства Московской области</t>
  </si>
  <si>
    <t>Управление все расходы (за разницей)</t>
  </si>
  <si>
    <t>Управление все расходы</t>
  </si>
  <si>
    <t>1.1</t>
  </si>
  <si>
    <t>1.2</t>
  </si>
  <si>
    <t>1.3</t>
  </si>
  <si>
    <t>1.4</t>
  </si>
  <si>
    <t>2.1</t>
  </si>
  <si>
    <t>2.2</t>
  </si>
  <si>
    <t>2.3</t>
  </si>
  <si>
    <t>2.4</t>
  </si>
  <si>
    <t>3.1</t>
  </si>
  <si>
    <t>6</t>
  </si>
  <si>
    <t>8</t>
  </si>
  <si>
    <t>4</t>
  </si>
  <si>
    <t>УМЦ "Развитие образования", Управление образования</t>
  </si>
  <si>
    <t xml:space="preserve">Н.А. Стародубова </t>
  </si>
  <si>
    <t>Средства федерального бюджета</t>
  </si>
  <si>
    <t>Стало</t>
  </si>
  <si>
    <t>Было</t>
  </si>
  <si>
    <t>Управление (за разницей) средства федерального бюджета</t>
  </si>
  <si>
    <t>Объем финансирования в 2019 году (тыс. руб.)</t>
  </si>
  <si>
    <t>2023 год</t>
  </si>
  <si>
    <t>2024 год</t>
  </si>
  <si>
    <t>Средства бюджета  Одинцовского городского округа</t>
  </si>
  <si>
    <t>Средства бюджета Одинцовского городского округа</t>
  </si>
  <si>
    <t xml:space="preserve">Средства бюджета Одинцовского городского округа </t>
  </si>
  <si>
    <t>Срок исполнения мероприятия</t>
  </si>
  <si>
    <t>4.1</t>
  </si>
  <si>
    <t>5.1</t>
  </si>
  <si>
    <t>Срок исполнения меропиятия</t>
  </si>
  <si>
    <t>8.1</t>
  </si>
  <si>
    <t>Объем финансирования в 2019 году (тыс.руб.)</t>
  </si>
  <si>
    <t>1.5</t>
  </si>
  <si>
    <t>6.1</t>
  </si>
  <si>
    <t>7.1</t>
  </si>
  <si>
    <t>в том числе за счет средств родительской платы за присмотр и уход за детьми</t>
  </si>
  <si>
    <t>Управление образования, МКУ "Централизованная бухгалтерия", МКУ ХЭС</t>
  </si>
  <si>
    <t>ФКУ средства бюджета Одинцовского городского округа</t>
  </si>
  <si>
    <t>ФКУ средства бюджета Московской области</t>
  </si>
  <si>
    <t>ФКУ всего</t>
  </si>
  <si>
    <t>Управление (за разницей) средства бюджета Одинцовского городского округа</t>
  </si>
  <si>
    <t>Управление образования, МАОУ "ОЦЭВ"</t>
  </si>
  <si>
    <t xml:space="preserve">к постановлению Администрации Одинцовского </t>
  </si>
  <si>
    <t>городского округа Московской области</t>
  </si>
  <si>
    <t>2.5</t>
  </si>
  <si>
    <t>1.6</t>
  </si>
  <si>
    <t>1.7</t>
  </si>
  <si>
    <t>1.8</t>
  </si>
  <si>
    <t>1.9</t>
  </si>
  <si>
    <t>1.10</t>
  </si>
  <si>
    <t>2</t>
  </si>
  <si>
    <t>Основное мероприятие 01. "Финансовое обеспечение деятельности образовательных организаций"</t>
  </si>
  <si>
    <t>Основное мероприятие 01. "Создание условий для реализации полномочий органов местного самоуправления"</t>
  </si>
  <si>
    <t>1.11</t>
  </si>
  <si>
    <t>1.12</t>
  </si>
  <si>
    <t>1.13</t>
  </si>
  <si>
    <t>Основное мероприятие 08. Модернизация школьных систем образования в рамках государственной программы Российской Федерации "Развитие образования"</t>
  </si>
  <si>
    <t>УМЦ "Развитие образования",     МБОУ ОРЦ "Сопровождение", МАУ "Комбинат питания "Доброе кафе"</t>
  </si>
  <si>
    <t>2025 год</t>
  </si>
  <si>
    <t>2026 год</t>
  </si>
  <si>
    <t>2027 год</t>
  </si>
  <si>
    <t>ПЕРЕЧЕНЬ МЕРОПРИЯТИЙ МУНИЦИПАЛЬНОЙ ПРОГРАММЫ ОДИНЦОВСКОГО ГОРОДСКОГО ОКРУГА                                                                                                                                                                                                                                                                                                                         МОСКОВСКОЙ ОБЛАСТИ "ОБРАЗОВАНИЕ" НА 2023-2027 ГОДЫ</t>
  </si>
  <si>
    <t>2023-2027 годы</t>
  </si>
  <si>
    <t>Внебюджетные источники</t>
  </si>
  <si>
    <t>в том числе за счет доходов от предпринимательской и иной, приносящей доход деятельности</t>
  </si>
  <si>
    <t>в том числе за счет средств  родительской платы за присмотр и уход за детьми</t>
  </si>
  <si>
    <t>Управление образования, МКУ ХЭС</t>
  </si>
  <si>
    <t>1.14</t>
  </si>
  <si>
    <t>1.15</t>
  </si>
  <si>
    <t>Основное мероприятие 02.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</si>
  <si>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Мероприятие 02.01.
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</si>
  <si>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Управление образования, МАУ "Комбинат питания "Доброе Кафе"</t>
  </si>
  <si>
    <t>Основное мероприятие 04. "Обеспечение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экзамена"</t>
  </si>
  <si>
    <t>Мероприятие 04.01.
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</si>
  <si>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>Основное мероприятие 07. "Проведение капитального ремонта объектов дошкольного образования, закупка оборудования"</t>
  </si>
  <si>
    <t xml:space="preserve">Мероприятие 07.01. 
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  </t>
  </si>
  <si>
    <t>Мероприятие 08.03. 
Разработка проектно-сметной документации на проведение капитального ремонта зданий муниципальных общеобразовательных организаций</t>
  </si>
  <si>
    <t>Мероприятие 08.04. 
Благоустройство территорий муниципальных общеобразовательных организаций, в зданиях которых выполнен капитальный ремонт</t>
  </si>
  <si>
    <t>Мероприятие 08.05. 
Обеспечение в отношении объектов капитального ремонта требований к антитеррористической защищенности объектов (территорий), установленных законодательством</t>
  </si>
  <si>
    <t>Мероприятие 09.01. 
Создание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</t>
  </si>
  <si>
    <t>Мероприятие Е1.02.
Обеспечение условий для функционирования центров образования естественно-научной и технологической направленностей</t>
  </si>
  <si>
    <t>9.1</t>
  </si>
  <si>
    <t>10.1</t>
  </si>
  <si>
    <t>Мероприятие Р2.01. 
Государственная поддержка частных дошкольных 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</si>
  <si>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Основное мероприятие 01. "Реализация «пилотных проектов» обновления содержания и технологий дополнительного образования, воспитания, психолого-педагогического сопровождения детей"</t>
  </si>
  <si>
    <t>Основное мероприятие 04. "Обеспечение функционирования модели персонифицированного финансирования дополнительного образования детей"</t>
  </si>
  <si>
    <t>Мероприятие ЕВ.01. 
Оснащение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</si>
  <si>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Мероприятие Е1.01.
Создание детского технопарка "Кванториум"</t>
  </si>
  <si>
    <t>Основное мероприятие 09. "Обеспечение условий доступности для инвалидов объектов и предоставляемых услуг в сфере образования"</t>
  </si>
  <si>
    <t>Основное мероприятие 02. "Финансовое обеспечение деятельности организаций дополнительного образования"</t>
  </si>
  <si>
    <t>Управление образования, Финансово-казначесйское управление, руководители организаций, МКУ "Централизованная бухгалтерия"</t>
  </si>
  <si>
    <t>».</t>
  </si>
  <si>
    <t>Х</t>
  </si>
  <si>
    <t>Всего</t>
  </si>
  <si>
    <t>в том числе по кварталам:</t>
  </si>
  <si>
    <t>I</t>
  </si>
  <si>
    <t>II</t>
  </si>
  <si>
    <t>III</t>
  </si>
  <si>
    <t>IV</t>
  </si>
  <si>
    <t>2025</t>
  </si>
  <si>
    <t>2026</t>
  </si>
  <si>
    <t>2027</t>
  </si>
  <si>
    <t>Мероприятие 01.01.                                                                                        Проведение капитального ремонта, технического переоснащения и благоустройства территорий учреждений образования</t>
  </si>
  <si>
    <t>Мероприятие 01.02.                                                                                         Обеспечение подвоза обучающихся к месту обучения в муниципальные общеобразовательные организации в Московской области за счет средств местного бюджета</t>
  </si>
  <si>
    <t>Мероприятие 01.07.                                                                                         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</si>
  <si>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Мероприятие 01.10.                                                                                Финансовое обеспечение выплаты компенсации родительской платы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</si>
  <si>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Мероприятие 02.02.                                                                                     Приобретение автобусов для доставки обучающихся в общеобразовательные организации, расположенные в сельских населенных пунктах</t>
  </si>
  <si>
    <t>Мероприятие 02.08.                                                                                      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</si>
  <si>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Мероприятие 02.10.                                                                                          Организация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</si>
  <si>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 xml:space="preserve">Мероприятие 01.17.                                                                                         Расходы на обеспечение деятельности (оказание услуг) муниципальных учреждений - дошкольные образовательные организации                                                                        </t>
  </si>
  <si>
    <t>Мероприятие 01.19.                                                                              Профессиональная физическая охрана муниципальных учреждений дошкольного образования</t>
  </si>
  <si>
    <t>Мероприятие 02.13.                                                                                                 Создание и содержание дополнительных мест для детей в возрасте от 1,5 до 7 лет в организациях, осуществляющих присмотр и уход за детьми</t>
  </si>
  <si>
    <t>Мероприятие 08.01.                                                                                        Проведение работ по капитальному ремонту зданий региональных (муниципальных) общеобразовательных организаций</t>
  </si>
  <si>
    <t xml:space="preserve">Мероприятие Е1.03.                                                                                          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 </t>
  </si>
  <si>
    <t>Мероприятия подпрограммы</t>
  </si>
  <si>
    <t>Мероприятие 01.01.                                                                                                    Стипендии в области образования, культуры и искусства (юные дарования, одаренные дети)</t>
  </si>
  <si>
    <t>Мероприятие 02.01.                                                                                                    Расходы на обеспечение деятельности (оказание услуг) муниципальных учреждений - организации дополнительного образования</t>
  </si>
  <si>
    <t>Мероприятие 02.03.                                                                                   Профессиональная физическая охрана муниципальных учреждений дополнительного образования</t>
  </si>
  <si>
    <t xml:space="preserve">Мероприятие Е1.01.                                                                                               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
</t>
  </si>
  <si>
    <t>Подпрограмма 2 "Дополнительное образование, воспитание и психолого-социальное сопровождение детей"</t>
  </si>
  <si>
    <t>Подпрограмма 1 "Общее образование"</t>
  </si>
  <si>
    <t>Подпрограмма 4 "Обеспечивающая подпрограмма"</t>
  </si>
  <si>
    <t>Мероприятие 01.03.                                                                                   Мероприятия в сфере образования</t>
  </si>
  <si>
    <t>Мероприятие 08.08. 
Устройство спортивных и детских площадок на территории муниципальных общеобразовательных организаций</t>
  </si>
  <si>
    <t>Мероприятие ЕВ.01. 
Обеспечение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(Финансовое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</si>
  <si>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Основное мероприятие ЕВ. Федеральный проект "Патриотическое воспитание граждан Российской Федерации" национального проекта "Образование"</t>
  </si>
  <si>
    <t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муниципальных дошкольных и общеобразовательных организациях, в общей численности обучающихся в муниципальных дошкольных и общеобразовательных организациях, %</t>
  </si>
  <si>
    <t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частных дошкольных и общеобразовательных организациях, в общей численности обучающихся в частных дошкольных и общеобразовательных организациях,%</t>
  </si>
  <si>
    <t>В муниципальных общеобразовательных организациях улучшена материально-техническая база, проведен текущий ремонт, шт.</t>
  </si>
  <si>
    <t xml:space="preserve">Обеспечение общеобразовательных учреждений  услугой по охране объектов и имущества, % </t>
  </si>
  <si>
    <t>Обеспечено финансирование муниципальных организаций - дошкольные образовательные организации, шт.</t>
  </si>
  <si>
    <t xml:space="preserve">Обеспечение  дошкольных образовательных учреждений  услугой по охране объектов и имущества, % </t>
  </si>
  <si>
    <t>Приобретены автобусы для доставки обучающихся в общеобразовательные организации, расположенные в сельских населенных пунктах,шт.</t>
  </si>
  <si>
    <t>Доля обучающихся, получающих начальное общее образование в  муниципальных образовательных организациях, получающих бесплатное горячее питание, к общему количеству обучающихся, получающих начальное общее образование в муниципальных образовательных организациях,%</t>
  </si>
  <si>
    <t>Доля детодней, в которые отдельные категории обучающихся муниципальных общеобразовательных организаций в Московской области получали бесплатное питание, от общего количества детодней, в которые отдельные категории обучающихся в муниципальных общеобразовательных организаций в Московской области посещали образовательную организацию, %</t>
  </si>
  <si>
    <t>Обеспечено содержание созданных дополнительных мест для детей в возрасте от 1,5 до 7 лет в организациях, осуществляющих присмотр и уход за детьми, место</t>
  </si>
  <si>
    <t>Проведен капитальный ремонт дошкольных образовательных организаций, шт.</t>
  </si>
  <si>
    <t>Выполнены в полном объеме мероприятия по капитальному ремонту общеобразовательных организаций, шт.</t>
  </si>
  <si>
    <t>Оснащены средствами обучения и воспитания отремонтированные здания общеобразовательных организаций, шт.</t>
  </si>
  <si>
    <t>Разработана проектно-сметная документация на проведение капитального ремонта зданий муниципальных общеобразовательных организаций в Московской области, шт.</t>
  </si>
  <si>
    <t>Объекты капитального ремонта приведены в соответствие с требованиями, установленными законодательством по антитеррористической защищённости, шт.</t>
  </si>
  <si>
    <t xml:space="preserve">Осуществлено устройство спортивных и детских площадок на территории муниципальных общеобразовательных организаций, шт. </t>
  </si>
  <si>
    <t>Созданы условия для получения детьми-инвалидами качественного образования в муниципальных образовательных организаций: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шт.</t>
  </si>
  <si>
    <t>В общеобразовательных организациях, расположенных в сельской местности и малых городах, созданы и функционируют центры образования естественно-научной и технологической направленностей, шт.</t>
  </si>
  <si>
    <t>В Московской области реализованы дополнительные мероприятия по созданию центров образования естественно-научной и технологической направленностей, шт.</t>
  </si>
  <si>
    <t>Обновлена материально-техническая база в организациях, осуществляющих образовательную деятельность исключительно по адаптированным основным общеобразовательным программам, шт.</t>
  </si>
  <si>
    <t>Доля воспитанников в частных дошкольных образовательных организациях,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обеспеченных содержанием, в общей численности воспитанников, зачисленных  в частные дошкольные образовательные организации, частные общеобразовательные организации и к индивидуальным предпринимателям, осуществляющим образовательную деятельность по основным общеобразовательным программам дошкольного образования, посредством информационной системы управления дошкольными образовательными организациями Московской области, %</t>
  </si>
  <si>
    <t>Произведены выплаты в области образования, культуры и искусства (юные дарования, одаренные дети), человек</t>
  </si>
  <si>
    <t>Обеспечено финансирование муниципальных организаций дополнительного образования, шт.</t>
  </si>
  <si>
    <t>Обеспечение  дополнительного образования  услугой по охране объектов и имущества, %</t>
  </si>
  <si>
    <t>100% внедрение и обеспечение функционирования модели персонифицированного финансирования дополнительного образования детей, %</t>
  </si>
  <si>
    <t>Созданы детские технопарки «Кванториум», шт.</t>
  </si>
  <si>
    <t>Обеспечение 100% эффективной деятельности аппарата управления,%</t>
  </si>
  <si>
    <t>Обеспечение подвоза обучающихся к месту учебы и обратно, %</t>
  </si>
  <si>
    <t>Обеспечены пункты проведения итоговой аттестации и проведена государственная итоговая аттестация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экзамена, %</t>
  </si>
  <si>
    <t>Итого Подпрограмма 1 "Общее образование", в том числе:</t>
  </si>
  <si>
    <t>Итого Подпрограмма 2 "Дополнительное образование, воспитание и психолого-социальное сопровождение детей", в том числе:</t>
  </si>
  <si>
    <t xml:space="preserve"> Итого Подпрограмма 4 "Обеспечивающая подпрограмма", в том числе:</t>
  </si>
  <si>
    <t>Обеспечено финансирование муниципальных организаций, шт.</t>
  </si>
  <si>
    <t>Благоустроены территории  муниципальных общеобразовательных организаций, шт.</t>
  </si>
  <si>
    <t xml:space="preserve">«Приложение 1 к муниципальной программе </t>
  </si>
  <si>
    <t xml:space="preserve">Количество общеобразовательных учреждений, в которых созданы условия, отвечающие требованиям СанПиН. (Проведение капитального ремонта, технического переоснащения и благоустройства территорий), шт.                         </t>
  </si>
  <si>
    <t>Основное мероприятие 06. "Предоставление добровольных имущественных взносов на обеспечение деятельности общеобразовательных организаций"</t>
  </si>
  <si>
    <t>Мероприятие 06.01.
Предоставление добровольных имущественных взносов на обеспечение деятельности общеобразовательных организаций</t>
  </si>
  <si>
    <t>Количество общеобразовательных организаций, которым предоставлен добровольный имущественный взнос на обеспечение деятельности общеобразовательных организаций, шт.</t>
  </si>
  <si>
    <t>Мероприятие 01.03.                                                                                         Обеспечение условий для функционирования центров образования естественно-научной и технологической направленностей за счет средств местного бюджета</t>
  </si>
  <si>
    <t>1.16</t>
  </si>
  <si>
    <t>В общеобразовательных организациях, расположенных в сельской местности и малых городах, обеспечены условия для функционирования центров образования естественно-научной и технологической направленностей за счет средств местного бюджета, шт.</t>
  </si>
  <si>
    <t>2.6</t>
  </si>
  <si>
    <t>Мероприятие 02.14.                                                                                                 Освобождение семей отдельных категорий граждан от платы, взимаемой за присмотр и уход за ребенком в муниципальных образовательных организациях, реализующих программы дошкольного образования</t>
  </si>
  <si>
    <t>Мероприятие 03.05.                                                                                                        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</si>
  <si>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4.2</t>
  </si>
  <si>
    <t xml:space="preserve"> </t>
  </si>
  <si>
    <t>МКУ ХЭС</t>
  </si>
  <si>
    <t>2024-2027 годы</t>
  </si>
  <si>
    <t>Мероприятие 04.02.                                                                                                        Внедрение и обеспечение функционирования модели персонифицированного финансирования дополнительного образования детей</t>
  </si>
  <si>
    <t>1.17</t>
  </si>
  <si>
    <t xml:space="preserve">Мероприятие 02.18.                                                                                                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 </t>
  </si>
  <si>
    <t>Мероприятие 04.03.
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</si>
  <si>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Доля отдельных категорий обучающихся по очной форме обучения в частных общеобразовательных организациях, обеспеченных питанием, к общему количеству обучающихся отдельных категорий обучающихся по очной форме обучения в частных общеобразовательных организациях, %</t>
  </si>
  <si>
    <t>Доля работников, получивших компенсацию, в общей численности работников, привлеченных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аттестации, %</t>
  </si>
  <si>
    <t>Созданы комфортные условия для реализации современных образовательных программ в зданиях муниципальных общеобразовательных организаций, ед.</t>
  </si>
  <si>
    <t>В муниципальных общеобразовательных организациях проведены мероприятия по обеспечению деятельности советников директора по воспитанию и взаимодействию с детскими общественными объединениями, ед.</t>
  </si>
  <si>
    <t>Муниципальные общеобразовательные организации, в том числе структурные подразделения указанных организаций, оснащены государственными символами Российской Федерации, ед.</t>
  </si>
  <si>
    <t>Мероприятие 08.02.                                                                                              Оснащение отремонтированных зданий общеобразовательных организаций средствами обучения и воспитания</t>
  </si>
  <si>
    <t xml:space="preserve">Мероприятие 01.21.                                                                                                 Расходы на обеспечение деятельности (оказание услуг) муниципальных учреждений – общеобразовательные организации, оказывающие услуги дошкольного, начального общего, основного общего, среднего общего образования </t>
  </si>
  <si>
    <t>Мероприятие 01.22.                                                                                        Укрепление материально-технической базы, содержание имущества и проведение текущего ремонта общеобразовательных организаций</t>
  </si>
  <si>
    <t>2023</t>
  </si>
  <si>
    <t>2024</t>
  </si>
  <si>
    <t>2.7</t>
  </si>
  <si>
    <t>_______________</t>
  </si>
  <si>
    <t>Основное мероприятие 03. "Обеспечение развития инновационной инфраструктуры общего образования"</t>
  </si>
  <si>
    <t>Мероприятие 01.23.  Профессиональная физическая охрана муниципальных учреждений в сфере общеобразовательных организаций</t>
  </si>
  <si>
    <t>Мероприятие 01.27.                                                                                                               Обеспечение стимулирующих выплат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</si>
  <si>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 xml:space="preserve">Обеспечено финансирование муниципальных организаций - общеобразовательные организации, оказывающие услуги дошкольного, начального общего, основного общего, среднего общего образования, шт. </t>
  </si>
  <si>
    <t>Мероприятие 01.29.                                                                                                                 Организация питания обучающихся в муниципальных общеобразовательных организациях в Московской области</t>
  </si>
  <si>
    <t>Мероприятие 01.30. 
Государственная поддержка частных дошкольных 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</si>
  <si>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Мероприятие Ю6.02.                                                                              Обеспечение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</t>
  </si>
  <si>
    <t>Мероприятие Ю6.04. 
Ежемесячное денежное вознаграждение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</si>
  <si>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Мероприятие 01.08.                                                                                          Финансовое обеспечение получения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                                                                                                                             </t>
  </si>
  <si>
    <t>Основное мероприятие Ю6. Федеральный проект "Педагоги и наставники"</t>
  </si>
  <si>
    <t>Основное мероприятие Е1. Федеральный проект "Современная школа"</t>
  </si>
  <si>
    <t xml:space="preserve">Основное мероприятие Р2. Федеральный проект "Содействие занятости" </t>
  </si>
  <si>
    <t>Обеспечениы выплаты ежемесячного денежного вознаграждения  советникам директоров по воспитанию и взаимодействию с детскими общественными объединениями, ед.</t>
  </si>
  <si>
    <t>Итого 2023</t>
  </si>
  <si>
    <t>Итого 2024</t>
  </si>
  <si>
    <t>Ответственный за выполнение мероприятия программы</t>
  </si>
  <si>
    <t>Доля педагогических работников муниципальных дошкольных и общеобразовательных организаций – молодых работников и специалистов, получивших выплату и пособие, в общем числе обратившихся за выплатой и пособием, %</t>
  </si>
  <si>
    <t>Основное мероприятие Ю4: 
Все лучшее детям</t>
  </si>
  <si>
    <t>Мероприятие Ю4.01
Оснащение предметных кабинетов общеобразовательных организаций средствами обучения и воспитания</t>
  </si>
  <si>
    <t>Оснащены предметные кабинеты общеобразовательных организаций средствами обучения и воспитания, ед.</t>
  </si>
  <si>
    <t>Мероприятие  Ю6.07.
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</si>
  <si>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Не взимается плата за посещение занятий по дополнительным образовательным программам, реализуемым на платной основе в муниципальных образовательных организациях, детьми граждан, участвующих в специальной военной операции, в общем числе обратившихся, ед.</t>
  </si>
  <si>
    <t>Мероприятие 01.15.                                                                                      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</si>
  <si>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Мероприятие 02.07.                                                                                             Сохранение достигнутого уровня заработной платы педагогических работников организаций дополнительного образования сферы образования</t>
  </si>
  <si>
    <t xml:space="preserve">Достижение соотношения средней заработной платы педагогических работников организаций дополнительного образования сферы образования без учета внешних совместителей и среднемесячной номинальной начисленной заработной платы учителей, %                        </t>
  </si>
  <si>
    <t>Управление образования, МКУ "Централизованная бухгалтерия"</t>
  </si>
  <si>
    <t>от «___» __________ 2025 № ______</t>
  </si>
  <si>
    <t>2025-2027 годы</t>
  </si>
  <si>
    <t>2023год</t>
  </si>
  <si>
    <t>2023-2024 годы</t>
  </si>
  <si>
    <t>Мероприятие 01.01.                                                                                         Обеспечение деятельности муниципальных органов - учреждения в сфере образования</t>
  </si>
  <si>
    <t>Мероприятие 01.02.                                                                                         Обеспечение деятельности прочих учреждений образования (межшкольные учебные комбинаты, хозяйственные эксплуатационные конторы, методические кабинеты и др.)</t>
  </si>
  <si>
    <t>Доля  руководителей муниципальных общеобразовательных организаций, получивших стимулирующие выплаты руководителям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организациях, в общей численности работников такой категории, %</t>
  </si>
  <si>
    <t xml:space="preserve">Мероприятие 01.11.                                                                                          Выплата пособия и ежемесячных выплат педагогическим работникам муниципальных дошкольных и общеобразовательных организаций - молодым работникам и специалистам                                                                                                      </t>
  </si>
  <si>
    <t xml:space="preserve">Обеспечение бесплатным горячим питанием обучающихся, получающих начальное общее образование в муниципальных образовательных организациях, человек.
</t>
  </si>
  <si>
    <t>23789</t>
  </si>
  <si>
    <t xml:space="preserve">Не взимается плата за посещение занятий по дополнительным образовательным программам, реализуемым на платной основе в муниципальных образовательных организациях, детьми граждан, участвующих в специальной военной операции, в общем числе обратившихся, %
</t>
  </si>
  <si>
    <t>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объединениями, ед.</t>
  </si>
  <si>
    <t>Количество проведенных мероприятий в сфере образования, шт</t>
  </si>
  <si>
    <t>-</t>
  </si>
  <si>
    <r>
      <t xml:space="preserve">Обеспечены выплаты денежного вознаграждения за классное руководство, предоставляемые педагогическим работникам </t>
    </r>
    <r>
      <rPr>
        <sz val="14"/>
        <rFont val="Times New Roman"/>
        <family val="1"/>
      </rPr>
      <t>муниципальных</t>
    </r>
    <r>
      <rPr>
        <sz val="14"/>
        <rFont val="Times New Roman"/>
        <family val="1"/>
        <charset val="204"/>
      </rPr>
      <t xml:space="preserve"> образовательных организаций, ежемесячно, ед.</t>
    </r>
  </si>
  <si>
    <t>1.18</t>
  </si>
  <si>
    <t>Мероприятие 01.31. 
Обеспечение выплат работникам муниципальных общеобразовательных организаций – образовательных комплексов, реализующих основные общеобразовательные программы</t>
  </si>
  <si>
    <t>3.2</t>
  </si>
  <si>
    <t>5.2</t>
  </si>
  <si>
    <t>5.3</t>
  </si>
  <si>
    <t>5.4</t>
  </si>
  <si>
    <t>5.5</t>
  </si>
  <si>
    <t>5.6</t>
  </si>
  <si>
    <t>8.2</t>
  </si>
  <si>
    <t>8.3</t>
  </si>
  <si>
    <t>11.1</t>
  </si>
  <si>
    <t>11.2</t>
  </si>
  <si>
    <t>11.3</t>
  </si>
  <si>
    <t>Доля работников муниципальных дошкольных образовательных организаций и  муниципальных общеобразовательных организаций, получивших ежемесячную доплату за напряженный труд, в общей численности работников такой категории, образовательных организаций, получивших ежемесячную доплату за напряженный труд, %</t>
  </si>
  <si>
    <t>Доля воспитанников в частных дошкольных образовательных организациях, частных общеобразовательных организациях и у индивидуальных предпринимателей, осуществляющих образовательную деятельность по основным общеобразовательным программам дошкольного образования, обеспеченных содержанием, в общей численности воспитанников, зачисленных  в частные дошкольные образовательные организации, частные общеобразовательные организации и к индивидуальным предпринимателям, осуществляющим образовательную деятельность по основным общеобразовательным программам дошкольного образования, посредством информационной системы управления дошкольными образовательными организациями Московской области, %</t>
  </si>
  <si>
    <t>Обеспечена положительная динамика образовательных результатов обучающихся в условиях интеграции образовательного процесса в образовательных комплексах, шт.</t>
  </si>
  <si>
    <t>Доля отдельных категорий обучающихся по очной форме обучения в муниципальных общеобразовательных организациях, которым выплачена компенсация, в общем  числе обратившихся,%</t>
  </si>
  <si>
    <t>2023-2024 "-"?</t>
  </si>
  <si>
    <t>"0" замена на "-"</t>
  </si>
  <si>
    <t>Мероприятие 01.28.                                                                                                                Обеспечение выплат ежемесячных доплат за напряженный труд работникам муниципальных дошкольных образовательных организаций,  муниципальных общеобразовательных организаций</t>
  </si>
  <si>
    <t>И.В. Шушин</t>
  </si>
  <si>
    <t>Доля детей, осваивающих образовательные программы дошкольного образования в организациях, осуществляющих образовательную деятельность в Московской области, на которых выплачена компенсация родительской платы в общей численности детей, родители которых обратились за выплатой компенсации, %</t>
  </si>
  <si>
    <t>Количество детей из семей граждан, участвующих в специальной военной операции, плата за присмотр и уход за которых в муниципальных образовательных организациях в Московской области, реализующих программы дошкольного образования, не взимается, человек</t>
  </si>
  <si>
    <t xml:space="preserve">В государственных и муниципальных общеобразовательных организациях и их структурных подразделениях реализованы 
мероприятия по обеспечению деятельности советников директора по воспитанию и взаимодействию с детскими общественными объединениями, ед.
</t>
  </si>
  <si>
    <t xml:space="preserve">Приложение </t>
  </si>
  <si>
    <t>Количество детей из семей граждан, участвующих в специальной военной операции, плата за присмотр и уход за которых в муниципальных образовательных организациях в Московской области, реализующих программы дошкольного образования, не взимается, %</t>
  </si>
  <si>
    <t>2025 -2027 годы</t>
  </si>
  <si>
    <t xml:space="preserve">Начальник Управления образования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</si>
</sst>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00"/>
    <numFmt numFmtId="166" formatCode="0.000"/>
    <numFmt numFmtId="167" formatCode="#,##0.00000"/>
    <numFmt numFmtId="168" formatCode="#,##0.0000"/>
  </numFmts>
  <fonts count="4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name val="Times New Roman"/>
      <family val="2"/>
    </font>
    <font>
      <sz val="14"/>
      <name val="Arial Cyr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4"/>
      <name val="Arial Cyr"/>
      <charset val="204"/>
    </font>
    <font>
      <b/>
      <sz val="48"/>
      <name val="Times New Roman"/>
      <family val="1"/>
      <charset val="204"/>
    </font>
    <font>
      <sz val="14"/>
      <name val="Times New Roman"/>
      <family val="2"/>
    </font>
    <font>
      <b/>
      <sz val="16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48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3.5"/>
      <name val="Times New Roman"/>
      <family val="1"/>
      <charset val="204"/>
    </font>
    <font>
      <b/>
      <sz val="13.5"/>
      <name val="Times New Roman"/>
      <family val="1"/>
      <charset val="204"/>
    </font>
    <font>
      <sz val="13.5"/>
      <color theme="1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sz val="13.5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6"/>
      <name val="Arial"/>
      <family val="2"/>
      <charset val="204"/>
    </font>
    <font>
      <sz val="11"/>
      <color rgb="FF00B050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b/>
      <sz val="14"/>
      <name val="Times New Roman"/>
      <family val="1"/>
    </font>
    <font>
      <sz val="14"/>
      <name val="Times New Roman"/>
      <family val="1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3" fillId="0" borderId="0" applyNumberFormat="0" applyFont="0" applyFill="0" applyBorder="0" applyAlignment="0" applyProtection="0">
      <alignment vertical="top"/>
    </xf>
    <xf numFmtId="0" fontId="4" fillId="0" borderId="0">
      <alignment vertical="center"/>
    </xf>
    <xf numFmtId="0" fontId="3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3" fillId="0" borderId="0" applyNumberFormat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 applyNumberFormat="0" applyFont="0" applyFill="0" applyBorder="0" applyAlignment="0" applyProtection="0">
      <alignment vertical="top"/>
    </xf>
  </cellStyleXfs>
  <cellXfs count="434">
    <xf numFmtId="0" fontId="0" fillId="0" borderId="0" xfId="0"/>
    <xf numFmtId="0" fontId="6" fillId="0" borderId="0" xfId="0" applyFont="1"/>
    <xf numFmtId="0" fontId="7" fillId="2" borderId="0" xfId="7" applyNumberFormat="1" applyFont="1" applyFill="1" applyBorder="1" applyAlignment="1" applyProtection="1">
      <alignment vertical="top"/>
    </xf>
    <xf numFmtId="0" fontId="7" fillId="2" borderId="0" xfId="7" applyNumberFormat="1" applyFont="1" applyFill="1" applyBorder="1" applyAlignment="1" applyProtection="1">
      <alignment horizontal="center" vertical="top"/>
    </xf>
    <xf numFmtId="165" fontId="6" fillId="0" borderId="0" xfId="0" applyNumberFormat="1" applyFont="1"/>
    <xf numFmtId="0" fontId="6" fillId="4" borderId="0" xfId="0" applyFont="1" applyFill="1"/>
    <xf numFmtId="0" fontId="9" fillId="0" borderId="2" xfId="1" applyFont="1" applyFill="1" applyBorder="1"/>
    <xf numFmtId="0" fontId="10" fillId="0" borderId="0" xfId="0" applyFont="1"/>
    <xf numFmtId="165" fontId="6" fillId="0" borderId="0" xfId="0" applyNumberFormat="1" applyFont="1" applyFill="1"/>
    <xf numFmtId="0" fontId="6" fillId="0" borderId="0" xfId="0" applyFont="1" applyFill="1"/>
    <xf numFmtId="0" fontId="3" fillId="2" borderId="0" xfId="4" applyNumberFormat="1" applyFont="1" applyFill="1" applyBorder="1" applyAlignment="1" applyProtection="1">
      <alignment vertical="top"/>
    </xf>
    <xf numFmtId="4" fontId="6" fillId="0" borderId="0" xfId="0" applyNumberFormat="1" applyFont="1"/>
    <xf numFmtId="0" fontId="9" fillId="0" borderId="2" xfId="4" applyNumberFormat="1" applyFont="1" applyFill="1" applyBorder="1" applyAlignment="1">
      <alignment horizontal="left" vertical="top" wrapText="1" indent="1"/>
    </xf>
    <xf numFmtId="0" fontId="16" fillId="0" borderId="2" xfId="4" applyNumberFormat="1" applyFont="1" applyFill="1" applyBorder="1" applyAlignment="1" applyProtection="1">
      <alignment vertical="top"/>
    </xf>
    <xf numFmtId="0" fontId="6" fillId="0" borderId="0" xfId="0" applyFont="1" applyAlignment="1">
      <alignment horizontal="center"/>
    </xf>
    <xf numFmtId="0" fontId="3" fillId="0" borderId="0" xfId="5" applyNumberFormat="1" applyFont="1" applyFill="1" applyBorder="1" applyAlignment="1" applyProtection="1">
      <alignment vertical="top"/>
    </xf>
    <xf numFmtId="0" fontId="5" fillId="0" borderId="0" xfId="5" applyNumberFormat="1" applyFont="1" applyFill="1" applyBorder="1" applyAlignment="1" applyProtection="1">
      <alignment horizontal="center" vertical="top" wrapText="1"/>
    </xf>
    <xf numFmtId="0" fontId="5" fillId="0" borderId="0" xfId="5" applyNumberFormat="1" applyFont="1" applyFill="1" applyBorder="1" applyAlignment="1" applyProtection="1">
      <alignment vertical="top"/>
    </xf>
    <xf numFmtId="0" fontId="5" fillId="0" borderId="0" xfId="5" applyNumberFormat="1" applyFont="1" applyFill="1" applyBorder="1" applyAlignment="1" applyProtection="1">
      <alignment horizontal="left" vertical="top"/>
    </xf>
    <xf numFmtId="0" fontId="16" fillId="0" borderId="2" xfId="5" applyNumberFormat="1" applyFont="1" applyFill="1" applyBorder="1" applyAlignment="1" applyProtection="1">
      <alignment vertical="top"/>
    </xf>
    <xf numFmtId="0" fontId="16" fillId="0" borderId="0" xfId="5" applyNumberFormat="1" applyFont="1" applyFill="1" applyBorder="1" applyAlignment="1" applyProtection="1">
      <alignment vertical="top"/>
    </xf>
    <xf numFmtId="165" fontId="16" fillId="0" borderId="0" xfId="5" applyNumberFormat="1" applyFont="1" applyFill="1" applyBorder="1" applyAlignment="1" applyProtection="1">
      <alignment vertical="top"/>
    </xf>
    <xf numFmtId="0" fontId="16" fillId="0" borderId="0" xfId="5" applyNumberFormat="1" applyFont="1" applyFill="1" applyBorder="1" applyAlignment="1" applyProtection="1">
      <alignment horizontal="right" vertical="top"/>
    </xf>
    <xf numFmtId="0" fontId="9" fillId="0" borderId="0" xfId="5" applyNumberFormat="1" applyFont="1" applyFill="1" applyBorder="1" applyAlignment="1" applyProtection="1">
      <alignment vertical="top"/>
    </xf>
    <xf numFmtId="0" fontId="9" fillId="3" borderId="0" xfId="5" applyNumberFormat="1" applyFont="1" applyFill="1" applyBorder="1" applyAlignment="1" applyProtection="1">
      <alignment horizontal="left" vertical="top"/>
    </xf>
    <xf numFmtId="0" fontId="9" fillId="0" borderId="1" xfId="5" applyNumberFormat="1" applyFont="1" applyFill="1" applyBorder="1" applyAlignment="1" applyProtection="1">
      <alignment vertical="top"/>
    </xf>
    <xf numFmtId="165" fontId="9" fillId="0" borderId="0" xfId="5" applyNumberFormat="1" applyFont="1" applyFill="1" applyBorder="1" applyAlignment="1" applyProtection="1">
      <alignment vertical="top"/>
    </xf>
    <xf numFmtId="0" fontId="9" fillId="0" borderId="0" xfId="5" applyNumberFormat="1" applyFont="1" applyFill="1" applyBorder="1" applyAlignment="1" applyProtection="1">
      <alignment horizontal="center" vertical="top"/>
    </xf>
    <xf numFmtId="0" fontId="9" fillId="3" borderId="0" xfId="5" applyNumberFormat="1" applyFont="1" applyFill="1" applyBorder="1" applyAlignment="1" applyProtection="1">
      <alignment vertical="top"/>
    </xf>
    <xf numFmtId="49" fontId="8" fillId="0" borderId="0" xfId="4" applyNumberFormat="1" applyFont="1" applyFill="1" applyBorder="1" applyAlignment="1" applyProtection="1">
      <alignment horizontal="center" vertical="top"/>
    </xf>
    <xf numFmtId="49" fontId="8" fillId="0" borderId="0" xfId="2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center" vertical="top" wrapText="1"/>
    </xf>
    <xf numFmtId="0" fontId="8" fillId="0" borderId="0" xfId="4" applyNumberFormat="1" applyFont="1" applyFill="1" applyBorder="1" applyAlignment="1">
      <alignment horizontal="left" vertical="top" wrapText="1" indent="1"/>
    </xf>
    <xf numFmtId="165" fontId="9" fillId="0" borderId="0" xfId="3" applyNumberFormat="1" applyFont="1" applyFill="1" applyBorder="1" applyAlignment="1" applyProtection="1">
      <alignment horizontal="center" vertical="center" wrapText="1"/>
    </xf>
    <xf numFmtId="165" fontId="9" fillId="0" borderId="0" xfId="1" applyNumberFormat="1" applyFont="1" applyBorder="1" applyAlignment="1">
      <alignment vertical="center"/>
    </xf>
    <xf numFmtId="165" fontId="16" fillId="0" borderId="0" xfId="4" applyNumberFormat="1" applyFont="1" applyFill="1" applyBorder="1" applyAlignment="1" applyProtection="1">
      <alignment vertical="top"/>
    </xf>
    <xf numFmtId="0" fontId="5" fillId="2" borderId="0" xfId="1" applyFont="1" applyFill="1" applyAlignment="1">
      <alignment horizontal="left"/>
    </xf>
    <xf numFmtId="165" fontId="8" fillId="0" borderId="2" xfId="1" applyNumberFormat="1" applyFont="1" applyFill="1" applyBorder="1" applyAlignment="1">
      <alignment horizontal="center" vertical="center"/>
    </xf>
    <xf numFmtId="165" fontId="6" fillId="3" borderId="0" xfId="0" applyNumberFormat="1" applyFont="1" applyFill="1"/>
    <xf numFmtId="0" fontId="6" fillId="3" borderId="0" xfId="0" applyFont="1" applyFill="1"/>
    <xf numFmtId="4" fontId="6" fillId="3" borderId="0" xfId="0" applyNumberFormat="1" applyFont="1" applyFill="1"/>
    <xf numFmtId="165" fontId="5" fillId="3" borderId="0" xfId="5" applyNumberFormat="1" applyFont="1" applyFill="1" applyBorder="1" applyAlignment="1" applyProtection="1">
      <alignment horizontal="left" vertical="top"/>
    </xf>
    <xf numFmtId="0" fontId="9" fillId="0" borderId="0" xfId="5" applyNumberFormat="1" applyFont="1" applyFill="1" applyBorder="1" applyAlignment="1" applyProtection="1">
      <alignment horizontal="left" vertical="top"/>
    </xf>
    <xf numFmtId="167" fontId="8" fillId="0" borderId="2" xfId="1" applyNumberFormat="1" applyFont="1" applyFill="1" applyBorder="1" applyAlignment="1">
      <alignment horizontal="right" vertical="center"/>
    </xf>
    <xf numFmtId="167" fontId="6" fillId="0" borderId="0" xfId="0" applyNumberFormat="1" applyFont="1" applyFill="1"/>
    <xf numFmtId="167" fontId="6" fillId="0" borderId="0" xfId="0" applyNumberFormat="1" applyFont="1"/>
    <xf numFmtId="167" fontId="11" fillId="0" borderId="2" xfId="0" applyNumberFormat="1" applyFont="1" applyBorder="1"/>
    <xf numFmtId="167" fontId="8" fillId="0" borderId="2" xfId="4" applyNumberFormat="1" applyFont="1" applyFill="1" applyBorder="1" applyAlignment="1" applyProtection="1">
      <alignment horizontal="right" vertical="center"/>
    </xf>
    <xf numFmtId="167" fontId="6" fillId="3" borderId="0" xfId="0" applyNumberFormat="1" applyFont="1" applyFill="1"/>
    <xf numFmtId="0" fontId="5" fillId="3" borderId="0" xfId="5" applyNumberFormat="1" applyFont="1" applyFill="1" applyBorder="1" applyAlignment="1" applyProtection="1">
      <alignment horizontal="left" vertical="top"/>
    </xf>
    <xf numFmtId="165" fontId="9" fillId="0" borderId="5" xfId="3" applyNumberFormat="1" applyFont="1" applyFill="1" applyBorder="1" applyAlignment="1" applyProtection="1">
      <alignment horizontal="center" vertical="center" wrapText="1"/>
    </xf>
    <xf numFmtId="165" fontId="9" fillId="0" borderId="0" xfId="1" applyNumberFormat="1" applyFont="1" applyFill="1" applyBorder="1" applyAlignment="1">
      <alignment vertical="center"/>
    </xf>
    <xf numFmtId="165" fontId="8" fillId="3" borderId="0" xfId="4" applyNumberFormat="1" applyFont="1" applyFill="1" applyBorder="1" applyAlignment="1" applyProtection="1">
      <alignment horizontal="center" vertical="center"/>
    </xf>
    <xf numFmtId="165" fontId="9" fillId="3" borderId="0" xfId="1" applyNumberFormat="1" applyFont="1" applyFill="1" applyBorder="1" applyAlignment="1">
      <alignment horizontal="center" vertical="center" wrapText="1"/>
    </xf>
    <xf numFmtId="167" fontId="11" fillId="0" borderId="2" xfId="0" applyNumberFormat="1" applyFont="1" applyBorder="1" applyAlignment="1">
      <alignment horizontal="right"/>
    </xf>
    <xf numFmtId="167" fontId="12" fillId="5" borderId="2" xfId="0" applyNumberFormat="1" applyFont="1" applyFill="1" applyBorder="1" applyAlignment="1">
      <alignment horizontal="right"/>
    </xf>
    <xf numFmtId="167" fontId="12" fillId="0" borderId="2" xfId="0" applyNumberFormat="1" applyFont="1" applyBorder="1" applyAlignment="1">
      <alignment horizontal="right"/>
    </xf>
    <xf numFmtId="4" fontId="11" fillId="0" borderId="0" xfId="0" applyNumberFormat="1" applyFont="1"/>
    <xf numFmtId="168" fontId="6" fillId="3" borderId="0" xfId="0" applyNumberFormat="1" applyFont="1" applyFill="1"/>
    <xf numFmtId="167" fontId="11" fillId="0" borderId="0" xfId="0" applyNumberFormat="1" applyFont="1"/>
    <xf numFmtId="0" fontId="5" fillId="2" borderId="0" xfId="1" applyFont="1" applyFill="1" applyAlignment="1">
      <alignment horizontal="right"/>
    </xf>
    <xf numFmtId="0" fontId="8" fillId="0" borderId="0" xfId="1" applyFont="1" applyFill="1" applyBorder="1" applyAlignment="1">
      <alignment horizontal="right" vertical="center"/>
    </xf>
    <xf numFmtId="165" fontId="8" fillId="0" borderId="0" xfId="1" applyNumberFormat="1" applyFont="1" applyFill="1" applyBorder="1" applyAlignment="1">
      <alignment horizontal="center" vertical="center"/>
    </xf>
    <xf numFmtId="167" fontId="8" fillId="0" borderId="0" xfId="1" applyNumberFormat="1" applyFont="1" applyFill="1" applyBorder="1" applyAlignment="1">
      <alignment horizontal="center" vertical="center"/>
    </xf>
    <xf numFmtId="0" fontId="9" fillId="0" borderId="0" xfId="1" applyFont="1" applyFill="1" applyBorder="1"/>
    <xf numFmtId="167" fontId="21" fillId="3" borderId="0" xfId="0" applyNumberFormat="1" applyFont="1" applyFill="1"/>
    <xf numFmtId="0" fontId="22" fillId="2" borderId="0" xfId="1" applyFont="1" applyFill="1" applyAlignment="1">
      <alignment horizontal="center"/>
    </xf>
    <xf numFmtId="0" fontId="23" fillId="0" borderId="0" xfId="1" applyFont="1" applyFill="1" applyBorder="1" applyAlignment="1">
      <alignment horizontal="right" vertical="center"/>
    </xf>
    <xf numFmtId="165" fontId="23" fillId="0" borderId="0" xfId="1" applyNumberFormat="1" applyFont="1" applyFill="1" applyBorder="1" applyAlignment="1">
      <alignment horizontal="right" vertical="center"/>
    </xf>
    <xf numFmtId="165" fontId="23" fillId="3" borderId="0" xfId="1" applyNumberFormat="1" applyFont="1" applyFill="1" applyBorder="1" applyAlignment="1">
      <alignment horizontal="right" vertical="center"/>
    </xf>
    <xf numFmtId="167" fontId="23" fillId="0" borderId="0" xfId="1" applyNumberFormat="1" applyFont="1" applyFill="1" applyBorder="1" applyAlignment="1">
      <alignment horizontal="right" vertical="center"/>
    </xf>
    <xf numFmtId="0" fontId="22" fillId="0" borderId="0" xfId="1" applyFont="1" applyFill="1" applyBorder="1"/>
    <xf numFmtId="0" fontId="1" fillId="0" borderId="0" xfId="0" applyFont="1"/>
    <xf numFmtId="167" fontId="24" fillId="0" borderId="2" xfId="0" applyNumberFormat="1" applyFont="1" applyBorder="1"/>
    <xf numFmtId="167" fontId="1" fillId="0" borderId="0" xfId="0" applyNumberFormat="1" applyFont="1"/>
    <xf numFmtId="167" fontId="25" fillId="0" borderId="2" xfId="0" applyNumberFormat="1" applyFont="1" applyBorder="1"/>
    <xf numFmtId="0" fontId="26" fillId="0" borderId="0" xfId="0" applyFont="1"/>
    <xf numFmtId="0" fontId="1" fillId="3" borderId="0" xfId="0" applyFont="1" applyFill="1"/>
    <xf numFmtId="165" fontId="26" fillId="3" borderId="0" xfId="0" applyNumberFormat="1" applyFont="1" applyFill="1"/>
    <xf numFmtId="165" fontId="1" fillId="3" borderId="0" xfId="0" applyNumberFormat="1" applyFont="1" applyFill="1"/>
    <xf numFmtId="165" fontId="1" fillId="0" borderId="0" xfId="0" applyNumberFormat="1" applyFont="1"/>
    <xf numFmtId="4" fontId="1" fillId="3" borderId="0" xfId="0" applyNumberFormat="1" applyFont="1" applyFill="1"/>
    <xf numFmtId="165" fontId="9" fillId="0" borderId="2" xfId="4" applyNumberFormat="1" applyFont="1" applyFill="1" applyBorder="1" applyAlignment="1">
      <alignment horizontal="left" vertical="top" wrapText="1" indent="1"/>
    </xf>
    <xf numFmtId="167" fontId="9" fillId="0" borderId="2" xfId="1" applyNumberFormat="1" applyFont="1" applyFill="1" applyBorder="1" applyAlignment="1">
      <alignment horizontal="right" vertical="center"/>
    </xf>
    <xf numFmtId="0" fontId="8" fillId="0" borderId="0" xfId="4" applyNumberFormat="1" applyFont="1" applyFill="1" applyBorder="1" applyAlignment="1" applyProtection="1">
      <alignment horizontal="center" vertical="top"/>
    </xf>
    <xf numFmtId="165" fontId="8" fillId="3" borderId="0" xfId="4" applyNumberFormat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>
      <alignment horizontal="center"/>
    </xf>
    <xf numFmtId="166" fontId="6" fillId="0" borderId="0" xfId="0" applyNumberFormat="1" applyFont="1" applyFill="1"/>
    <xf numFmtId="165" fontId="9" fillId="0" borderId="0" xfId="1" applyNumberFormat="1" applyFont="1" applyFill="1" applyBorder="1" applyAlignment="1">
      <alignment horizontal="center" vertical="center" wrapText="1"/>
    </xf>
    <xf numFmtId="167" fontId="8" fillId="0" borderId="2" xfId="4" applyNumberFormat="1" applyFont="1" applyFill="1" applyBorder="1" applyAlignment="1">
      <alignment horizontal="right" vertical="center" wrapText="1"/>
    </xf>
    <xf numFmtId="0" fontId="16" fillId="0" borderId="0" xfId="4" applyNumberFormat="1" applyFont="1" applyFill="1" applyBorder="1" applyAlignment="1" applyProtection="1">
      <alignment vertical="top"/>
    </xf>
    <xf numFmtId="4" fontId="6" fillId="0" borderId="0" xfId="0" applyNumberFormat="1" applyFont="1" applyFill="1"/>
    <xf numFmtId="49" fontId="13" fillId="0" borderId="2" xfId="2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167" fontId="19" fillId="0" borderId="2" xfId="3" applyNumberFormat="1" applyFont="1" applyFill="1" applyBorder="1" applyAlignment="1" applyProtection="1">
      <alignment horizontal="center" vertical="center" wrapText="1"/>
    </xf>
    <xf numFmtId="165" fontId="8" fillId="0" borderId="2" xfId="5" applyNumberFormat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>
      <alignment vertical="center"/>
    </xf>
    <xf numFmtId="165" fontId="9" fillId="0" borderId="2" xfId="1" applyNumberFormat="1" applyFont="1" applyFill="1" applyBorder="1" applyAlignment="1">
      <alignment horizontal="center" vertical="center"/>
    </xf>
    <xf numFmtId="0" fontId="6" fillId="3" borderId="0" xfId="0" applyFont="1" applyFill="1" applyBorder="1"/>
    <xf numFmtId="0" fontId="6" fillId="0" borderId="0" xfId="0" applyFont="1" applyFill="1" applyBorder="1"/>
    <xf numFmtId="0" fontId="6" fillId="0" borderId="0" xfId="0" applyFont="1" applyBorder="1"/>
    <xf numFmtId="167" fontId="10" fillId="0" borderId="0" xfId="0" applyNumberFormat="1" applyFont="1"/>
    <xf numFmtId="0" fontId="27" fillId="3" borderId="0" xfId="0" applyFont="1" applyFill="1"/>
    <xf numFmtId="4" fontId="27" fillId="3" borderId="0" xfId="0" applyNumberFormat="1" applyFont="1" applyFill="1"/>
    <xf numFmtId="167" fontId="8" fillId="0" borderId="2" xfId="5" applyNumberFormat="1" applyFont="1" applyFill="1" applyBorder="1" applyAlignment="1" applyProtection="1">
      <alignment horizontal="center" vertical="center"/>
    </xf>
    <xf numFmtId="167" fontId="8" fillId="0" borderId="2" xfId="5" applyNumberFormat="1" applyFont="1" applyFill="1" applyBorder="1" applyAlignment="1" applyProtection="1">
      <alignment horizontal="center" vertical="center"/>
    </xf>
    <xf numFmtId="3" fontId="9" fillId="0" borderId="2" xfId="1" applyNumberFormat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165" fontId="13" fillId="0" borderId="2" xfId="3" applyNumberFormat="1" applyFont="1" applyFill="1" applyBorder="1" applyAlignment="1" applyProtection="1">
      <alignment horizontal="center" vertical="center" wrapText="1"/>
    </xf>
    <xf numFmtId="165" fontId="13" fillId="0" borderId="6" xfId="3" applyNumberFormat="1" applyFont="1" applyFill="1" applyBorder="1" applyAlignment="1" applyProtection="1">
      <alignment horizontal="center" vertical="center" wrapText="1"/>
    </xf>
    <xf numFmtId="165" fontId="13" fillId="0" borderId="0" xfId="3" applyNumberFormat="1" applyFont="1" applyFill="1" applyBorder="1" applyAlignment="1" applyProtection="1">
      <alignment horizontal="center" vertical="center" wrapText="1"/>
    </xf>
    <xf numFmtId="0" fontId="8" fillId="6" borderId="2" xfId="1" applyFont="1" applyFill="1" applyBorder="1" applyAlignment="1">
      <alignment horizontal="center" vertical="center"/>
    </xf>
    <xf numFmtId="167" fontId="8" fillId="6" borderId="2" xfId="4" applyNumberFormat="1" applyFont="1" applyFill="1" applyBorder="1" applyAlignment="1">
      <alignment horizontal="right" vertical="center" wrapText="1"/>
    </xf>
    <xf numFmtId="0" fontId="9" fillId="6" borderId="2" xfId="4" applyNumberFormat="1" applyFont="1" applyFill="1" applyBorder="1" applyAlignment="1">
      <alignment horizontal="left" vertical="top" wrapText="1" indent="1"/>
    </xf>
    <xf numFmtId="49" fontId="8" fillId="5" borderId="2" xfId="4" applyNumberFormat="1" applyFont="1" applyFill="1" applyBorder="1" applyAlignment="1" applyProtection="1">
      <alignment horizontal="center" vertical="top"/>
    </xf>
    <xf numFmtId="167" fontId="8" fillId="5" borderId="2" xfId="4" applyNumberFormat="1" applyFont="1" applyFill="1" applyBorder="1" applyAlignment="1" applyProtection="1">
      <alignment horizontal="center" vertical="center"/>
    </xf>
    <xf numFmtId="3" fontId="9" fillId="5" borderId="2" xfId="1" applyNumberFormat="1" applyFont="1" applyFill="1" applyBorder="1" applyAlignment="1">
      <alignment horizontal="center" vertical="center"/>
    </xf>
    <xf numFmtId="167" fontId="8" fillId="5" borderId="2" xfId="4" applyNumberFormat="1" applyFont="1" applyFill="1" applyBorder="1" applyAlignment="1">
      <alignment horizontal="right" vertical="center" wrapText="1"/>
    </xf>
    <xf numFmtId="165" fontId="23" fillId="5" borderId="0" xfId="4" applyNumberFormat="1" applyFont="1" applyFill="1" applyBorder="1" applyAlignment="1" applyProtection="1">
      <alignment horizontal="right" vertical="center"/>
    </xf>
    <xf numFmtId="167" fontId="25" fillId="5" borderId="2" xfId="0" applyNumberFormat="1" applyFont="1" applyFill="1" applyBorder="1"/>
    <xf numFmtId="165" fontId="1" fillId="5" borderId="0" xfId="0" applyNumberFormat="1" applyFont="1" applyFill="1"/>
    <xf numFmtId="167" fontId="1" fillId="5" borderId="0" xfId="0" applyNumberFormat="1" applyFont="1" applyFill="1"/>
    <xf numFmtId="0" fontId="1" fillId="5" borderId="0" xfId="0" applyFont="1" applyFill="1"/>
    <xf numFmtId="167" fontId="8" fillId="6" borderId="2" xfId="4" applyNumberFormat="1" applyFont="1" applyFill="1" applyBorder="1" applyAlignment="1" applyProtection="1">
      <alignment horizontal="right" vertical="center"/>
    </xf>
    <xf numFmtId="0" fontId="16" fillId="6" borderId="2" xfId="4" applyNumberFormat="1" applyFont="1" applyFill="1" applyBorder="1" applyAlignment="1" applyProtection="1">
      <alignment vertical="top"/>
    </xf>
    <xf numFmtId="167" fontId="8" fillId="5" borderId="2" xfId="4" applyNumberFormat="1" applyFont="1" applyFill="1" applyBorder="1" applyAlignment="1" applyProtection="1">
      <alignment horizontal="right" vertical="center"/>
    </xf>
    <xf numFmtId="165" fontId="6" fillId="5" borderId="0" xfId="0" applyNumberFormat="1" applyFont="1" applyFill="1"/>
    <xf numFmtId="0" fontId="6" fillId="5" borderId="0" xfId="0" applyFont="1" applyFill="1"/>
    <xf numFmtId="167" fontId="6" fillId="5" borderId="0" xfId="0" applyNumberFormat="1" applyFont="1" applyFill="1"/>
    <xf numFmtId="49" fontId="13" fillId="6" borderId="2" xfId="2" applyNumberFormat="1" applyFont="1" applyFill="1" applyBorder="1" applyAlignment="1" applyProtection="1">
      <alignment horizontal="center" vertical="center" wrapText="1"/>
    </xf>
    <xf numFmtId="165" fontId="8" fillId="6" borderId="2" xfId="5" applyNumberFormat="1" applyFont="1" applyFill="1" applyBorder="1" applyAlignment="1" applyProtection="1">
      <alignment horizontal="center" vertical="center"/>
    </xf>
    <xf numFmtId="0" fontId="16" fillId="6" borderId="2" xfId="5" applyNumberFormat="1" applyFont="1" applyFill="1" applyBorder="1" applyAlignment="1" applyProtection="1">
      <alignment vertical="top"/>
    </xf>
    <xf numFmtId="167" fontId="8" fillId="5" borderId="2" xfId="3" applyNumberFormat="1" applyFont="1" applyFill="1" applyBorder="1" applyAlignment="1" applyProtection="1">
      <alignment horizontal="center" vertical="center" wrapText="1"/>
    </xf>
    <xf numFmtId="167" fontId="8" fillId="5" borderId="2" xfId="5" applyNumberFormat="1" applyFont="1" applyFill="1" applyBorder="1" applyAlignment="1" applyProtection="1">
      <alignment horizontal="center" vertical="center"/>
    </xf>
    <xf numFmtId="167" fontId="9" fillId="5" borderId="2" xfId="5" applyNumberFormat="1" applyFont="1" applyFill="1" applyBorder="1" applyAlignment="1" applyProtection="1">
      <alignment horizontal="center" vertical="center"/>
    </xf>
    <xf numFmtId="0" fontId="9" fillId="5" borderId="0" xfId="5" applyNumberFormat="1" applyFont="1" applyFill="1" applyBorder="1" applyAlignment="1" applyProtection="1">
      <alignment vertical="top"/>
    </xf>
    <xf numFmtId="0" fontId="9" fillId="5" borderId="1" xfId="5" applyNumberFormat="1" applyFont="1" applyFill="1" applyBorder="1" applyAlignment="1" applyProtection="1">
      <alignment vertical="top"/>
    </xf>
    <xf numFmtId="0" fontId="5" fillId="5" borderId="0" xfId="5" applyNumberFormat="1" applyFont="1" applyFill="1" applyBorder="1" applyAlignment="1" applyProtection="1">
      <alignment horizontal="center" vertical="top" wrapText="1"/>
    </xf>
    <xf numFmtId="167" fontId="10" fillId="5" borderId="0" xfId="0" applyNumberFormat="1" applyFont="1" applyFill="1"/>
    <xf numFmtId="4" fontId="6" fillId="5" borderId="0" xfId="0" applyNumberFormat="1" applyFont="1" applyFill="1"/>
    <xf numFmtId="167" fontId="8" fillId="0" borderId="0" xfId="5" applyNumberFormat="1" applyFont="1" applyFill="1" applyBorder="1" applyAlignment="1" applyProtection="1">
      <alignment horizontal="center" vertical="center"/>
    </xf>
    <xf numFmtId="167" fontId="16" fillId="0" borderId="0" xfId="5" applyNumberFormat="1" applyFont="1" applyFill="1" applyBorder="1" applyAlignment="1" applyProtection="1">
      <alignment vertical="top"/>
    </xf>
    <xf numFmtId="0" fontId="9" fillId="0" borderId="0" xfId="5" applyNumberFormat="1" applyFont="1" applyFill="1" applyBorder="1" applyAlignment="1" applyProtection="1">
      <alignment horizontal="center" vertical="top" wrapText="1"/>
    </xf>
    <xf numFmtId="165" fontId="9" fillId="0" borderId="0" xfId="5" applyNumberFormat="1" applyFont="1" applyFill="1" applyBorder="1" applyAlignment="1" applyProtection="1">
      <alignment horizontal="center" vertical="top"/>
    </xf>
    <xf numFmtId="167" fontId="9" fillId="0" borderId="0" xfId="5" applyNumberFormat="1" applyFont="1" applyFill="1" applyBorder="1" applyAlignment="1" applyProtection="1">
      <alignment horizontal="center" vertical="top"/>
    </xf>
    <xf numFmtId="49" fontId="32" fillId="0" borderId="2" xfId="4" applyNumberFormat="1" applyFont="1" applyFill="1" applyBorder="1" applyAlignment="1" applyProtection="1">
      <alignment horizontal="center" vertical="top"/>
    </xf>
    <xf numFmtId="49" fontId="32" fillId="6" borderId="2" xfId="4" applyNumberFormat="1" applyFont="1" applyFill="1" applyBorder="1" applyAlignment="1" applyProtection="1">
      <alignment horizontal="center" vertical="center" wrapText="1"/>
    </xf>
    <xf numFmtId="0" fontId="32" fillId="6" borderId="2" xfId="7" applyNumberFormat="1" applyFont="1" applyFill="1" applyBorder="1" applyAlignment="1" applyProtection="1">
      <alignment horizontal="center" vertical="center" wrapText="1"/>
    </xf>
    <xf numFmtId="2" fontId="32" fillId="0" borderId="2" xfId="1" applyNumberFormat="1" applyFont="1" applyFill="1" applyBorder="1" applyAlignment="1" applyProtection="1">
      <alignment horizontal="center" vertical="center" wrapText="1"/>
    </xf>
    <xf numFmtId="49" fontId="32" fillId="0" borderId="2" xfId="4" applyNumberFormat="1" applyFont="1" applyFill="1" applyBorder="1" applyAlignment="1" applyProtection="1">
      <alignment horizontal="center" vertical="center" wrapText="1"/>
    </xf>
    <xf numFmtId="0" fontId="32" fillId="0" borderId="2" xfId="1" applyFont="1" applyFill="1" applyBorder="1" applyAlignment="1">
      <alignment horizontal="center" vertical="center" wrapText="1"/>
    </xf>
    <xf numFmtId="49" fontId="32" fillId="6" borderId="2" xfId="2" applyNumberFormat="1" applyFont="1" applyFill="1" applyBorder="1" applyAlignment="1" applyProtection="1">
      <alignment horizontal="center" vertical="center" wrapText="1"/>
    </xf>
    <xf numFmtId="49" fontId="32" fillId="0" borderId="2" xfId="2" applyNumberFormat="1" applyFont="1" applyFill="1" applyBorder="1" applyAlignment="1" applyProtection="1">
      <alignment horizontal="center" vertical="center" wrapText="1"/>
    </xf>
    <xf numFmtId="0" fontId="32" fillId="6" borderId="2" xfId="1" applyFont="1" applyFill="1" applyBorder="1" applyAlignment="1">
      <alignment horizontal="center" vertical="center"/>
    </xf>
    <xf numFmtId="0" fontId="32" fillId="6" borderId="2" xfId="1" applyFont="1" applyFill="1" applyBorder="1" applyAlignment="1">
      <alignment horizontal="center" vertical="center" wrapText="1"/>
    </xf>
    <xf numFmtId="0" fontId="34" fillId="0" borderId="0" xfId="1" applyFont="1" applyFill="1" applyBorder="1" applyAlignment="1">
      <alignment horizontal="right" vertical="center"/>
    </xf>
    <xf numFmtId="0" fontId="35" fillId="0" borderId="0" xfId="0" applyFont="1"/>
    <xf numFmtId="167" fontId="36" fillId="0" borderId="0" xfId="5" applyNumberFormat="1" applyFont="1" applyFill="1" applyBorder="1" applyAlignment="1" applyProtection="1">
      <alignment vertical="top"/>
    </xf>
    <xf numFmtId="4" fontId="9" fillId="0" borderId="2" xfId="1" applyNumberFormat="1" applyFont="1" applyFill="1" applyBorder="1" applyAlignment="1">
      <alignment horizontal="center" vertical="center"/>
    </xf>
    <xf numFmtId="2" fontId="9" fillId="5" borderId="2" xfId="1" applyNumberFormat="1" applyFont="1" applyFill="1" applyBorder="1" applyAlignment="1">
      <alignment horizontal="center" vertical="center"/>
    </xf>
    <xf numFmtId="167" fontId="21" fillId="0" borderId="0" xfId="0" applyNumberFormat="1" applyFont="1"/>
    <xf numFmtId="167" fontId="37" fillId="0" borderId="0" xfId="4" applyNumberFormat="1" applyFont="1" applyFill="1" applyBorder="1" applyAlignment="1" applyProtection="1">
      <alignment vertical="top"/>
    </xf>
    <xf numFmtId="0" fontId="32" fillId="7" borderId="2" xfId="1" applyFont="1" applyFill="1" applyBorder="1" applyAlignment="1">
      <alignment horizontal="center" vertical="center" wrapText="1"/>
    </xf>
    <xf numFmtId="0" fontId="6" fillId="7" borderId="0" xfId="0" applyFont="1" applyFill="1"/>
    <xf numFmtId="4" fontId="6" fillId="7" borderId="0" xfId="0" applyNumberFormat="1" applyFont="1" applyFill="1"/>
    <xf numFmtId="3" fontId="9" fillId="7" borderId="2" xfId="1" applyNumberFormat="1" applyFont="1" applyFill="1" applyBorder="1" applyAlignment="1">
      <alignment horizontal="center" vertical="center"/>
    </xf>
    <xf numFmtId="167" fontId="6" fillId="7" borderId="0" xfId="0" applyNumberFormat="1" applyFont="1" applyFill="1"/>
    <xf numFmtId="49" fontId="32" fillId="7" borderId="2" xfId="2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/>
    <xf numFmtId="4" fontId="1" fillId="0" borderId="0" xfId="0" applyNumberFormat="1" applyFont="1" applyFill="1"/>
    <xf numFmtId="167" fontId="1" fillId="0" borderId="0" xfId="0" applyNumberFormat="1" applyFont="1" applyFill="1"/>
    <xf numFmtId="17" fontId="1" fillId="0" borderId="0" xfId="0" applyNumberFormat="1" applyFont="1" applyFill="1"/>
    <xf numFmtId="4" fontId="38" fillId="3" borderId="0" xfId="0" applyNumberFormat="1" applyFont="1" applyFill="1"/>
    <xf numFmtId="0" fontId="38" fillId="3" borderId="0" xfId="0" applyFont="1" applyFill="1"/>
    <xf numFmtId="0" fontId="39" fillId="6" borderId="2" xfId="7" applyNumberFormat="1" applyFont="1" applyFill="1" applyBorder="1" applyAlignment="1" applyProtection="1">
      <alignment horizontal="center" vertical="center" wrapText="1"/>
    </xf>
    <xf numFmtId="167" fontId="9" fillId="0" borderId="0" xfId="5" applyNumberFormat="1" applyFont="1" applyFill="1" applyBorder="1" applyAlignment="1" applyProtection="1">
      <alignment horizontal="left" vertical="top"/>
    </xf>
    <xf numFmtId="49" fontId="8" fillId="0" borderId="2" xfId="4" applyNumberFormat="1" applyFont="1" applyFill="1" applyBorder="1" applyAlignment="1" applyProtection="1">
      <alignment horizontal="center" vertical="top"/>
    </xf>
    <xf numFmtId="0" fontId="8" fillId="0" borderId="2" xfId="7" applyNumberFormat="1" applyFont="1" applyFill="1" applyBorder="1" applyAlignment="1" applyProtection="1">
      <alignment horizontal="center" vertical="center" wrapText="1"/>
    </xf>
    <xf numFmtId="167" fontId="9" fillId="0" borderId="2" xfId="1" applyNumberFormat="1" applyFont="1" applyFill="1" applyBorder="1" applyAlignment="1">
      <alignment horizontal="center" vertical="center"/>
    </xf>
    <xf numFmtId="167" fontId="8" fillId="0" borderId="2" xfId="5" applyNumberFormat="1" applyFont="1" applyFill="1" applyBorder="1" applyAlignment="1" applyProtection="1">
      <alignment horizontal="center" vertical="center"/>
    </xf>
    <xf numFmtId="167" fontId="8" fillId="6" borderId="2" xfId="5" applyNumberFormat="1" applyFont="1" applyFill="1" applyBorder="1" applyAlignment="1" applyProtection="1">
      <alignment horizontal="center" vertical="center"/>
    </xf>
    <xf numFmtId="167" fontId="8" fillId="0" borderId="2" xfId="1" applyNumberFormat="1" applyFont="1" applyFill="1" applyBorder="1" applyAlignment="1">
      <alignment horizontal="center" vertical="center"/>
    </xf>
    <xf numFmtId="3" fontId="9" fillId="0" borderId="2" xfId="1" applyNumberFormat="1" applyFont="1" applyFill="1" applyBorder="1" applyAlignment="1" applyProtection="1">
      <alignment horizontal="center" vertical="center" wrapText="1"/>
    </xf>
    <xf numFmtId="0" fontId="32" fillId="0" borderId="2" xfId="7" applyNumberFormat="1" applyFont="1" applyFill="1" applyBorder="1" applyAlignment="1" applyProtection="1">
      <alignment horizontal="center" vertical="center" wrapText="1"/>
    </xf>
    <xf numFmtId="167" fontId="8" fillId="5" borderId="2" xfId="1" applyNumberFormat="1" applyFont="1" applyFill="1" applyBorder="1" applyAlignment="1">
      <alignment horizontal="center" vertical="center"/>
    </xf>
    <xf numFmtId="3" fontId="9" fillId="3" borderId="2" xfId="1" applyNumberFormat="1" applyFont="1" applyFill="1" applyBorder="1" applyAlignment="1">
      <alignment horizontal="center" vertical="center"/>
    </xf>
    <xf numFmtId="49" fontId="8" fillId="0" borderId="2" xfId="4" applyNumberFormat="1" applyFont="1" applyFill="1" applyBorder="1" applyAlignment="1" applyProtection="1">
      <alignment vertical="top"/>
    </xf>
    <xf numFmtId="4" fontId="27" fillId="0" borderId="0" xfId="0" applyNumberFormat="1" applyFont="1" applyFill="1" applyAlignment="1">
      <alignment vertical="center"/>
    </xf>
    <xf numFmtId="0" fontId="27" fillId="0" borderId="0" xfId="0" applyFont="1" applyFill="1" applyAlignment="1">
      <alignment wrapText="1"/>
    </xf>
    <xf numFmtId="4" fontId="27" fillId="3" borderId="0" xfId="0" applyNumberFormat="1" applyFont="1" applyFill="1" applyAlignment="1">
      <alignment horizontal="left" vertical="center"/>
    </xf>
    <xf numFmtId="4" fontId="27" fillId="3" borderId="0" xfId="0" applyNumberFormat="1" applyFont="1" applyFill="1" applyAlignment="1">
      <alignment vertical="center"/>
    </xf>
    <xf numFmtId="4" fontId="27" fillId="0" borderId="0" xfId="0" applyNumberFormat="1" applyFont="1" applyFill="1" applyAlignment="1">
      <alignment vertical="center" wrapText="1"/>
    </xf>
    <xf numFmtId="49" fontId="8" fillId="0" borderId="2" xfId="4" applyNumberFormat="1" applyFont="1" applyFill="1" applyBorder="1" applyAlignment="1" applyProtection="1">
      <alignment horizontal="center" vertical="top"/>
    </xf>
    <xf numFmtId="0" fontId="8" fillId="0" borderId="2" xfId="7" applyNumberFormat="1" applyFont="1" applyFill="1" applyBorder="1" applyAlignment="1" applyProtection="1">
      <alignment horizontal="center" vertical="center" wrapText="1"/>
    </xf>
    <xf numFmtId="0" fontId="7" fillId="0" borderId="0" xfId="7" applyNumberFormat="1" applyFont="1" applyFill="1" applyBorder="1" applyAlignment="1" applyProtection="1">
      <alignment vertical="top"/>
    </xf>
    <xf numFmtId="0" fontId="32" fillId="0" borderId="0" xfId="7" applyNumberFormat="1" applyFont="1" applyFill="1" applyBorder="1" applyAlignment="1" applyProtection="1">
      <alignment vertical="top"/>
    </xf>
    <xf numFmtId="0" fontId="23" fillId="0" borderId="0" xfId="7" applyNumberFormat="1" applyFont="1" applyFill="1" applyBorder="1" applyAlignment="1" applyProtection="1">
      <alignment vertical="top"/>
    </xf>
    <xf numFmtId="0" fontId="5" fillId="0" borderId="0" xfId="7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right" vertical="top"/>
    </xf>
    <xf numFmtId="0" fontId="5" fillId="0" borderId="0" xfId="7" applyNumberFormat="1" applyFont="1" applyFill="1" applyBorder="1" applyAlignment="1" applyProtection="1">
      <alignment horizontal="center" vertical="center"/>
    </xf>
    <xf numFmtId="0" fontId="31" fillId="0" borderId="0" xfId="7" applyNumberFormat="1" applyFont="1" applyFill="1" applyBorder="1" applyAlignment="1" applyProtection="1">
      <alignment vertical="top"/>
    </xf>
    <xf numFmtId="0" fontId="18" fillId="0" borderId="0" xfId="7" applyNumberFormat="1" applyFont="1" applyFill="1" applyBorder="1" applyAlignment="1" applyProtection="1">
      <alignment horizontal="center" vertical="center"/>
    </xf>
    <xf numFmtId="0" fontId="28" fillId="0" borderId="0" xfId="7" applyNumberFormat="1" applyFont="1" applyFill="1" applyBorder="1" applyAlignment="1" applyProtection="1">
      <alignment horizontal="center" vertical="center"/>
    </xf>
    <xf numFmtId="0" fontId="5" fillId="0" borderId="0" xfId="7" applyNumberFormat="1" applyFont="1" applyFill="1" applyBorder="1" applyAlignment="1" applyProtection="1">
      <alignment vertical="top" wrapText="1"/>
    </xf>
    <xf numFmtId="0" fontId="9" fillId="0" borderId="0" xfId="7" applyNumberFormat="1" applyFont="1" applyFill="1" applyBorder="1" applyAlignment="1" applyProtection="1">
      <alignment horizontal="right" vertical="top" wrapText="1"/>
    </xf>
    <xf numFmtId="0" fontId="20" fillId="0" borderId="0" xfId="7" applyNumberFormat="1" applyFont="1" applyFill="1" applyBorder="1" applyAlignment="1" applyProtection="1">
      <alignment vertical="top" wrapText="1"/>
    </xf>
    <xf numFmtId="0" fontId="22" fillId="0" borderId="0" xfId="7" applyNumberFormat="1" applyFont="1" applyFill="1" applyBorder="1" applyAlignment="1" applyProtection="1">
      <alignment horizontal="center" vertical="center"/>
    </xf>
    <xf numFmtId="0" fontId="33" fillId="0" borderId="0" xfId="7" applyNumberFormat="1" applyFont="1" applyFill="1" applyBorder="1" applyAlignment="1" applyProtection="1">
      <alignment vertical="top"/>
    </xf>
    <xf numFmtId="0" fontId="22" fillId="0" borderId="0" xfId="7" applyNumberFormat="1" applyFont="1" applyFill="1" applyBorder="1" applyAlignment="1" applyProtection="1">
      <alignment vertical="top"/>
    </xf>
    <xf numFmtId="0" fontId="22" fillId="0" borderId="0" xfId="7" applyNumberFormat="1" applyFont="1" applyFill="1" applyBorder="1" applyAlignment="1" applyProtection="1">
      <alignment vertical="top" wrapText="1"/>
    </xf>
    <xf numFmtId="0" fontId="22" fillId="0" borderId="0" xfId="7" applyNumberFormat="1" applyFont="1" applyFill="1" applyBorder="1" applyAlignment="1" applyProtection="1">
      <alignment horizontal="left" vertical="top" wrapText="1"/>
    </xf>
    <xf numFmtId="167" fontId="9" fillId="6" borderId="2" xfId="4" applyNumberFormat="1" applyFont="1" applyFill="1" applyBorder="1" applyAlignment="1" applyProtection="1">
      <alignment horizontal="center" vertical="center"/>
    </xf>
    <xf numFmtId="49" fontId="9" fillId="0" borderId="2" xfId="1" applyNumberFormat="1" applyFont="1" applyFill="1" applyBorder="1" applyAlignment="1" applyProtection="1">
      <alignment horizontal="center" vertical="center" wrapText="1"/>
    </xf>
    <xf numFmtId="167" fontId="9" fillId="6" borderId="2" xfId="1" applyNumberFormat="1" applyFont="1" applyFill="1" applyBorder="1" applyAlignment="1">
      <alignment horizontal="center" vertical="center"/>
    </xf>
    <xf numFmtId="167" fontId="8" fillId="0" borderId="2" xfId="4" applyNumberFormat="1" applyFont="1" applyFill="1" applyBorder="1" applyAlignment="1" applyProtection="1">
      <alignment horizontal="center" vertical="center" wrapText="1"/>
    </xf>
    <xf numFmtId="167" fontId="9" fillId="0" borderId="2" xfId="1" applyNumberFormat="1" applyFont="1" applyFill="1" applyBorder="1" applyAlignment="1" applyProtection="1">
      <alignment horizontal="center" vertical="center" wrapText="1"/>
    </xf>
    <xf numFmtId="167" fontId="8" fillId="0" borderId="2" xfId="3" applyNumberFormat="1" applyFont="1" applyFill="1" applyBorder="1" applyAlignment="1" applyProtection="1">
      <alignment horizontal="center" vertical="center" wrapText="1"/>
    </xf>
    <xf numFmtId="167" fontId="8" fillId="0" borderId="2" xfId="4" applyNumberFormat="1" applyFont="1" applyFill="1" applyBorder="1" applyAlignment="1" applyProtection="1">
      <alignment horizontal="center" vertical="center"/>
    </xf>
    <xf numFmtId="0" fontId="8" fillId="6" borderId="2" xfId="1" applyFont="1" applyFill="1" applyBorder="1" applyAlignment="1">
      <alignment horizontal="center" vertical="center" wrapText="1"/>
    </xf>
    <xf numFmtId="167" fontId="40" fillId="0" borderId="2" xfId="1" applyNumberFormat="1" applyFont="1" applyFill="1" applyBorder="1" applyAlignment="1" applyProtection="1">
      <alignment horizontal="center" vertical="center" wrapText="1"/>
    </xf>
    <xf numFmtId="167" fontId="9" fillId="6" borderId="2" xfId="5" applyNumberFormat="1" applyFont="1" applyFill="1" applyBorder="1" applyAlignment="1" applyProtection="1">
      <alignment horizontal="center" vertical="center"/>
    </xf>
    <xf numFmtId="167" fontId="8" fillId="0" borderId="2" xfId="1" applyNumberFormat="1" applyFont="1" applyFill="1" applyBorder="1" applyAlignment="1" applyProtection="1">
      <alignment horizontal="center" vertical="center" wrapText="1"/>
    </xf>
    <xf numFmtId="167" fontId="8" fillId="6" borderId="2" xfId="1" applyNumberFormat="1" applyFont="1" applyFill="1" applyBorder="1" applyAlignment="1">
      <alignment horizontal="center" vertical="center"/>
    </xf>
    <xf numFmtId="49" fontId="8" fillId="0" borderId="2" xfId="4" applyNumberFormat="1" applyFont="1" applyFill="1" applyBorder="1" applyAlignment="1" applyProtection="1">
      <alignment horizontal="center" vertical="center" wrapText="1"/>
    </xf>
    <xf numFmtId="167" fontId="41" fillId="0" borderId="2" xfId="1" applyNumberFormat="1" applyFont="1" applyFill="1" applyBorder="1" applyAlignment="1" applyProtection="1">
      <alignment horizontal="center" vertical="center" wrapText="1"/>
    </xf>
    <xf numFmtId="167" fontId="8" fillId="7" borderId="2" xfId="3" applyNumberFormat="1" applyFont="1" applyFill="1" applyBorder="1" applyAlignment="1" applyProtection="1">
      <alignment horizontal="center" vertical="center" wrapText="1"/>
    </xf>
    <xf numFmtId="167" fontId="9" fillId="6" borderId="2" xfId="1" applyNumberFormat="1" applyFont="1" applyFill="1" applyBorder="1" applyAlignment="1">
      <alignment horizontal="center" vertical="center" wrapText="1"/>
    </xf>
    <xf numFmtId="167" fontId="8" fillId="6" borderId="2" xfId="4" applyNumberFormat="1" applyFont="1" applyFill="1" applyBorder="1" applyAlignment="1" applyProtection="1">
      <alignment horizontal="center" vertical="center"/>
    </xf>
    <xf numFmtId="167" fontId="9" fillId="6" borderId="2" xfId="3" applyNumberFormat="1" applyFont="1" applyFill="1" applyBorder="1" applyAlignment="1" applyProtection="1">
      <alignment horizontal="center" vertical="center" wrapText="1"/>
    </xf>
    <xf numFmtId="167" fontId="9" fillId="7" borderId="2" xfId="3" applyNumberFormat="1" applyFont="1" applyFill="1" applyBorder="1" applyAlignment="1" applyProtection="1">
      <alignment horizontal="center" vertical="center" wrapText="1"/>
    </xf>
    <xf numFmtId="167" fontId="9" fillId="7" borderId="2" xfId="5" applyNumberFormat="1" applyFont="1" applyFill="1" applyBorder="1" applyAlignment="1" applyProtection="1">
      <alignment horizontal="center" vertical="center"/>
    </xf>
    <xf numFmtId="0" fontId="8" fillId="6" borderId="2" xfId="7" applyNumberFormat="1" applyFont="1" applyFill="1" applyBorder="1" applyAlignment="1" applyProtection="1">
      <alignment horizontal="center" vertical="center" wrapText="1"/>
    </xf>
    <xf numFmtId="167" fontId="8" fillId="6" borderId="2" xfId="5" applyNumberFormat="1" applyFont="1" applyFill="1" applyBorder="1" applyAlignment="1" applyProtection="1">
      <alignment horizontal="center" vertical="center"/>
    </xf>
    <xf numFmtId="167" fontId="8" fillId="7" borderId="2" xfId="5" applyNumberFormat="1" applyFont="1" applyFill="1" applyBorder="1" applyAlignment="1" applyProtection="1">
      <alignment horizontal="center" vertical="center"/>
    </xf>
    <xf numFmtId="167" fontId="8" fillId="0" borderId="2" xfId="7" applyNumberFormat="1" applyFont="1" applyFill="1" applyBorder="1" applyAlignment="1" applyProtection="1">
      <alignment horizontal="center" vertical="center" wrapText="1"/>
    </xf>
    <xf numFmtId="167" fontId="9" fillId="0" borderId="2" xfId="1" applyNumberFormat="1" applyFont="1" applyFill="1" applyBorder="1" applyAlignment="1">
      <alignment horizontal="center" vertical="center" wrapText="1"/>
    </xf>
    <xf numFmtId="167" fontId="40" fillId="0" borderId="2" xfId="1" applyNumberFormat="1" applyFont="1" applyFill="1" applyBorder="1" applyAlignment="1">
      <alignment horizontal="center" vertical="center" wrapText="1"/>
    </xf>
    <xf numFmtId="49" fontId="8" fillId="6" borderId="2" xfId="4" applyNumberFormat="1" applyFont="1" applyFill="1" applyBorder="1" applyAlignment="1" applyProtection="1">
      <alignment horizontal="center" vertical="center" wrapText="1"/>
    </xf>
    <xf numFmtId="0" fontId="8" fillId="0" borderId="2" xfId="7" applyNumberFormat="1" applyFont="1" applyFill="1" applyBorder="1" applyAlignment="1" applyProtection="1">
      <alignment horizontal="center" vertical="center" wrapText="1"/>
    </xf>
    <xf numFmtId="167" fontId="9" fillId="0" borderId="2" xfId="7" applyNumberFormat="1" applyFont="1" applyFill="1" applyBorder="1" applyAlignment="1" applyProtection="1">
      <alignment horizontal="center" vertical="center" wrapText="1"/>
    </xf>
    <xf numFmtId="167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49" fontId="9" fillId="7" borderId="2" xfId="1" applyNumberFormat="1" applyFont="1" applyFill="1" applyBorder="1" applyAlignment="1" applyProtection="1">
      <alignment horizontal="center" vertical="center" wrapText="1"/>
    </xf>
    <xf numFmtId="167" fontId="9" fillId="7" borderId="2" xfId="1" applyNumberFormat="1" applyFont="1" applyFill="1" applyBorder="1" applyAlignment="1" applyProtection="1">
      <alignment horizontal="center" vertical="center" wrapText="1"/>
    </xf>
    <xf numFmtId="167" fontId="9" fillId="0" borderId="2" xfId="4" applyNumberFormat="1" applyFont="1" applyFill="1" applyBorder="1" applyAlignment="1" applyProtection="1">
      <alignment horizontal="center" vertical="center"/>
    </xf>
    <xf numFmtId="0" fontId="8" fillId="0" borderId="2" xfId="2" applyNumberFormat="1" applyFont="1" applyFill="1" applyBorder="1" applyAlignment="1" applyProtection="1">
      <alignment horizontal="center" vertical="center" wrapText="1"/>
    </xf>
    <xf numFmtId="49" fontId="8" fillId="0" borderId="2" xfId="2" applyNumberFormat="1" applyFont="1" applyFill="1" applyBorder="1" applyAlignment="1" applyProtection="1">
      <alignment horizontal="center" vertical="center" wrapText="1"/>
    </xf>
    <xf numFmtId="167" fontId="19" fillId="6" borderId="2" xfId="3" applyNumberFormat="1" applyFont="1" applyFill="1" applyBorder="1" applyAlignment="1" applyProtection="1">
      <alignment horizontal="center" vertical="center" wrapText="1"/>
    </xf>
    <xf numFmtId="167" fontId="13" fillId="6" borderId="2" xfId="5" applyNumberFormat="1" applyFont="1" applyFill="1" applyBorder="1" applyAlignment="1" applyProtection="1">
      <alignment horizontal="center" vertical="center"/>
    </xf>
    <xf numFmtId="167" fontId="9" fillId="0" borderId="2" xfId="3" applyNumberFormat="1" applyFont="1" applyFill="1" applyBorder="1" applyAlignment="1" applyProtection="1">
      <alignment horizontal="center" vertical="center" wrapText="1"/>
    </xf>
    <xf numFmtId="167" fontId="42" fillId="0" borderId="2" xfId="4" applyNumberFormat="1" applyFont="1" applyFill="1" applyBorder="1" applyAlignment="1" applyProtection="1">
      <alignment horizontal="center" vertical="center"/>
    </xf>
    <xf numFmtId="167" fontId="42" fillId="0" borderId="2" xfId="3" applyNumberFormat="1" applyFont="1" applyFill="1" applyBorder="1" applyAlignment="1" applyProtection="1">
      <alignment horizontal="center" vertical="center" wrapText="1"/>
    </xf>
    <xf numFmtId="49" fontId="8" fillId="0" borderId="8" xfId="3" applyNumberFormat="1" applyFont="1" applyFill="1" applyBorder="1" applyAlignment="1" applyProtection="1">
      <alignment horizontal="center" vertical="top" wrapText="1"/>
    </xf>
    <xf numFmtId="49" fontId="8" fillId="0" borderId="6" xfId="3" applyNumberFormat="1" applyFont="1" applyFill="1" applyBorder="1" applyAlignment="1" applyProtection="1">
      <alignment horizontal="center" vertical="top" wrapText="1"/>
    </xf>
    <xf numFmtId="49" fontId="8" fillId="0" borderId="7" xfId="4" applyNumberFormat="1" applyFont="1" applyFill="1" applyBorder="1" applyAlignment="1" applyProtection="1">
      <alignment horizontal="center" vertical="top"/>
    </xf>
    <xf numFmtId="49" fontId="8" fillId="0" borderId="8" xfId="4" applyNumberFormat="1" applyFont="1" applyFill="1" applyBorder="1" applyAlignment="1" applyProtection="1">
      <alignment horizontal="center" vertical="top"/>
    </xf>
    <xf numFmtId="49" fontId="8" fillId="0" borderId="6" xfId="4" applyNumberFormat="1" applyFont="1" applyFill="1" applyBorder="1" applyAlignment="1" applyProtection="1">
      <alignment horizontal="center" vertical="top"/>
    </xf>
    <xf numFmtId="49" fontId="9" fillId="0" borderId="2" xfId="1" applyNumberFormat="1" applyFont="1" applyFill="1" applyBorder="1" applyAlignment="1">
      <alignment horizontal="center" vertical="center" wrapText="1"/>
    </xf>
    <xf numFmtId="49" fontId="8" fillId="0" borderId="8" xfId="7" applyNumberFormat="1" applyFont="1" applyFill="1" applyBorder="1" applyAlignment="1" applyProtection="1">
      <alignment horizontal="center" vertical="top" wrapText="1"/>
    </xf>
    <xf numFmtId="49" fontId="8" fillId="0" borderId="6" xfId="7" applyNumberFormat="1" applyFont="1" applyFill="1" applyBorder="1" applyAlignment="1" applyProtection="1">
      <alignment horizontal="center" vertical="top" wrapText="1"/>
    </xf>
    <xf numFmtId="49" fontId="8" fillId="0" borderId="7" xfId="1" applyNumberFormat="1" applyFont="1" applyFill="1" applyBorder="1" applyAlignment="1" applyProtection="1">
      <alignment horizontal="center" vertical="top" wrapText="1"/>
    </xf>
    <xf numFmtId="49" fontId="8" fillId="0" borderId="8" xfId="1" applyNumberFormat="1" applyFont="1" applyFill="1" applyBorder="1" applyAlignment="1" applyProtection="1">
      <alignment horizontal="center" vertical="top" wrapText="1"/>
    </xf>
    <xf numFmtId="49" fontId="8" fillId="0" borderId="6" xfId="1" applyNumberFormat="1" applyFont="1" applyFill="1" applyBorder="1" applyAlignment="1" applyProtection="1">
      <alignment horizontal="center" vertical="top" wrapText="1"/>
    </xf>
    <xf numFmtId="49" fontId="8" fillId="0" borderId="7" xfId="7" applyNumberFormat="1" applyFont="1" applyFill="1" applyBorder="1" applyAlignment="1" applyProtection="1">
      <alignment horizontal="center" vertical="top"/>
    </xf>
    <xf numFmtId="49" fontId="8" fillId="0" borderId="8" xfId="7" applyNumberFormat="1" applyFont="1" applyFill="1" applyBorder="1" applyAlignment="1" applyProtection="1">
      <alignment horizontal="center" vertical="top"/>
    </xf>
    <xf numFmtId="49" fontId="8" fillId="0" borderId="6" xfId="7" applyNumberFormat="1" applyFont="1" applyFill="1" applyBorder="1" applyAlignment="1" applyProtection="1">
      <alignment horizontal="center" vertical="top"/>
    </xf>
    <xf numFmtId="49" fontId="8" fillId="0" borderId="7" xfId="7" applyNumberFormat="1" applyFont="1" applyFill="1" applyBorder="1" applyAlignment="1" applyProtection="1">
      <alignment horizontal="center" vertical="top" wrapText="1"/>
    </xf>
    <xf numFmtId="49" fontId="8" fillId="6" borderId="2" xfId="7" applyNumberFormat="1" applyFont="1" applyFill="1" applyBorder="1" applyAlignment="1" applyProtection="1">
      <alignment horizontal="center" vertical="top"/>
    </xf>
    <xf numFmtId="49" fontId="8" fillId="0" borderId="2" xfId="1" applyNumberFormat="1" applyFont="1" applyFill="1" applyBorder="1" applyAlignment="1" applyProtection="1">
      <alignment horizontal="center" vertical="top" wrapText="1"/>
    </xf>
    <xf numFmtId="49" fontId="8" fillId="0" borderId="2" xfId="4" applyNumberFormat="1" applyFont="1" applyFill="1" applyBorder="1" applyAlignment="1" applyProtection="1">
      <alignment horizontal="center" vertical="top"/>
    </xf>
    <xf numFmtId="49" fontId="8" fillId="0" borderId="2" xfId="7" applyNumberFormat="1" applyFont="1" applyFill="1" applyBorder="1" applyAlignment="1" applyProtection="1">
      <alignment horizontal="center" vertical="top" wrapText="1"/>
    </xf>
    <xf numFmtId="49" fontId="8" fillId="0" borderId="2" xfId="4" applyNumberFormat="1" applyFont="1" applyFill="1" applyBorder="1" applyAlignment="1" applyProtection="1">
      <alignment horizontal="center" vertical="top" wrapText="1"/>
    </xf>
    <xf numFmtId="49" fontId="8" fillId="6" borderId="2" xfId="5" applyNumberFormat="1" applyFont="1" applyFill="1" applyBorder="1" applyAlignment="1" applyProtection="1">
      <alignment horizontal="center" vertical="top"/>
    </xf>
    <xf numFmtId="49" fontId="8" fillId="0" borderId="2" xfId="3" applyNumberFormat="1" applyFont="1" applyFill="1" applyBorder="1" applyAlignment="1" applyProtection="1">
      <alignment horizontal="center" vertical="top" wrapText="1"/>
    </xf>
    <xf numFmtId="49" fontId="8" fillId="6" borderId="2" xfId="4" applyNumberFormat="1" applyFont="1" applyFill="1" applyBorder="1" applyAlignment="1" applyProtection="1">
      <alignment horizontal="center" vertical="top"/>
    </xf>
    <xf numFmtId="49" fontId="8" fillId="7" borderId="2" xfId="3" applyNumberFormat="1" applyFont="1" applyFill="1" applyBorder="1" applyAlignment="1" applyProtection="1">
      <alignment horizontal="center" vertical="top" wrapText="1"/>
    </xf>
    <xf numFmtId="167" fontId="9" fillId="6" borderId="2" xfId="4" applyNumberFormat="1" applyFont="1" applyFill="1" applyBorder="1" applyAlignment="1" applyProtection="1">
      <alignment horizontal="center" vertical="center"/>
    </xf>
    <xf numFmtId="49" fontId="9" fillId="0" borderId="2" xfId="1" applyNumberFormat="1" applyFont="1" applyFill="1" applyBorder="1" applyAlignment="1" applyProtection="1">
      <alignment horizontal="center" vertical="center" wrapText="1"/>
    </xf>
    <xf numFmtId="2" fontId="9" fillId="0" borderId="2" xfId="1" applyNumberFormat="1" applyFont="1" applyFill="1" applyBorder="1" applyAlignment="1" applyProtection="1">
      <alignment horizontal="center" vertical="center" wrapText="1"/>
    </xf>
    <xf numFmtId="167" fontId="9" fillId="6" borderId="2" xfId="1" applyNumberFormat="1" applyFont="1" applyFill="1" applyBorder="1" applyAlignment="1">
      <alignment horizontal="center" vertical="center"/>
    </xf>
    <xf numFmtId="167" fontId="8" fillId="0" borderId="2" xfId="4" applyNumberFormat="1" applyFont="1" applyFill="1" applyBorder="1" applyAlignment="1" applyProtection="1">
      <alignment horizontal="center" vertical="center" wrapText="1"/>
    </xf>
    <xf numFmtId="167" fontId="9" fillId="0" borderId="2" xfId="1" applyNumberFormat="1" applyFont="1" applyFill="1" applyBorder="1" applyAlignment="1" applyProtection="1">
      <alignment horizontal="center" vertical="center" wrapText="1"/>
    </xf>
    <xf numFmtId="2" fontId="8" fillId="0" borderId="2" xfId="1" applyNumberFormat="1" applyFont="1" applyFill="1" applyBorder="1" applyAlignment="1" applyProtection="1">
      <alignment horizontal="center" vertical="center" wrapText="1"/>
    </xf>
    <xf numFmtId="0" fontId="8" fillId="0" borderId="2" xfId="1" applyNumberFormat="1" applyFont="1" applyFill="1" applyBorder="1" applyAlignment="1" applyProtection="1">
      <alignment horizontal="left" vertical="top" wrapText="1"/>
    </xf>
    <xf numFmtId="2" fontId="31" fillId="0" borderId="2" xfId="1" applyNumberFormat="1" applyFont="1" applyFill="1" applyBorder="1" applyAlignment="1" applyProtection="1">
      <alignment horizontal="center" vertical="center" wrapText="1"/>
    </xf>
    <xf numFmtId="167" fontId="9" fillId="5" borderId="2" xfId="1" applyNumberFormat="1" applyFont="1" applyFill="1" applyBorder="1" applyAlignment="1">
      <alignment horizontal="center" vertical="center"/>
    </xf>
    <xf numFmtId="49" fontId="8" fillId="0" borderId="2" xfId="4" applyNumberFormat="1" applyFont="1" applyFill="1" applyBorder="1" applyAlignment="1" applyProtection="1">
      <alignment horizontal="center" vertical="center" wrapText="1"/>
    </xf>
    <xf numFmtId="0" fontId="31" fillId="0" borderId="2" xfId="1" applyNumberFormat="1" applyFont="1" applyFill="1" applyBorder="1" applyAlignment="1" applyProtection="1">
      <alignment horizontal="left" vertical="top" wrapText="1"/>
    </xf>
    <xf numFmtId="167" fontId="42" fillId="0" borderId="2" xfId="3" applyNumberFormat="1" applyFont="1" applyFill="1" applyBorder="1" applyAlignment="1" applyProtection="1">
      <alignment horizontal="center" vertical="center" wrapText="1"/>
    </xf>
    <xf numFmtId="167" fontId="8" fillId="0" borderId="2" xfId="3" applyNumberFormat="1" applyFont="1" applyFill="1" applyBorder="1" applyAlignment="1" applyProtection="1">
      <alignment horizontal="center" vertical="center" wrapText="1"/>
    </xf>
    <xf numFmtId="167" fontId="8" fillId="0" borderId="2" xfId="4" applyNumberFormat="1" applyFont="1" applyFill="1" applyBorder="1" applyAlignment="1" applyProtection="1">
      <alignment horizontal="center" vertical="center"/>
    </xf>
    <xf numFmtId="49" fontId="8" fillId="0" borderId="7" xfId="3" applyNumberFormat="1" applyFont="1" applyFill="1" applyBorder="1" applyAlignment="1" applyProtection="1">
      <alignment horizontal="center" vertical="top" wrapText="1"/>
    </xf>
    <xf numFmtId="167" fontId="8" fillId="6" borderId="2" xfId="1" applyNumberFormat="1" applyFont="1" applyFill="1" applyBorder="1" applyAlignment="1">
      <alignment horizontal="center" vertical="center"/>
    </xf>
    <xf numFmtId="167" fontId="9" fillId="6" borderId="2" xfId="5" applyNumberFormat="1" applyFont="1" applyFill="1" applyBorder="1" applyAlignment="1" applyProtection="1">
      <alignment horizontal="center" vertical="center"/>
    </xf>
    <xf numFmtId="167" fontId="8" fillId="0" borderId="2" xfId="1" applyNumberFormat="1" applyFont="1" applyFill="1" applyBorder="1" applyAlignment="1" applyProtection="1">
      <alignment horizontal="center" vertical="center" wrapText="1"/>
    </xf>
    <xf numFmtId="49" fontId="9" fillId="6" borderId="2" xfId="1" applyNumberFormat="1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 applyProtection="1">
      <alignment horizontal="left" vertical="top" wrapText="1"/>
    </xf>
    <xf numFmtId="0" fontId="9" fillId="0" borderId="2" xfId="0" applyFont="1" applyFill="1" applyBorder="1" applyAlignment="1">
      <alignment horizontal="center" vertical="center" wrapText="1"/>
    </xf>
    <xf numFmtId="0" fontId="9" fillId="3" borderId="2" xfId="1" applyNumberFormat="1" applyFont="1" applyFill="1" applyBorder="1" applyAlignment="1" applyProtection="1">
      <alignment horizontal="left" vertical="top" wrapText="1"/>
    </xf>
    <xf numFmtId="0" fontId="8" fillId="6" borderId="2" xfId="1" applyFont="1" applyFill="1" applyBorder="1" applyAlignment="1">
      <alignment horizontal="center" vertical="center" wrapText="1"/>
    </xf>
    <xf numFmtId="49" fontId="9" fillId="0" borderId="2" xfId="4" applyNumberFormat="1" applyFont="1" applyFill="1" applyBorder="1" applyAlignment="1" applyProtection="1">
      <alignment horizontal="center" vertical="center" wrapText="1"/>
    </xf>
    <xf numFmtId="164" fontId="9" fillId="0" borderId="2" xfId="4" applyNumberFormat="1" applyFont="1" applyFill="1" applyBorder="1" applyAlignment="1" applyProtection="1">
      <alignment horizontal="center" vertical="center" wrapText="1"/>
    </xf>
    <xf numFmtId="167" fontId="8" fillId="7" borderId="2" xfId="3" applyNumberFormat="1" applyFont="1" applyFill="1" applyBorder="1" applyAlignment="1" applyProtection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49" fontId="8" fillId="6" borderId="2" xfId="4" applyNumberFormat="1" applyFont="1" applyFill="1" applyBorder="1" applyAlignment="1" applyProtection="1">
      <alignment horizontal="center" vertical="top"/>
      <protection locked="0"/>
    </xf>
    <xf numFmtId="167" fontId="40" fillId="0" borderId="2" xfId="1" applyNumberFormat="1" applyFont="1" applyFill="1" applyBorder="1" applyAlignment="1" applyProtection="1">
      <alignment horizontal="center" vertical="center" wrapText="1"/>
    </xf>
    <xf numFmtId="167" fontId="41" fillId="0" borderId="2" xfId="1" applyNumberFormat="1" applyFont="1" applyFill="1" applyBorder="1" applyAlignment="1" applyProtection="1">
      <alignment horizontal="center" vertical="center" wrapText="1"/>
    </xf>
    <xf numFmtId="167" fontId="9" fillId="6" borderId="2" xfId="1" applyNumberFormat="1" applyFont="1" applyFill="1" applyBorder="1" applyAlignment="1">
      <alignment horizontal="center" vertical="center" wrapText="1"/>
    </xf>
    <xf numFmtId="167" fontId="8" fillId="6" borderId="2" xfId="4" applyNumberFormat="1" applyFont="1" applyFill="1" applyBorder="1" applyAlignment="1" applyProtection="1">
      <alignment horizontal="center" vertical="center"/>
    </xf>
    <xf numFmtId="167" fontId="9" fillId="0" borderId="2" xfId="1" applyNumberFormat="1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49" fontId="9" fillId="7" borderId="2" xfId="1" applyNumberFormat="1" applyFont="1" applyFill="1" applyBorder="1" applyAlignment="1">
      <alignment horizontal="center" vertical="center" wrapText="1"/>
    </xf>
    <xf numFmtId="167" fontId="9" fillId="6" borderId="2" xfId="3" applyNumberFormat="1" applyFont="1" applyFill="1" applyBorder="1" applyAlignment="1" applyProtection="1">
      <alignment horizontal="center" vertical="center" wrapText="1"/>
    </xf>
    <xf numFmtId="0" fontId="9" fillId="7" borderId="2" xfId="3" applyFont="1" applyFill="1" applyBorder="1" applyAlignment="1">
      <alignment horizontal="center" vertical="center" wrapText="1"/>
    </xf>
    <xf numFmtId="167" fontId="9" fillId="7" borderId="2" xfId="3" applyNumberFormat="1" applyFont="1" applyFill="1" applyBorder="1" applyAlignment="1" applyProtection="1">
      <alignment horizontal="center" vertical="center" wrapText="1"/>
    </xf>
    <xf numFmtId="167" fontId="9" fillId="7" borderId="2" xfId="5" applyNumberFormat="1" applyFont="1" applyFill="1" applyBorder="1" applyAlignment="1" applyProtection="1">
      <alignment horizontal="center" vertical="center"/>
    </xf>
    <xf numFmtId="49" fontId="9" fillId="7" borderId="2" xfId="1" applyNumberFormat="1" applyFont="1" applyFill="1" applyBorder="1" applyAlignment="1" applyProtection="1">
      <alignment horizontal="center" vertical="center" wrapText="1"/>
    </xf>
    <xf numFmtId="167" fontId="9" fillId="7" borderId="2" xfId="1" applyNumberFormat="1" applyFont="1" applyFill="1" applyBorder="1" applyAlignment="1" applyProtection="1">
      <alignment horizontal="center" vertical="center" wrapText="1"/>
    </xf>
    <xf numFmtId="0" fontId="8" fillId="3" borderId="2" xfId="1" applyNumberFormat="1" applyFont="1" applyFill="1" applyBorder="1" applyAlignment="1" applyProtection="1">
      <alignment horizontal="left" vertical="top" wrapText="1"/>
    </xf>
    <xf numFmtId="0" fontId="9" fillId="0" borderId="2" xfId="1" applyFont="1" applyFill="1" applyBorder="1" applyAlignment="1">
      <alignment horizontal="center" vertical="center" wrapText="1" shrinkToFit="1"/>
    </xf>
    <xf numFmtId="167" fontId="8" fillId="6" borderId="2" xfId="5" applyNumberFormat="1" applyFont="1" applyFill="1" applyBorder="1" applyAlignment="1" applyProtection="1">
      <alignment horizontal="center" vertical="center"/>
    </xf>
    <xf numFmtId="0" fontId="9" fillId="0" borderId="2" xfId="3" applyFont="1" applyFill="1" applyBorder="1" applyAlignment="1">
      <alignment horizontal="center" vertical="center" wrapText="1"/>
    </xf>
    <xf numFmtId="167" fontId="8" fillId="7" borderId="2" xfId="5" applyNumberFormat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>
      <alignment horizontal="left" vertical="top" wrapText="1"/>
    </xf>
    <xf numFmtId="49" fontId="8" fillId="0" borderId="2" xfId="7" applyNumberFormat="1" applyFont="1" applyFill="1" applyBorder="1" applyAlignment="1" applyProtection="1">
      <alignment horizontal="center" vertical="center" wrapText="1"/>
    </xf>
    <xf numFmtId="167" fontId="8" fillId="0" borderId="2" xfId="7" applyNumberFormat="1" applyFont="1" applyFill="1" applyBorder="1" applyAlignment="1" applyProtection="1">
      <alignment horizontal="center" vertical="center" wrapText="1"/>
    </xf>
    <xf numFmtId="167" fontId="42" fillId="0" borderId="2" xfId="7" applyNumberFormat="1" applyFont="1" applyFill="1" applyBorder="1" applyAlignment="1" applyProtection="1">
      <alignment horizontal="center" vertical="center" wrapText="1"/>
    </xf>
    <xf numFmtId="167" fontId="25" fillId="0" borderId="3" xfId="0" applyNumberFormat="1" applyFont="1" applyBorder="1" applyAlignment="1">
      <alignment horizontal="center"/>
    </xf>
    <xf numFmtId="167" fontId="25" fillId="0" borderId="4" xfId="0" applyNumberFormat="1" applyFont="1" applyBorder="1" applyAlignment="1">
      <alignment horizontal="center"/>
    </xf>
    <xf numFmtId="167" fontId="25" fillId="0" borderId="5" xfId="0" applyNumberFormat="1" applyFont="1" applyBorder="1" applyAlignment="1">
      <alignment horizontal="center"/>
    </xf>
    <xf numFmtId="167" fontId="24" fillId="0" borderId="3" xfId="0" applyNumberFormat="1" applyFont="1" applyBorder="1" applyAlignment="1">
      <alignment horizontal="center"/>
    </xf>
    <xf numFmtId="167" fontId="24" fillId="0" borderId="4" xfId="0" applyNumberFormat="1" applyFont="1" applyBorder="1" applyAlignment="1">
      <alignment horizontal="center"/>
    </xf>
    <xf numFmtId="167" fontId="24" fillId="0" borderId="5" xfId="0" applyNumberFormat="1" applyFont="1" applyBorder="1" applyAlignment="1">
      <alignment horizontal="center"/>
    </xf>
    <xf numFmtId="167" fontId="8" fillId="6" borderId="2" xfId="4" applyNumberFormat="1" applyFont="1" applyFill="1" applyBorder="1" applyAlignment="1">
      <alignment horizontal="center" vertical="center" wrapText="1"/>
    </xf>
    <xf numFmtId="167" fontId="9" fillId="0" borderId="2" xfId="1" applyNumberFormat="1" applyFont="1" applyFill="1" applyBorder="1" applyAlignment="1">
      <alignment horizontal="center" vertical="center"/>
    </xf>
    <xf numFmtId="167" fontId="8" fillId="0" borderId="2" xfId="1" applyNumberFormat="1" applyFont="1" applyFill="1" applyBorder="1" applyAlignment="1">
      <alignment horizontal="center" vertical="center"/>
    </xf>
    <xf numFmtId="0" fontId="8" fillId="6" borderId="2" xfId="7" applyNumberFormat="1" applyFont="1" applyFill="1" applyBorder="1" applyAlignment="1" applyProtection="1">
      <alignment horizontal="center" vertical="center" wrapText="1"/>
    </xf>
    <xf numFmtId="167" fontId="40" fillId="0" borderId="2" xfId="1" applyNumberFormat="1" applyFont="1" applyFill="1" applyBorder="1" applyAlignment="1">
      <alignment horizontal="center" vertical="center" wrapText="1"/>
    </xf>
    <xf numFmtId="0" fontId="8" fillId="6" borderId="2" xfId="4" applyNumberFormat="1" applyFont="1" applyFill="1" applyBorder="1" applyAlignment="1">
      <alignment horizontal="right" vertical="center" wrapText="1"/>
    </xf>
    <xf numFmtId="0" fontId="14" fillId="6" borderId="2" xfId="10" applyFont="1" applyFill="1" applyBorder="1" applyAlignment="1">
      <alignment horizontal="right" vertical="center" wrapText="1"/>
    </xf>
    <xf numFmtId="0" fontId="8" fillId="0" borderId="2" xfId="4" applyNumberFormat="1" applyFont="1" applyFill="1" applyBorder="1" applyAlignment="1" applyProtection="1">
      <alignment horizontal="right" vertical="center"/>
    </xf>
    <xf numFmtId="0" fontId="8" fillId="0" borderId="2" xfId="4" applyNumberFormat="1" applyFont="1" applyFill="1" applyBorder="1" applyAlignment="1" applyProtection="1">
      <alignment horizontal="left" vertical="top" wrapText="1"/>
    </xf>
    <xf numFmtId="49" fontId="8" fillId="6" borderId="2" xfId="4" applyNumberFormat="1" applyFont="1" applyFill="1" applyBorder="1" applyAlignment="1" applyProtection="1">
      <alignment horizontal="center" vertical="center" wrapText="1"/>
    </xf>
    <xf numFmtId="0" fontId="18" fillId="0" borderId="0" xfId="7" applyNumberFormat="1" applyFont="1" applyFill="1" applyBorder="1" applyAlignment="1" applyProtection="1">
      <alignment horizontal="center" vertical="center"/>
    </xf>
    <xf numFmtId="164" fontId="8" fillId="0" borderId="2" xfId="4" applyNumberFormat="1" applyFont="1" applyFill="1" applyBorder="1" applyAlignment="1" applyProtection="1">
      <alignment horizontal="center" vertical="center" wrapText="1"/>
    </xf>
    <xf numFmtId="0" fontId="8" fillId="0" borderId="2" xfId="11" applyNumberFormat="1" applyFont="1" applyFill="1" applyBorder="1" applyAlignment="1" applyProtection="1">
      <alignment horizontal="center" vertical="center" wrapText="1"/>
    </xf>
    <xf numFmtId="0" fontId="9" fillId="0" borderId="0" xfId="7" applyNumberFormat="1" applyFont="1" applyFill="1" applyBorder="1" applyAlignment="1" applyProtection="1">
      <alignment horizontal="center" vertical="top" wrapText="1"/>
    </xf>
    <xf numFmtId="0" fontId="20" fillId="0" borderId="0" xfId="7" applyNumberFormat="1" applyFont="1" applyFill="1" applyBorder="1" applyAlignment="1" applyProtection="1">
      <alignment horizontal="center" vertical="top" wrapText="1"/>
    </xf>
    <xf numFmtId="167" fontId="9" fillId="6" borderId="3" xfId="4" applyNumberFormat="1" applyFont="1" applyFill="1" applyBorder="1" applyAlignment="1" applyProtection="1">
      <alignment horizontal="center" vertical="center"/>
    </xf>
    <xf numFmtId="167" fontId="9" fillId="6" borderId="4" xfId="4" applyNumberFormat="1" applyFont="1" applyFill="1" applyBorder="1" applyAlignment="1" applyProtection="1">
      <alignment horizontal="center" vertical="center"/>
    </xf>
    <xf numFmtId="167" fontId="9" fillId="6" borderId="5" xfId="4" applyNumberFormat="1" applyFont="1" applyFill="1" applyBorder="1" applyAlignment="1" applyProtection="1">
      <alignment horizontal="center" vertical="center"/>
    </xf>
    <xf numFmtId="0" fontId="8" fillId="0" borderId="2" xfId="7" applyNumberFormat="1" applyFont="1" applyFill="1" applyBorder="1" applyAlignment="1" applyProtection="1">
      <alignment horizontal="center" vertical="center" wrapText="1"/>
    </xf>
    <xf numFmtId="49" fontId="8" fillId="0" borderId="2" xfId="4" applyNumberFormat="1" applyFont="1" applyFill="1" applyBorder="1" applyAlignment="1" applyProtection="1">
      <alignment horizontal="center" vertical="center"/>
    </xf>
    <xf numFmtId="0" fontId="8" fillId="5" borderId="2" xfId="11" applyNumberFormat="1" applyFont="1" applyFill="1" applyBorder="1" applyAlignment="1" applyProtection="1">
      <alignment horizontal="center" vertical="center" wrapText="1"/>
    </xf>
    <xf numFmtId="0" fontId="8" fillId="0" borderId="9" xfId="4" applyNumberFormat="1" applyFont="1" applyFill="1" applyBorder="1" applyAlignment="1" applyProtection="1">
      <alignment horizontal="center" vertical="center" wrapText="1"/>
    </xf>
    <xf numFmtId="0" fontId="8" fillId="0" borderId="10" xfId="4" applyNumberFormat="1" applyFont="1" applyFill="1" applyBorder="1" applyAlignment="1" applyProtection="1">
      <alignment horizontal="center" vertical="center" wrapText="1"/>
    </xf>
    <xf numFmtId="0" fontId="8" fillId="0" borderId="11" xfId="4" applyNumberFormat="1" applyFont="1" applyFill="1" applyBorder="1" applyAlignment="1" applyProtection="1">
      <alignment horizontal="center" vertical="center" wrapText="1"/>
    </xf>
    <xf numFmtId="0" fontId="8" fillId="0" borderId="12" xfId="4" applyNumberFormat="1" applyFont="1" applyFill="1" applyBorder="1" applyAlignment="1" applyProtection="1">
      <alignment horizontal="center" vertical="center" wrapText="1"/>
    </xf>
    <xf numFmtId="0" fontId="8" fillId="0" borderId="1" xfId="4" applyNumberFormat="1" applyFont="1" applyFill="1" applyBorder="1" applyAlignment="1" applyProtection="1">
      <alignment horizontal="center" vertical="center" wrapText="1"/>
    </xf>
    <xf numFmtId="0" fontId="8" fillId="0" borderId="13" xfId="4" applyNumberFormat="1" applyFont="1" applyFill="1" applyBorder="1" applyAlignment="1" applyProtection="1">
      <alignment horizontal="center" vertical="center" wrapText="1"/>
    </xf>
    <xf numFmtId="167" fontId="42" fillId="0" borderId="2" xfId="4" applyNumberFormat="1" applyFont="1" applyFill="1" applyBorder="1" applyAlignment="1" applyProtection="1">
      <alignment horizontal="center" vertical="center"/>
    </xf>
    <xf numFmtId="167" fontId="43" fillId="0" borderId="2" xfId="7" applyNumberFormat="1" applyFont="1" applyFill="1" applyBorder="1" applyAlignment="1" applyProtection="1">
      <alignment horizontal="center" vertical="center" wrapText="1"/>
    </xf>
    <xf numFmtId="0" fontId="9" fillId="0" borderId="2" xfId="7" applyNumberFormat="1" applyFont="1" applyFill="1" applyBorder="1" applyAlignment="1" applyProtection="1">
      <alignment horizontal="center" vertical="center" wrapText="1"/>
    </xf>
    <xf numFmtId="167" fontId="8" fillId="0" borderId="2" xfId="1" applyNumberFormat="1" applyFont="1" applyFill="1" applyBorder="1" applyAlignment="1">
      <alignment horizontal="center" vertical="center" wrapText="1"/>
    </xf>
    <xf numFmtId="0" fontId="30" fillId="0" borderId="2" xfId="1" applyFont="1" applyFill="1" applyBorder="1" applyAlignment="1">
      <alignment horizontal="center" vertical="center" wrapText="1" shrinkToFit="1"/>
    </xf>
    <xf numFmtId="0" fontId="8" fillId="0" borderId="2" xfId="1" applyFont="1" applyFill="1" applyBorder="1" applyAlignment="1">
      <alignment horizontal="center" vertical="center" wrapText="1"/>
    </xf>
    <xf numFmtId="49" fontId="8" fillId="0" borderId="2" xfId="4" applyNumberFormat="1" applyFont="1" applyFill="1" applyBorder="1" applyAlignment="1" applyProtection="1">
      <alignment horizontal="left" vertical="top" wrapText="1"/>
    </xf>
    <xf numFmtId="0" fontId="8" fillId="0" borderId="2" xfId="4" applyNumberFormat="1" applyFont="1" applyFill="1" applyBorder="1" applyAlignment="1" applyProtection="1">
      <alignment vertical="top" wrapText="1"/>
    </xf>
    <xf numFmtId="0" fontId="8" fillId="0" borderId="2" xfId="7" applyNumberFormat="1" applyFont="1" applyFill="1" applyBorder="1" applyAlignment="1" applyProtection="1">
      <alignment horizontal="left" vertical="top" wrapText="1"/>
    </xf>
    <xf numFmtId="0" fontId="40" fillId="0" borderId="2" xfId="4" applyNumberFormat="1" applyFont="1" applyFill="1" applyBorder="1" applyAlignment="1" applyProtection="1">
      <alignment vertical="top" wrapText="1"/>
    </xf>
    <xf numFmtId="0" fontId="41" fillId="0" borderId="2" xfId="1" applyNumberFormat="1" applyFont="1" applyFill="1" applyBorder="1" applyAlignment="1" applyProtection="1">
      <alignment horizontal="left" vertical="top" wrapText="1"/>
    </xf>
    <xf numFmtId="0" fontId="8" fillId="6" borderId="2" xfId="3" applyNumberFormat="1" applyFont="1" applyFill="1" applyBorder="1" applyAlignment="1" applyProtection="1">
      <alignment horizontal="center" vertical="center" wrapText="1"/>
    </xf>
    <xf numFmtId="0" fontId="32" fillId="0" borderId="2" xfId="4" applyNumberFormat="1" applyFont="1" applyFill="1" applyBorder="1" applyAlignment="1" applyProtection="1">
      <alignment vertical="top" wrapText="1"/>
    </xf>
    <xf numFmtId="0" fontId="25" fillId="0" borderId="3" xfId="0" applyFont="1" applyBorder="1" applyAlignment="1">
      <alignment horizontal="right"/>
    </xf>
    <xf numFmtId="0" fontId="25" fillId="0" borderId="4" xfId="0" applyFont="1" applyBorder="1" applyAlignment="1">
      <alignment horizontal="right"/>
    </xf>
    <xf numFmtId="0" fontId="24" fillId="0" borderId="3" xfId="0" applyFont="1" applyBorder="1" applyAlignment="1">
      <alignment horizontal="right"/>
    </xf>
    <xf numFmtId="0" fontId="24" fillId="0" borderId="4" xfId="0" applyFont="1" applyBorder="1" applyAlignment="1">
      <alignment horizontal="right"/>
    </xf>
    <xf numFmtId="0" fontId="9" fillId="0" borderId="2" xfId="1" applyFont="1" applyFill="1" applyBorder="1" applyAlignment="1">
      <alignment horizontal="right" vertical="center"/>
    </xf>
    <xf numFmtId="0" fontId="8" fillId="0" borderId="2" xfId="1" applyFont="1" applyFill="1" applyBorder="1" applyAlignment="1">
      <alignment horizontal="right" vertical="center"/>
    </xf>
    <xf numFmtId="0" fontId="24" fillId="0" borderId="5" xfId="0" applyFont="1" applyBorder="1" applyAlignment="1">
      <alignment horizontal="right"/>
    </xf>
    <xf numFmtId="0" fontId="8" fillId="7" borderId="2" xfId="3" applyNumberFormat="1" applyFont="1" applyFill="1" applyBorder="1" applyAlignment="1" applyProtection="1">
      <alignment horizontal="center" vertical="center" wrapText="1"/>
    </xf>
    <xf numFmtId="2" fontId="9" fillId="7" borderId="2" xfId="1" applyNumberFormat="1" applyFont="1" applyFill="1" applyBorder="1" applyAlignment="1" applyProtection="1">
      <alignment horizontal="center" vertical="center" wrapText="1"/>
    </xf>
    <xf numFmtId="0" fontId="8" fillId="0" borderId="2" xfId="3" applyNumberFormat="1" applyFont="1" applyFill="1" applyBorder="1" applyAlignment="1" applyProtection="1">
      <alignment horizontal="center" vertical="center" wrapText="1"/>
    </xf>
    <xf numFmtId="2" fontId="31" fillId="7" borderId="2" xfId="1" applyNumberFormat="1" applyFont="1" applyFill="1" applyBorder="1" applyAlignment="1" applyProtection="1">
      <alignment horizontal="center" vertical="center" wrapText="1"/>
    </xf>
    <xf numFmtId="0" fontId="32" fillId="0" borderId="2" xfId="1" applyNumberFormat="1" applyFont="1" applyFill="1" applyBorder="1" applyAlignment="1" applyProtection="1">
      <alignment horizontal="left" vertical="top" wrapText="1"/>
    </xf>
    <xf numFmtId="167" fontId="9" fillId="0" borderId="2" xfId="4" applyNumberFormat="1" applyFont="1" applyFill="1" applyBorder="1" applyAlignment="1" applyProtection="1">
      <alignment horizontal="center" vertical="center"/>
    </xf>
    <xf numFmtId="167" fontId="9" fillId="0" borderId="2" xfId="7" applyNumberFormat="1" applyFont="1" applyFill="1" applyBorder="1" applyAlignment="1" applyProtection="1">
      <alignment horizontal="center" vertical="center" wrapText="1"/>
    </xf>
    <xf numFmtId="49" fontId="8" fillId="7" borderId="2" xfId="5" applyNumberFormat="1" applyFont="1" applyFill="1" applyBorder="1" applyAlignment="1" applyProtection="1">
      <alignment horizontal="center" vertical="top"/>
    </xf>
    <xf numFmtId="0" fontId="9" fillId="0" borderId="2" xfId="1" applyFont="1" applyFill="1" applyBorder="1" applyAlignment="1">
      <alignment horizontal="left" vertical="top" wrapText="1"/>
    </xf>
    <xf numFmtId="0" fontId="8" fillId="0" borderId="2" xfId="3" applyNumberFormat="1" applyFont="1" applyFill="1" applyBorder="1" applyAlignment="1" applyProtection="1">
      <alignment horizontal="left" vertical="top" wrapText="1"/>
    </xf>
    <xf numFmtId="0" fontId="8" fillId="7" borderId="2" xfId="3" applyNumberFormat="1" applyFont="1" applyFill="1" applyBorder="1" applyAlignment="1" applyProtection="1">
      <alignment horizontal="left" vertical="top" wrapText="1"/>
    </xf>
    <xf numFmtId="0" fontId="9" fillId="7" borderId="2" xfId="1" applyNumberFormat="1" applyFont="1" applyFill="1" applyBorder="1" applyAlignment="1" applyProtection="1">
      <alignment horizontal="left" vertical="top" wrapText="1"/>
    </xf>
    <xf numFmtId="0" fontId="8" fillId="6" borderId="2" xfId="4" applyNumberFormat="1" applyFont="1" applyFill="1" applyBorder="1" applyAlignment="1" applyProtection="1">
      <alignment horizontal="right" vertical="center" wrapText="1"/>
    </xf>
    <xf numFmtId="167" fontId="11" fillId="0" borderId="3" xfId="0" applyNumberFormat="1" applyFont="1" applyBorder="1" applyAlignment="1">
      <alignment horizontal="center"/>
    </xf>
    <xf numFmtId="167" fontId="11" fillId="0" borderId="4" xfId="0" applyNumberFormat="1" applyFont="1" applyBorder="1" applyAlignment="1">
      <alignment horizontal="center"/>
    </xf>
    <xf numFmtId="167" fontId="11" fillId="0" borderId="5" xfId="0" applyNumberFormat="1" applyFont="1" applyBorder="1" applyAlignment="1">
      <alignment horizontal="center"/>
    </xf>
    <xf numFmtId="167" fontId="12" fillId="0" borderId="3" xfId="0" applyNumberFormat="1" applyFont="1" applyBorder="1" applyAlignment="1">
      <alignment horizontal="center"/>
    </xf>
    <xf numFmtId="167" fontId="12" fillId="0" borderId="4" xfId="0" applyNumberFormat="1" applyFont="1" applyBorder="1" applyAlignment="1">
      <alignment horizontal="center"/>
    </xf>
    <xf numFmtId="167" fontId="12" fillId="0" borderId="5" xfId="0" applyNumberFormat="1" applyFont="1" applyBorder="1" applyAlignment="1">
      <alignment horizontal="center"/>
    </xf>
    <xf numFmtId="0" fontId="11" fillId="0" borderId="3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0" fontId="11" fillId="0" borderId="5" xfId="0" applyFont="1" applyBorder="1" applyAlignment="1">
      <alignment horizontal="right"/>
    </xf>
    <xf numFmtId="49" fontId="8" fillId="0" borderId="2" xfId="7" applyNumberFormat="1" applyFont="1" applyFill="1" applyBorder="1" applyAlignment="1" applyProtection="1">
      <alignment horizontal="center" vertical="top"/>
    </xf>
    <xf numFmtId="0" fontId="30" fillId="0" borderId="2" xfId="1" applyNumberFormat="1" applyFont="1" applyFill="1" applyBorder="1" applyAlignment="1" applyProtection="1">
      <alignment horizontal="left" vertical="top" wrapText="1"/>
    </xf>
    <xf numFmtId="49" fontId="8" fillId="0" borderId="2" xfId="2" applyNumberFormat="1" applyFont="1" applyFill="1" applyBorder="1" applyAlignment="1" applyProtection="1">
      <alignment horizontal="center" vertical="center"/>
    </xf>
    <xf numFmtId="49" fontId="15" fillId="0" borderId="2" xfId="2" applyNumberFormat="1" applyFont="1" applyFill="1" applyBorder="1" applyAlignment="1" applyProtection="1">
      <alignment vertical="center"/>
    </xf>
    <xf numFmtId="0" fontId="8" fillId="0" borderId="2" xfId="2" applyNumberFormat="1" applyFont="1" applyFill="1" applyBorder="1" applyAlignment="1" applyProtection="1">
      <alignment horizontal="center" vertical="center" wrapText="1"/>
    </xf>
    <xf numFmtId="0" fontId="15" fillId="0" borderId="2" xfId="2" applyNumberFormat="1" applyFont="1" applyFill="1" applyBorder="1" applyAlignment="1" applyProtection="1">
      <alignment horizontal="center" vertical="center" wrapText="1"/>
    </xf>
    <xf numFmtId="0" fontId="8" fillId="5" borderId="2" xfId="2" applyNumberFormat="1" applyFont="1" applyFill="1" applyBorder="1" applyAlignment="1" applyProtection="1">
      <alignment horizontal="center" vertical="center" wrapText="1"/>
    </xf>
    <xf numFmtId="49" fontId="8" fillId="0" borderId="2" xfId="2" applyNumberFormat="1" applyFont="1" applyFill="1" applyBorder="1" applyAlignment="1" applyProtection="1">
      <alignment horizontal="center" vertical="center" wrapText="1"/>
    </xf>
    <xf numFmtId="0" fontId="9" fillId="6" borderId="2" xfId="1" applyFont="1" applyFill="1" applyBorder="1" applyAlignment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 wrapText="1"/>
    </xf>
    <xf numFmtId="0" fontId="8" fillId="6" borderId="2" xfId="5" applyNumberFormat="1" applyFont="1" applyFill="1" applyBorder="1" applyAlignment="1" applyProtection="1">
      <alignment horizontal="right" vertical="center" wrapText="1"/>
    </xf>
    <xf numFmtId="0" fontId="8" fillId="0" borderId="2" xfId="5" applyNumberFormat="1" applyFont="1" applyFill="1" applyBorder="1" applyAlignment="1" applyProtection="1">
      <alignment horizontal="right" vertical="center" wrapText="1"/>
    </xf>
    <xf numFmtId="167" fontId="19" fillId="6" borderId="2" xfId="3" applyNumberFormat="1" applyFont="1" applyFill="1" applyBorder="1" applyAlignment="1" applyProtection="1">
      <alignment horizontal="center" vertical="center" wrapText="1"/>
    </xf>
    <xf numFmtId="167" fontId="13" fillId="6" borderId="2" xfId="5" applyNumberFormat="1" applyFont="1" applyFill="1" applyBorder="1" applyAlignment="1" applyProtection="1">
      <alignment horizontal="center" vertical="center"/>
    </xf>
    <xf numFmtId="0" fontId="8" fillId="5" borderId="2" xfId="1" applyNumberFormat="1" applyFont="1" applyFill="1" applyBorder="1" applyAlignment="1" applyProtection="1">
      <alignment horizontal="center" vertical="center" wrapText="1"/>
    </xf>
    <xf numFmtId="0" fontId="13" fillId="6" borderId="2" xfId="3" applyNumberFormat="1" applyFont="1" applyFill="1" applyBorder="1" applyAlignment="1" applyProtection="1">
      <alignment horizontal="center" vertical="center" wrapText="1"/>
    </xf>
    <xf numFmtId="167" fontId="8" fillId="0" borderId="2" xfId="4" applyNumberFormat="1" applyFont="1" applyFill="1" applyBorder="1" applyAlignment="1">
      <alignment horizontal="center" vertical="center" wrapText="1"/>
    </xf>
    <xf numFmtId="0" fontId="8" fillId="0" borderId="2" xfId="4" applyNumberFormat="1" applyFont="1" applyFill="1" applyBorder="1" applyAlignment="1">
      <alignment horizontal="right" vertical="center" wrapText="1"/>
    </xf>
    <xf numFmtId="0" fontId="11" fillId="0" borderId="3" xfId="0" applyFont="1" applyBorder="1" applyAlignment="1">
      <alignment horizontal="right" wrapText="1"/>
    </xf>
    <xf numFmtId="0" fontId="11" fillId="0" borderId="4" xfId="0" applyFont="1" applyBorder="1" applyAlignment="1">
      <alignment horizontal="right" wrapText="1"/>
    </xf>
    <xf numFmtId="49" fontId="13" fillId="0" borderId="2" xfId="3" applyNumberFormat="1" applyFont="1" applyFill="1" applyBorder="1" applyAlignment="1" applyProtection="1">
      <alignment horizontal="center" vertical="top" wrapText="1"/>
    </xf>
    <xf numFmtId="167" fontId="43" fillId="0" borderId="2" xfId="3" applyNumberFormat="1" applyFont="1" applyFill="1" applyBorder="1" applyAlignment="1" applyProtection="1">
      <alignment horizontal="center" vertical="center" wrapText="1"/>
    </xf>
    <xf numFmtId="167" fontId="8" fillId="0" borderId="2" xfId="5" applyNumberFormat="1" applyFont="1" applyFill="1" applyBorder="1" applyAlignment="1" applyProtection="1">
      <alignment horizontal="center" vertical="center"/>
    </xf>
    <xf numFmtId="167" fontId="16" fillId="0" borderId="0" xfId="5" applyNumberFormat="1" applyFont="1" applyFill="1" applyBorder="1" applyAlignment="1" applyProtection="1">
      <alignment horizontal="center" vertical="top"/>
    </xf>
    <xf numFmtId="167" fontId="10" fillId="0" borderId="0" xfId="0" applyNumberFormat="1" applyFont="1" applyAlignment="1">
      <alignment horizontal="center"/>
    </xf>
    <xf numFmtId="167" fontId="12" fillId="5" borderId="3" xfId="0" applyNumberFormat="1" applyFont="1" applyFill="1" applyBorder="1" applyAlignment="1">
      <alignment horizontal="center"/>
    </xf>
    <xf numFmtId="167" fontId="12" fillId="5" borderId="4" xfId="0" applyNumberFormat="1" applyFont="1" applyFill="1" applyBorder="1" applyAlignment="1">
      <alignment horizontal="center"/>
    </xf>
    <xf numFmtId="167" fontId="12" fillId="5" borderId="5" xfId="0" applyNumberFormat="1" applyFont="1" applyFill="1" applyBorder="1" applyAlignment="1">
      <alignment horizontal="center"/>
    </xf>
    <xf numFmtId="167" fontId="42" fillId="0" borderId="2" xfId="1" applyNumberFormat="1" applyFont="1" applyFill="1" applyBorder="1" applyAlignment="1" applyProtection="1">
      <alignment horizontal="center" vertical="center" wrapText="1"/>
    </xf>
    <xf numFmtId="167" fontId="42" fillId="0" borderId="2" xfId="4" applyNumberFormat="1" applyFont="1" applyFill="1" applyBorder="1" applyAlignment="1" applyProtection="1">
      <alignment horizontal="center" vertical="center" wrapText="1"/>
    </xf>
  </cellXfs>
  <cellStyles count="12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6"/>
    <cellStyle name="Обычный 7" xfId="9"/>
    <cellStyle name="Обычный_Лист1" xfId="1"/>
    <cellStyle name="Обычный_Лист1_1" xfId="7"/>
    <cellStyle name="Обычный_Лист1_Лист2" xfId="11"/>
    <cellStyle name="Обычный_Лист2" xfId="10"/>
    <cellStyle name="Процентный 2" xfId="8"/>
  </cellStyles>
  <dxfs count="0"/>
  <tableStyles count="0" defaultTableStyle="TableStyleMedium2" defaultPivotStyle="PivotStyleLight16"/>
  <colors>
    <mruColors>
      <color rgb="FF00FFFF"/>
      <color rgb="FF00FF00"/>
      <color rgb="FFFFFFCC"/>
      <color rgb="FFCCFFCC"/>
      <color rgb="FFCCFFFF"/>
      <color rgb="FFCCECFF"/>
      <color rgb="FF99CCFF"/>
      <color rgb="FF99FF99"/>
      <color rgb="FFFFCC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92.168.10.4/192.168.10.4/192.168.10.10/&#1086;&#1073;&#1097;&#1072;&#1103;/2018%20&#1075;&#1086;&#1076;/4%20&#1074;&#1072;&#1088;&#1080;&#1072;&#1085;&#1090;%20&#1086;&#1090;%2024.07.2018%20&#8470;3423/&#1082;&#1087;%20&#1048;&#1057;&#1055;&#1054;&#1051;&#1053;&#1045;&#1053;&#1048;&#1045;.%20tmp%20&#1085;&#1072;%2024.07.2018%20(&#1052;&#1086;&#1088;&#1086;&#1079;&#1086;&#1074;&#107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FF00"/>
  </sheetPr>
  <dimension ref="A1:U440"/>
  <sheetViews>
    <sheetView view="pageBreakPreview" topLeftCell="C387" zoomScale="70" zoomScaleNormal="80" zoomScaleSheetLayoutView="70" workbookViewId="0">
      <selection activeCell="I221" sqref="I221:M221"/>
    </sheetView>
  </sheetViews>
  <sheetFormatPr defaultColWidth="9.140625" defaultRowHeight="18" x14ac:dyDescent="0.3"/>
  <cols>
    <col min="1" max="1" width="9.140625" style="72"/>
    <col min="2" max="2" width="75.42578125" style="72" customWidth="1"/>
    <col min="3" max="3" width="16" style="72" customWidth="1"/>
    <col min="4" max="4" width="30.85546875" style="156" customWidth="1"/>
    <col min="5" max="5" width="20.42578125" style="72" hidden="1" customWidth="1"/>
    <col min="6" max="6" width="22.140625" style="122" customWidth="1"/>
    <col min="7" max="8" width="22.7109375" style="77" customWidth="1"/>
    <col min="9" max="13" width="8" style="72" customWidth="1"/>
    <col min="14" max="14" width="22.42578125" style="72" customWidth="1"/>
    <col min="15" max="15" width="23.28515625" style="72" customWidth="1"/>
    <col min="16" max="16" width="22.140625" style="72" customWidth="1"/>
    <col min="17" max="17" width="24.28515625" style="1" customWidth="1"/>
    <col min="18" max="18" width="17.7109375" style="1" customWidth="1"/>
    <col min="19" max="19" width="13" style="1" customWidth="1"/>
    <col min="20" max="20" width="14.7109375" style="1" customWidth="1"/>
    <col min="21" max="16384" width="9.140625" style="1"/>
  </cols>
  <sheetData>
    <row r="1" spans="1:21" ht="18.75" x14ac:dyDescent="0.25">
      <c r="A1" s="2"/>
      <c r="B1" s="194"/>
      <c r="C1" s="194"/>
      <c r="D1" s="195"/>
      <c r="E1" s="194"/>
      <c r="F1" s="194"/>
      <c r="G1" s="194"/>
      <c r="H1" s="194"/>
      <c r="I1" s="196"/>
      <c r="J1" s="196"/>
      <c r="K1" s="196"/>
      <c r="L1" s="196"/>
      <c r="M1" s="196"/>
      <c r="N1" s="194"/>
      <c r="O1" s="197"/>
      <c r="P1" s="198" t="s">
        <v>280</v>
      </c>
    </row>
    <row r="2" spans="1:21" ht="18.75" x14ac:dyDescent="0.25">
      <c r="A2" s="2"/>
      <c r="B2" s="194"/>
      <c r="C2" s="194"/>
      <c r="D2" s="195"/>
      <c r="E2" s="194"/>
      <c r="F2" s="194"/>
      <c r="G2" s="194"/>
      <c r="H2" s="194"/>
      <c r="I2" s="196"/>
      <c r="J2" s="196"/>
      <c r="K2" s="196"/>
      <c r="L2" s="196"/>
      <c r="M2" s="196"/>
      <c r="N2" s="194"/>
      <c r="O2" s="197"/>
      <c r="P2" s="198" t="s">
        <v>66</v>
      </c>
    </row>
    <row r="3" spans="1:21" ht="18.75" x14ac:dyDescent="0.25">
      <c r="A3" s="2"/>
      <c r="B3" s="9"/>
      <c r="C3" s="194"/>
      <c r="D3" s="195"/>
      <c r="E3" s="194"/>
      <c r="F3" s="194"/>
      <c r="G3" s="194"/>
      <c r="H3" s="194"/>
      <c r="I3" s="196"/>
      <c r="J3" s="196"/>
      <c r="K3" s="196"/>
      <c r="L3" s="196"/>
      <c r="M3" s="196"/>
      <c r="N3" s="194"/>
      <c r="O3" s="197"/>
      <c r="P3" s="198" t="s">
        <v>67</v>
      </c>
    </row>
    <row r="4" spans="1:21" ht="18.75" x14ac:dyDescent="0.25">
      <c r="A4" s="2"/>
      <c r="B4" s="194"/>
      <c r="C4" s="194"/>
      <c r="D4" s="195"/>
      <c r="E4" s="194"/>
      <c r="F4" s="194" t="s">
        <v>196</v>
      </c>
      <c r="G4" s="194"/>
      <c r="H4" s="194"/>
      <c r="I4" s="196"/>
      <c r="J4" s="196"/>
      <c r="K4" s="196"/>
      <c r="L4" s="196"/>
      <c r="M4" s="196"/>
      <c r="N4" s="194"/>
      <c r="O4" s="197"/>
      <c r="P4" s="198" t="s">
        <v>241</v>
      </c>
    </row>
    <row r="5" spans="1:21" ht="17.25" x14ac:dyDescent="0.25">
      <c r="A5" s="2"/>
      <c r="B5" s="194"/>
      <c r="C5" s="194"/>
      <c r="D5" s="195"/>
      <c r="E5" s="194"/>
      <c r="F5" s="194"/>
      <c r="G5" s="194"/>
      <c r="H5" s="194"/>
      <c r="I5" s="196"/>
      <c r="J5" s="196"/>
      <c r="K5" s="196"/>
      <c r="L5" s="196"/>
      <c r="M5" s="196"/>
      <c r="N5" s="194"/>
      <c r="O5" s="197"/>
      <c r="P5" s="197"/>
    </row>
    <row r="6" spans="1:21" ht="18" customHeight="1" x14ac:dyDescent="0.25">
      <c r="A6" s="36"/>
      <c r="B6" s="194"/>
      <c r="C6" s="199"/>
      <c r="D6" s="200"/>
      <c r="E6" s="343"/>
      <c r="F6" s="343"/>
      <c r="G6" s="343"/>
      <c r="H6" s="343"/>
      <c r="I6" s="343"/>
      <c r="J6" s="343"/>
      <c r="K6" s="343"/>
      <c r="L6" s="343"/>
      <c r="M6" s="343"/>
      <c r="N6" s="346" t="s">
        <v>184</v>
      </c>
      <c r="O6" s="346"/>
      <c r="P6" s="346"/>
    </row>
    <row r="7" spans="1:21" ht="18" customHeight="1" x14ac:dyDescent="0.25">
      <c r="A7" s="36"/>
      <c r="B7" s="194"/>
      <c r="C7" s="199"/>
      <c r="D7" s="200"/>
      <c r="E7" s="201"/>
      <c r="F7" s="201"/>
      <c r="G7" s="201"/>
      <c r="H7" s="201"/>
      <c r="I7" s="202"/>
      <c r="J7" s="202"/>
      <c r="K7" s="202"/>
      <c r="L7" s="202"/>
      <c r="M7" s="202"/>
      <c r="N7" s="203"/>
      <c r="O7" s="204"/>
      <c r="P7" s="204"/>
    </row>
    <row r="8" spans="1:21" ht="18" customHeight="1" x14ac:dyDescent="0.25">
      <c r="A8" s="60"/>
      <c r="B8" s="194"/>
      <c r="C8" s="199"/>
      <c r="D8" s="200"/>
      <c r="E8" s="201"/>
      <c r="F8" s="201"/>
      <c r="G8" s="201"/>
      <c r="H8" s="201"/>
      <c r="I8" s="202"/>
      <c r="J8" s="202"/>
      <c r="K8" s="202"/>
      <c r="L8" s="202"/>
      <c r="M8" s="202"/>
      <c r="N8" s="203"/>
      <c r="O8" s="204"/>
      <c r="P8" s="204"/>
    </row>
    <row r="9" spans="1:21" ht="40.5" customHeight="1" x14ac:dyDescent="0.25">
      <c r="A9" s="3"/>
      <c r="B9" s="347" t="s">
        <v>85</v>
      </c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 s="205"/>
    </row>
    <row r="10" spans="1:21" ht="15.75" customHeight="1" x14ac:dyDescent="0.25">
      <c r="A10" s="66"/>
      <c r="B10" s="196"/>
      <c r="C10" s="206"/>
      <c r="D10" s="207"/>
      <c r="E10" s="208"/>
      <c r="F10" s="208"/>
      <c r="G10" s="209"/>
      <c r="H10" s="209"/>
      <c r="I10" s="209"/>
      <c r="J10" s="209"/>
      <c r="K10" s="209"/>
      <c r="L10" s="209"/>
      <c r="M10" s="209"/>
      <c r="N10" s="209"/>
      <c r="O10" s="209"/>
      <c r="P10" s="210"/>
    </row>
    <row r="11" spans="1:21" ht="15" customHeight="1" x14ac:dyDescent="0.25">
      <c r="A11" s="345" t="s">
        <v>4</v>
      </c>
      <c r="B11" s="345" t="s">
        <v>138</v>
      </c>
      <c r="C11" s="345" t="s">
        <v>50</v>
      </c>
      <c r="D11" s="345" t="s">
        <v>6</v>
      </c>
      <c r="E11" s="345" t="s">
        <v>44</v>
      </c>
      <c r="F11" s="353" t="s">
        <v>7</v>
      </c>
      <c r="G11" s="354" t="s">
        <v>16</v>
      </c>
      <c r="H11" s="355"/>
      <c r="I11" s="355"/>
      <c r="J11" s="355"/>
      <c r="K11" s="355"/>
      <c r="L11" s="355"/>
      <c r="M11" s="355"/>
      <c r="N11" s="355"/>
      <c r="O11" s="356"/>
      <c r="P11" s="344" t="s">
        <v>230</v>
      </c>
    </row>
    <row r="12" spans="1:21" ht="15" customHeight="1" x14ac:dyDescent="0.25">
      <c r="A12" s="345"/>
      <c r="B12" s="345"/>
      <c r="C12" s="345"/>
      <c r="D12" s="345"/>
      <c r="E12" s="345"/>
      <c r="F12" s="353"/>
      <c r="G12" s="357"/>
      <c r="H12" s="358"/>
      <c r="I12" s="358"/>
      <c r="J12" s="358"/>
      <c r="K12" s="358"/>
      <c r="L12" s="358"/>
      <c r="M12" s="358"/>
      <c r="N12" s="358"/>
      <c r="O12" s="359"/>
      <c r="P12" s="344"/>
    </row>
    <row r="13" spans="1:21" ht="45.75" customHeight="1" x14ac:dyDescent="0.25">
      <c r="A13" s="345"/>
      <c r="B13" s="345"/>
      <c r="C13" s="345"/>
      <c r="D13" s="345"/>
      <c r="E13" s="345"/>
      <c r="F13" s="353"/>
      <c r="G13" s="193" t="s">
        <v>45</v>
      </c>
      <c r="H13" s="193" t="s">
        <v>46</v>
      </c>
      <c r="I13" s="351" t="s">
        <v>82</v>
      </c>
      <c r="J13" s="351"/>
      <c r="K13" s="351"/>
      <c r="L13" s="351"/>
      <c r="M13" s="351"/>
      <c r="N13" s="193" t="s">
        <v>83</v>
      </c>
      <c r="O13" s="193" t="s">
        <v>84</v>
      </c>
      <c r="P13" s="344"/>
    </row>
    <row r="14" spans="1:21" ht="17.25" customHeight="1" x14ac:dyDescent="0.25">
      <c r="A14" s="192" t="s">
        <v>13</v>
      </c>
      <c r="B14" s="192">
        <v>2</v>
      </c>
      <c r="C14" s="192" t="s">
        <v>8</v>
      </c>
      <c r="D14" s="145" t="s">
        <v>37</v>
      </c>
      <c r="E14" s="192" t="s">
        <v>9</v>
      </c>
      <c r="F14" s="114" t="s">
        <v>9</v>
      </c>
      <c r="G14" s="192" t="s">
        <v>35</v>
      </c>
      <c r="H14" s="192" t="s">
        <v>10</v>
      </c>
      <c r="I14" s="269" t="s">
        <v>36</v>
      </c>
      <c r="J14" s="269"/>
      <c r="K14" s="269"/>
      <c r="L14" s="269"/>
      <c r="M14" s="269"/>
      <c r="N14" s="192" t="s">
        <v>11</v>
      </c>
      <c r="O14" s="192" t="s">
        <v>12</v>
      </c>
      <c r="P14" s="192" t="s">
        <v>14</v>
      </c>
    </row>
    <row r="15" spans="1:21" s="10" customFormat="1" ht="25.5" customHeight="1" x14ac:dyDescent="0.25">
      <c r="A15" s="352" t="s">
        <v>144</v>
      </c>
      <c r="B15" s="352"/>
      <c r="C15" s="352"/>
      <c r="D15" s="352"/>
      <c r="E15" s="352"/>
      <c r="F15" s="352"/>
      <c r="G15" s="352"/>
      <c r="H15" s="352"/>
      <c r="I15" s="352"/>
      <c r="J15" s="352"/>
      <c r="K15" s="352"/>
      <c r="L15" s="352"/>
      <c r="M15" s="352"/>
      <c r="N15" s="352"/>
      <c r="O15" s="352"/>
      <c r="P15" s="352"/>
    </row>
    <row r="16" spans="1:21" s="9" customFormat="1" ht="18.75" x14ac:dyDescent="0.25">
      <c r="A16" s="274" t="s">
        <v>13</v>
      </c>
      <c r="B16" s="342" t="s">
        <v>75</v>
      </c>
      <c r="C16" s="342" t="s">
        <v>86</v>
      </c>
      <c r="D16" s="146" t="s">
        <v>2</v>
      </c>
      <c r="E16" s="227" t="e">
        <f>SUM(E18:E23)</f>
        <v>#REF!</v>
      </c>
      <c r="F16" s="115">
        <f>F17+F18+F19+F21</f>
        <v>63130860.922640003</v>
      </c>
      <c r="G16" s="227">
        <f>G17+G18+G19+G21</f>
        <v>10467394.842740001</v>
      </c>
      <c r="H16" s="227">
        <f>H17+H18+H19+H21</f>
        <v>11716606.47274</v>
      </c>
      <c r="I16" s="308">
        <f>I17+I18+I19+I21</f>
        <v>14467201.3508</v>
      </c>
      <c r="J16" s="308"/>
      <c r="K16" s="308"/>
      <c r="L16" s="308"/>
      <c r="M16" s="308"/>
      <c r="N16" s="227">
        <f t="shared" ref="N16:O16" si="0">N17+N18+N19+N21</f>
        <v>13239944.150679998</v>
      </c>
      <c r="O16" s="227">
        <f t="shared" si="0"/>
        <v>13239714.10568</v>
      </c>
      <c r="P16" s="304"/>
      <c r="T16" s="44"/>
      <c r="U16" s="44"/>
    </row>
    <row r="17" spans="1:21" s="9" customFormat="1" ht="39" customHeight="1" x14ac:dyDescent="0.25">
      <c r="A17" s="274"/>
      <c r="B17" s="342"/>
      <c r="C17" s="342"/>
      <c r="D17" s="146" t="s">
        <v>40</v>
      </c>
      <c r="E17" s="211" t="e">
        <f>#REF!</f>
        <v>#REF!</v>
      </c>
      <c r="F17" s="115">
        <f t="shared" ref="F17:F19" si="1">SUM(G17:O17)</f>
        <v>394766.56</v>
      </c>
      <c r="G17" s="211">
        <f>G24+G31+G45+G52+G59+G96+G106+G113+G80+G89+G66+G120+G127+G134+G141</f>
        <v>155511</v>
      </c>
      <c r="H17" s="211">
        <f>H24+H31+H45+H52+H59+H96+H106+H113+H80+H89+H66+H120+H127+H134+H141+H73</f>
        <v>239255.56</v>
      </c>
      <c r="I17" s="348">
        <f>I24+I31+I45+I52+I59+I96+I106+I113+I80+I89++I66+I120+I127+I134+I141</f>
        <v>0</v>
      </c>
      <c r="J17" s="349"/>
      <c r="K17" s="349"/>
      <c r="L17" s="349"/>
      <c r="M17" s="350"/>
      <c r="N17" s="211">
        <f t="shared" ref="N17:O17" si="2">N24+N31+N45+N52+N59+N96+N106+N113+N80+N89+N66+N120+N127+N134+N141</f>
        <v>0</v>
      </c>
      <c r="O17" s="211">
        <f t="shared" si="2"/>
        <v>0</v>
      </c>
      <c r="P17" s="304"/>
      <c r="T17" s="44"/>
      <c r="U17" s="44"/>
    </row>
    <row r="18" spans="1:21" s="9" customFormat="1" ht="39.75" customHeight="1" x14ac:dyDescent="0.25">
      <c r="A18" s="274"/>
      <c r="B18" s="342"/>
      <c r="C18" s="342"/>
      <c r="D18" s="146" t="s">
        <v>1</v>
      </c>
      <c r="E18" s="211" t="e">
        <f>E45+E53+#REF!+#REF!</f>
        <v>#REF!</v>
      </c>
      <c r="F18" s="115">
        <f t="shared" si="1"/>
        <v>39281630.900820002</v>
      </c>
      <c r="G18" s="211">
        <f t="shared" ref="G18:H18" si="3">G25+G32+G46+G53+G60+G97+G107+G114+G81+G90+G67+G121+G128+G135+G142</f>
        <v>6836602.4489599997</v>
      </c>
      <c r="H18" s="211">
        <f t="shared" si="3"/>
        <v>7390098.6499100002</v>
      </c>
      <c r="I18" s="348">
        <f>I25+I32+I46+I53+I60+I97+I107+I114+I81+I90++I67+I121+I128+I135+I142+I149</f>
        <v>8703119.8019500002</v>
      </c>
      <c r="J18" s="349"/>
      <c r="K18" s="349"/>
      <c r="L18" s="349"/>
      <c r="M18" s="350"/>
      <c r="N18" s="211">
        <f t="shared" ref="N18:O18" si="4">N25+N32+N46+N53+N60+N97+N107+N114+N81+N90+N67+N121+N128+N135+N142</f>
        <v>8175905</v>
      </c>
      <c r="O18" s="211">
        <f t="shared" si="4"/>
        <v>8175905</v>
      </c>
      <c r="P18" s="304"/>
      <c r="T18" s="44"/>
      <c r="U18" s="44"/>
    </row>
    <row r="19" spans="1:21" s="9" customFormat="1" ht="58.5" customHeight="1" x14ac:dyDescent="0.25">
      <c r="A19" s="274"/>
      <c r="B19" s="342"/>
      <c r="C19" s="342"/>
      <c r="D19" s="146" t="s">
        <v>48</v>
      </c>
      <c r="E19" s="211" t="e">
        <f>E98+E108+E115+#REF!+#REF!+#REF!+#REF!+#REF!</f>
        <v>#REF!</v>
      </c>
      <c r="F19" s="115">
        <f t="shared" si="1"/>
        <v>20380702.354150001</v>
      </c>
      <c r="G19" s="211">
        <f>G26+G33+G47+G54+G61+G98+G108+G115+G82+G91+G68+G122+G129+G136+G143+G40</f>
        <v>2982149.6351000001</v>
      </c>
      <c r="H19" s="211">
        <f t="shared" ref="H19:H20" si="5">H26+H33+H47+H54+H61+H98+H108+H115+H82+H91+H68+H122+H129+H136+H143</f>
        <v>3437604.9343299996</v>
      </c>
      <c r="I19" s="348">
        <f>I26+I33+I47+I54+I61+I98+I108+I115+I82+I91++I68+I122+I129+I136+I143</f>
        <v>5087277.3813200006</v>
      </c>
      <c r="J19" s="349"/>
      <c r="K19" s="349"/>
      <c r="L19" s="349"/>
      <c r="M19" s="350"/>
      <c r="N19" s="211">
        <f t="shared" ref="N19:O19" si="6">N26+N33+N47+N54+N61+N98+N108+N115+N82+N91+N68+N122+N129+N136+N143</f>
        <v>4436950.2242000001</v>
      </c>
      <c r="O19" s="211">
        <f t="shared" si="6"/>
        <v>4436720.1792000001</v>
      </c>
      <c r="P19" s="304"/>
      <c r="T19" s="44"/>
      <c r="U19" s="44"/>
    </row>
    <row r="20" spans="1:21" s="9" customFormat="1" ht="77.25" customHeight="1" x14ac:dyDescent="0.25">
      <c r="A20" s="274"/>
      <c r="B20" s="342"/>
      <c r="C20" s="342"/>
      <c r="D20" s="146" t="s">
        <v>59</v>
      </c>
      <c r="E20" s="211">
        <f>E99</f>
        <v>0</v>
      </c>
      <c r="F20" s="115">
        <f t="shared" ref="F20:F27" si="7">SUM(G20:O20)</f>
        <v>2798298</v>
      </c>
      <c r="G20" s="211">
        <f>G99+G83</f>
        <v>413035</v>
      </c>
      <c r="H20" s="211">
        <f t="shared" si="5"/>
        <v>493052</v>
      </c>
      <c r="I20" s="348">
        <f>I99+I83</f>
        <v>630737</v>
      </c>
      <c r="J20" s="349"/>
      <c r="K20" s="349"/>
      <c r="L20" s="349"/>
      <c r="M20" s="350"/>
      <c r="N20" s="211">
        <f t="shared" ref="N20:O20" si="8">N27+N34+N48+N55+N62+N99+N109+N116+N83+N92+N69+N123+N130+N137+N144</f>
        <v>630737</v>
      </c>
      <c r="O20" s="211">
        <f t="shared" si="8"/>
        <v>630737</v>
      </c>
      <c r="P20" s="304"/>
      <c r="T20" s="44"/>
      <c r="U20" s="44"/>
    </row>
    <row r="21" spans="1:21" s="9" customFormat="1" ht="30.95" customHeight="1" x14ac:dyDescent="0.25">
      <c r="A21" s="274"/>
      <c r="B21" s="342"/>
      <c r="C21" s="342"/>
      <c r="D21" s="146" t="s">
        <v>87</v>
      </c>
      <c r="E21" s="211"/>
      <c r="F21" s="115">
        <f t="shared" si="7"/>
        <v>3073761.1076699998</v>
      </c>
      <c r="G21" s="211">
        <f>G27+G34+G48+G55+G62+G100+G109+G116+G84+G92</f>
        <v>493131.75868000003</v>
      </c>
      <c r="H21" s="211">
        <f>H27+H34+H48+H55+H62+H100+H109+H116+H84+H92</f>
        <v>649647.32850000006</v>
      </c>
      <c r="I21" s="276">
        <f>I27+I34+I48+I55+I62+I100+I109+I116+I84+I92+I123+I130+I137+I144</f>
        <v>676804.16753000009</v>
      </c>
      <c r="J21" s="276"/>
      <c r="K21" s="276"/>
      <c r="L21" s="276"/>
      <c r="M21" s="276"/>
      <c r="N21" s="211">
        <f t="shared" ref="N21:O21" si="9">N27+N34+N48+N55+N62+N100+N109+N116+N84+N92</f>
        <v>627088.92647999991</v>
      </c>
      <c r="O21" s="211">
        <f t="shared" si="9"/>
        <v>627088.92647999991</v>
      </c>
      <c r="P21" s="304"/>
      <c r="T21" s="44"/>
      <c r="U21" s="44"/>
    </row>
    <row r="22" spans="1:21" s="9" customFormat="1" ht="82.5" x14ac:dyDescent="0.25">
      <c r="A22" s="274"/>
      <c r="B22" s="342"/>
      <c r="C22" s="342"/>
      <c r="D22" s="174" t="s">
        <v>88</v>
      </c>
      <c r="E22" s="226">
        <f>E101</f>
        <v>262352.43170000002</v>
      </c>
      <c r="F22" s="115">
        <f t="shared" si="7"/>
        <v>2952076.1176699996</v>
      </c>
      <c r="G22" s="226">
        <f>G101</f>
        <v>469940.35668000003</v>
      </c>
      <c r="H22" s="226">
        <f>H101</f>
        <v>625121.01850000001</v>
      </c>
      <c r="I22" s="307">
        <f>I101</f>
        <v>652277.85753000004</v>
      </c>
      <c r="J22" s="307"/>
      <c r="K22" s="307"/>
      <c r="L22" s="307"/>
      <c r="M22" s="307"/>
      <c r="N22" s="226">
        <f>N101</f>
        <v>602368.44247999997</v>
      </c>
      <c r="O22" s="226">
        <f>O101</f>
        <v>602368.44247999997</v>
      </c>
      <c r="P22" s="304"/>
      <c r="T22" s="44"/>
      <c r="U22" s="44"/>
    </row>
    <row r="23" spans="1:21" s="9" customFormat="1" ht="69" x14ac:dyDescent="0.25">
      <c r="A23" s="274"/>
      <c r="B23" s="342"/>
      <c r="C23" s="342"/>
      <c r="D23" s="147" t="s">
        <v>89</v>
      </c>
      <c r="E23" s="226">
        <f>E102</f>
        <v>8751.5480000000007</v>
      </c>
      <c r="F23" s="115">
        <f t="shared" si="7"/>
        <v>121684.98999999999</v>
      </c>
      <c r="G23" s="226">
        <f>G102+G85</f>
        <v>23191.402000000002</v>
      </c>
      <c r="H23" s="226">
        <f>H102+H85</f>
        <v>24526.31</v>
      </c>
      <c r="I23" s="307">
        <f>I102+I85</f>
        <v>24526.31</v>
      </c>
      <c r="J23" s="307"/>
      <c r="K23" s="307"/>
      <c r="L23" s="307"/>
      <c r="M23" s="307"/>
      <c r="N23" s="226">
        <f>N102+N85</f>
        <v>24720.484</v>
      </c>
      <c r="O23" s="226">
        <f>O102+O85</f>
        <v>24720.484</v>
      </c>
      <c r="P23" s="304"/>
      <c r="T23" s="44"/>
      <c r="U23" s="44"/>
    </row>
    <row r="24" spans="1:21" s="168" customFormat="1" ht="36.75" customHeight="1" x14ac:dyDescent="0.25">
      <c r="A24" s="268" t="s">
        <v>26</v>
      </c>
      <c r="B24" s="283" t="s">
        <v>126</v>
      </c>
      <c r="C24" s="282" t="s">
        <v>45</v>
      </c>
      <c r="D24" s="148" t="s">
        <v>40</v>
      </c>
      <c r="E24" s="221">
        <v>0</v>
      </c>
      <c r="F24" s="115">
        <f t="shared" si="7"/>
        <v>0</v>
      </c>
      <c r="G24" s="221">
        <v>0</v>
      </c>
      <c r="H24" s="221">
        <v>0</v>
      </c>
      <c r="I24" s="294">
        <v>0</v>
      </c>
      <c r="J24" s="294"/>
      <c r="K24" s="294"/>
      <c r="L24" s="294"/>
      <c r="M24" s="294"/>
      <c r="N24" s="221">
        <v>0</v>
      </c>
      <c r="O24" s="221">
        <v>0</v>
      </c>
      <c r="P24" s="257" t="s">
        <v>197</v>
      </c>
    </row>
    <row r="25" spans="1:21" s="168" customFormat="1" ht="34.5" x14ac:dyDescent="0.25">
      <c r="A25" s="268"/>
      <c r="B25" s="283"/>
      <c r="C25" s="282"/>
      <c r="D25" s="148" t="s">
        <v>1</v>
      </c>
      <c r="E25" s="221"/>
      <c r="F25" s="115">
        <f t="shared" si="7"/>
        <v>0</v>
      </c>
      <c r="G25" s="221">
        <v>0</v>
      </c>
      <c r="H25" s="221">
        <v>0</v>
      </c>
      <c r="I25" s="294">
        <v>0</v>
      </c>
      <c r="J25" s="294"/>
      <c r="K25" s="294"/>
      <c r="L25" s="294"/>
      <c r="M25" s="294"/>
      <c r="N25" s="221">
        <v>0</v>
      </c>
      <c r="O25" s="221">
        <v>0</v>
      </c>
      <c r="P25" s="257"/>
    </row>
    <row r="26" spans="1:21" s="168" customFormat="1" ht="54" customHeight="1" x14ac:dyDescent="0.25">
      <c r="A26" s="268"/>
      <c r="B26" s="283"/>
      <c r="C26" s="282"/>
      <c r="D26" s="148" t="s">
        <v>48</v>
      </c>
      <c r="E26" s="221">
        <v>0</v>
      </c>
      <c r="F26" s="115">
        <f t="shared" si="7"/>
        <v>201567.54709000001</v>
      </c>
      <c r="G26" s="221">
        <v>201567.54709000001</v>
      </c>
      <c r="H26" s="221">
        <v>0</v>
      </c>
      <c r="I26" s="294">
        <f>4921.09299-4921.09299</f>
        <v>0</v>
      </c>
      <c r="J26" s="294"/>
      <c r="K26" s="294"/>
      <c r="L26" s="294"/>
      <c r="M26" s="294"/>
      <c r="N26" s="221">
        <f>200000-200000</f>
        <v>0</v>
      </c>
      <c r="O26" s="221">
        <f>200000-200000</f>
        <v>0</v>
      </c>
      <c r="P26" s="257"/>
      <c r="Q26" s="169"/>
    </row>
    <row r="27" spans="1:21" s="168" customFormat="1" ht="33.75" customHeight="1" x14ac:dyDescent="0.25">
      <c r="A27" s="268"/>
      <c r="B27" s="283"/>
      <c r="C27" s="282"/>
      <c r="D27" s="148" t="s">
        <v>87</v>
      </c>
      <c r="E27" s="221"/>
      <c r="F27" s="115">
        <f t="shared" si="7"/>
        <v>0</v>
      </c>
      <c r="G27" s="221">
        <v>0</v>
      </c>
      <c r="H27" s="221">
        <v>0</v>
      </c>
      <c r="I27" s="294">
        <v>0</v>
      </c>
      <c r="J27" s="294"/>
      <c r="K27" s="294"/>
      <c r="L27" s="294"/>
      <c r="M27" s="294"/>
      <c r="N27" s="221">
        <v>0</v>
      </c>
      <c r="O27" s="221">
        <v>0</v>
      </c>
      <c r="P27" s="257"/>
      <c r="Q27" s="169"/>
    </row>
    <row r="28" spans="1:21" s="168" customFormat="1" ht="26.25" customHeight="1" x14ac:dyDescent="0.25">
      <c r="A28" s="268"/>
      <c r="B28" s="296" t="s">
        <v>185</v>
      </c>
      <c r="C28" s="278" t="s">
        <v>116</v>
      </c>
      <c r="D28" s="284" t="s">
        <v>116</v>
      </c>
      <c r="E28" s="215"/>
      <c r="F28" s="285" t="s">
        <v>117</v>
      </c>
      <c r="G28" s="212" t="s">
        <v>228</v>
      </c>
      <c r="H28" s="212" t="s">
        <v>229</v>
      </c>
      <c r="I28" s="277" t="s">
        <v>123</v>
      </c>
      <c r="J28" s="281" t="s">
        <v>118</v>
      </c>
      <c r="K28" s="281"/>
      <c r="L28" s="281"/>
      <c r="M28" s="281"/>
      <c r="N28" s="212" t="s">
        <v>124</v>
      </c>
      <c r="O28" s="212" t="s">
        <v>125</v>
      </c>
      <c r="P28" s="257" t="s">
        <v>116</v>
      </c>
      <c r="Q28" s="169"/>
    </row>
    <row r="29" spans="1:21" s="168" customFormat="1" ht="24" customHeight="1" x14ac:dyDescent="0.25">
      <c r="A29" s="268"/>
      <c r="B29" s="296"/>
      <c r="C29" s="278"/>
      <c r="D29" s="284"/>
      <c r="E29" s="215"/>
      <c r="F29" s="285"/>
      <c r="G29" s="215"/>
      <c r="H29" s="215"/>
      <c r="I29" s="277"/>
      <c r="J29" s="215" t="s">
        <v>119</v>
      </c>
      <c r="K29" s="215" t="s">
        <v>120</v>
      </c>
      <c r="L29" s="215" t="s">
        <v>121</v>
      </c>
      <c r="M29" s="215" t="s">
        <v>122</v>
      </c>
      <c r="N29" s="215"/>
      <c r="O29" s="215"/>
      <c r="P29" s="257"/>
      <c r="Q29" s="169"/>
    </row>
    <row r="30" spans="1:21" s="168" customFormat="1" ht="25.5" customHeight="1" x14ac:dyDescent="0.25">
      <c r="A30" s="268"/>
      <c r="B30" s="296"/>
      <c r="C30" s="278"/>
      <c r="D30" s="284"/>
      <c r="E30" s="215"/>
      <c r="F30" s="116">
        <f>I30+H30+N30+O30+G30</f>
        <v>1</v>
      </c>
      <c r="G30" s="182">
        <v>1</v>
      </c>
      <c r="H30" s="182">
        <v>0</v>
      </c>
      <c r="I30" s="182">
        <v>0</v>
      </c>
      <c r="J30" s="182">
        <v>0</v>
      </c>
      <c r="K30" s="182">
        <v>0</v>
      </c>
      <c r="L30" s="182">
        <v>0</v>
      </c>
      <c r="M30" s="182">
        <v>0</v>
      </c>
      <c r="N30" s="182">
        <v>0</v>
      </c>
      <c r="O30" s="182">
        <v>0</v>
      </c>
      <c r="P30" s="257"/>
      <c r="Q30" s="169"/>
    </row>
    <row r="31" spans="1:21" s="168" customFormat="1" ht="36.75" customHeight="1" x14ac:dyDescent="0.25">
      <c r="A31" s="254" t="s">
        <v>27</v>
      </c>
      <c r="B31" s="366" t="s">
        <v>127</v>
      </c>
      <c r="C31" s="286" t="s">
        <v>86</v>
      </c>
      <c r="D31" s="149" t="s">
        <v>40</v>
      </c>
      <c r="E31" s="217">
        <v>750</v>
      </c>
      <c r="F31" s="115">
        <f t="shared" ref="F31:F34" si="10">SUM(G31:O31)</f>
        <v>0</v>
      </c>
      <c r="G31" s="217">
        <v>0</v>
      </c>
      <c r="H31" s="217">
        <v>0</v>
      </c>
      <c r="I31" s="290">
        <v>0</v>
      </c>
      <c r="J31" s="290"/>
      <c r="K31" s="290"/>
      <c r="L31" s="290"/>
      <c r="M31" s="290"/>
      <c r="N31" s="217">
        <v>0</v>
      </c>
      <c r="O31" s="217">
        <v>0</v>
      </c>
      <c r="P31" s="300" t="s">
        <v>196</v>
      </c>
    </row>
    <row r="32" spans="1:21" s="168" customFormat="1" ht="34.5" x14ac:dyDescent="0.25">
      <c r="A32" s="255"/>
      <c r="B32" s="366"/>
      <c r="C32" s="286"/>
      <c r="D32" s="149" t="s">
        <v>1</v>
      </c>
      <c r="E32" s="217"/>
      <c r="F32" s="115">
        <f t="shared" si="10"/>
        <v>0</v>
      </c>
      <c r="G32" s="217">
        <v>0</v>
      </c>
      <c r="H32" s="217">
        <v>0</v>
      </c>
      <c r="I32" s="290">
        <v>0</v>
      </c>
      <c r="J32" s="290"/>
      <c r="K32" s="290"/>
      <c r="L32" s="290"/>
      <c r="M32" s="290"/>
      <c r="N32" s="217">
        <v>0</v>
      </c>
      <c r="O32" s="217">
        <v>0</v>
      </c>
      <c r="P32" s="300"/>
    </row>
    <row r="33" spans="1:17" s="168" customFormat="1" ht="50.25" customHeight="1" x14ac:dyDescent="0.25">
      <c r="A33" s="255"/>
      <c r="B33" s="366"/>
      <c r="C33" s="286"/>
      <c r="D33" s="149" t="s">
        <v>48</v>
      </c>
      <c r="E33" s="217">
        <v>7541.03</v>
      </c>
      <c r="F33" s="115">
        <f t="shared" si="10"/>
        <v>1556083.0710399998</v>
      </c>
      <c r="G33" s="217">
        <v>286365.54175999999</v>
      </c>
      <c r="H33" s="217">
        <v>288191.69627999997</v>
      </c>
      <c r="I33" s="360">
        <v>336833.83299999998</v>
      </c>
      <c r="J33" s="360"/>
      <c r="K33" s="360"/>
      <c r="L33" s="360"/>
      <c r="M33" s="360"/>
      <c r="N33" s="217">
        <v>322346</v>
      </c>
      <c r="O33" s="217">
        <v>322346</v>
      </c>
      <c r="P33" s="300"/>
    </row>
    <row r="34" spans="1:17" s="168" customFormat="1" ht="42.75" customHeight="1" x14ac:dyDescent="0.25">
      <c r="A34" s="255"/>
      <c r="B34" s="366"/>
      <c r="C34" s="286"/>
      <c r="D34" s="149" t="s">
        <v>87</v>
      </c>
      <c r="E34" s="217"/>
      <c r="F34" s="115">
        <f t="shared" si="10"/>
        <v>0</v>
      </c>
      <c r="G34" s="217">
        <v>0</v>
      </c>
      <c r="H34" s="217">
        <v>0</v>
      </c>
      <c r="I34" s="290">
        <v>0</v>
      </c>
      <c r="J34" s="290"/>
      <c r="K34" s="290"/>
      <c r="L34" s="290"/>
      <c r="M34" s="290"/>
      <c r="N34" s="217">
        <v>0</v>
      </c>
      <c r="O34" s="217">
        <v>0</v>
      </c>
      <c r="P34" s="300"/>
    </row>
    <row r="35" spans="1:17" s="168" customFormat="1" ht="26.25" customHeight="1" x14ac:dyDescent="0.25">
      <c r="A35" s="255"/>
      <c r="B35" s="296" t="s">
        <v>177</v>
      </c>
      <c r="C35" s="278" t="s">
        <v>116</v>
      </c>
      <c r="D35" s="284" t="s">
        <v>116</v>
      </c>
      <c r="E35" s="215"/>
      <c r="F35" s="285" t="s">
        <v>117</v>
      </c>
      <c r="G35" s="212" t="s">
        <v>228</v>
      </c>
      <c r="H35" s="212" t="s">
        <v>229</v>
      </c>
      <c r="I35" s="277" t="s">
        <v>123</v>
      </c>
      <c r="J35" s="281" t="s">
        <v>118</v>
      </c>
      <c r="K35" s="281"/>
      <c r="L35" s="281"/>
      <c r="M35" s="281"/>
      <c r="N35" s="212" t="s">
        <v>124</v>
      </c>
      <c r="O35" s="212" t="s">
        <v>125</v>
      </c>
      <c r="P35" s="257" t="s">
        <v>116</v>
      </c>
      <c r="Q35" s="169"/>
    </row>
    <row r="36" spans="1:17" s="168" customFormat="1" ht="17.25" customHeight="1" x14ac:dyDescent="0.25">
      <c r="A36" s="255"/>
      <c r="B36" s="296"/>
      <c r="C36" s="278"/>
      <c r="D36" s="284"/>
      <c r="E36" s="215"/>
      <c r="F36" s="285"/>
      <c r="G36" s="215"/>
      <c r="H36" s="215"/>
      <c r="I36" s="277"/>
      <c r="J36" s="215" t="s">
        <v>119</v>
      </c>
      <c r="K36" s="215" t="s">
        <v>120</v>
      </c>
      <c r="L36" s="215" t="s">
        <v>121</v>
      </c>
      <c r="M36" s="215" t="s">
        <v>122</v>
      </c>
      <c r="N36" s="215"/>
      <c r="O36" s="215"/>
      <c r="P36" s="257"/>
      <c r="Q36" s="169"/>
    </row>
    <row r="37" spans="1:17" s="168" customFormat="1" ht="30" customHeight="1" x14ac:dyDescent="0.25">
      <c r="A37" s="256"/>
      <c r="B37" s="296"/>
      <c r="C37" s="278"/>
      <c r="D37" s="284"/>
      <c r="E37" s="215"/>
      <c r="F37" s="116">
        <v>100</v>
      </c>
      <c r="G37" s="182">
        <v>100</v>
      </c>
      <c r="H37" s="182">
        <v>100</v>
      </c>
      <c r="I37" s="182">
        <v>100</v>
      </c>
      <c r="J37" s="182">
        <v>100</v>
      </c>
      <c r="K37" s="182">
        <v>100</v>
      </c>
      <c r="L37" s="182">
        <v>100</v>
      </c>
      <c r="M37" s="182">
        <v>100</v>
      </c>
      <c r="N37" s="182">
        <v>100</v>
      </c>
      <c r="O37" s="182">
        <v>100</v>
      </c>
      <c r="P37" s="257"/>
      <c r="Q37" s="169"/>
    </row>
    <row r="38" spans="1:17" s="168" customFormat="1" ht="36.75" customHeight="1" x14ac:dyDescent="0.25">
      <c r="A38" s="269" t="s">
        <v>28</v>
      </c>
      <c r="B38" s="366" t="s">
        <v>189</v>
      </c>
      <c r="C38" s="286" t="s">
        <v>45</v>
      </c>
      <c r="D38" s="149" t="s">
        <v>40</v>
      </c>
      <c r="E38" s="217">
        <v>750</v>
      </c>
      <c r="F38" s="115">
        <f>SUM(G38:O38)</f>
        <v>0</v>
      </c>
      <c r="G38" s="217">
        <v>0</v>
      </c>
      <c r="H38" s="217">
        <v>0</v>
      </c>
      <c r="I38" s="290">
        <v>0</v>
      </c>
      <c r="J38" s="290"/>
      <c r="K38" s="290"/>
      <c r="L38" s="290"/>
      <c r="M38" s="290"/>
      <c r="N38" s="217">
        <v>0</v>
      </c>
      <c r="O38" s="217">
        <v>0</v>
      </c>
      <c r="P38" s="300" t="s">
        <v>3</v>
      </c>
    </row>
    <row r="39" spans="1:17" s="168" customFormat="1" ht="34.5" x14ac:dyDescent="0.25">
      <c r="A39" s="269"/>
      <c r="B39" s="366"/>
      <c r="C39" s="286"/>
      <c r="D39" s="149" t="s">
        <v>1</v>
      </c>
      <c r="E39" s="217"/>
      <c r="F39" s="115">
        <f>SUM(G39:O39)</f>
        <v>0</v>
      </c>
      <c r="G39" s="217">
        <v>0</v>
      </c>
      <c r="H39" s="217">
        <v>0</v>
      </c>
      <c r="I39" s="290">
        <v>0</v>
      </c>
      <c r="J39" s="290"/>
      <c r="K39" s="290"/>
      <c r="L39" s="290"/>
      <c r="M39" s="290"/>
      <c r="N39" s="217">
        <v>0</v>
      </c>
      <c r="O39" s="217">
        <v>0</v>
      </c>
      <c r="P39" s="300"/>
    </row>
    <row r="40" spans="1:17" s="168" customFormat="1" ht="55.5" customHeight="1" x14ac:dyDescent="0.25">
      <c r="A40" s="269"/>
      <c r="B40" s="366"/>
      <c r="C40" s="286"/>
      <c r="D40" s="149" t="s">
        <v>48</v>
      </c>
      <c r="E40" s="217">
        <v>7541.03</v>
      </c>
      <c r="F40" s="115">
        <f>SUM(G40:O40)</f>
        <v>8170.7688399999997</v>
      </c>
      <c r="G40" s="217">
        <v>8170.7688399999997</v>
      </c>
      <c r="H40" s="217">
        <v>0</v>
      </c>
      <c r="I40" s="290">
        <v>0</v>
      </c>
      <c r="J40" s="290"/>
      <c r="K40" s="290"/>
      <c r="L40" s="290"/>
      <c r="M40" s="290"/>
      <c r="N40" s="217">
        <v>0</v>
      </c>
      <c r="O40" s="217">
        <v>0</v>
      </c>
      <c r="P40" s="300"/>
    </row>
    <row r="41" spans="1:17" s="168" customFormat="1" ht="43.5" customHeight="1" x14ac:dyDescent="0.25">
      <c r="A41" s="269"/>
      <c r="B41" s="366"/>
      <c r="C41" s="286"/>
      <c r="D41" s="149" t="s">
        <v>87</v>
      </c>
      <c r="E41" s="217"/>
      <c r="F41" s="115">
        <f>SUM(G41:O41)</f>
        <v>0</v>
      </c>
      <c r="G41" s="217">
        <v>0</v>
      </c>
      <c r="H41" s="217">
        <v>0</v>
      </c>
      <c r="I41" s="290">
        <v>0</v>
      </c>
      <c r="J41" s="290"/>
      <c r="K41" s="290"/>
      <c r="L41" s="290"/>
      <c r="M41" s="290"/>
      <c r="N41" s="217">
        <v>0</v>
      </c>
      <c r="O41" s="217">
        <v>0</v>
      </c>
      <c r="P41" s="300"/>
    </row>
    <row r="42" spans="1:17" s="168" customFormat="1" ht="31.5" customHeight="1" x14ac:dyDescent="0.25">
      <c r="A42" s="269"/>
      <c r="B42" s="296" t="s">
        <v>191</v>
      </c>
      <c r="C42" s="278" t="s">
        <v>116</v>
      </c>
      <c r="D42" s="284" t="s">
        <v>116</v>
      </c>
      <c r="E42" s="215"/>
      <c r="F42" s="285" t="s">
        <v>117</v>
      </c>
      <c r="G42" s="212" t="s">
        <v>228</v>
      </c>
      <c r="H42" s="212" t="s">
        <v>229</v>
      </c>
      <c r="I42" s="277" t="s">
        <v>123</v>
      </c>
      <c r="J42" s="281" t="s">
        <v>118</v>
      </c>
      <c r="K42" s="281"/>
      <c r="L42" s="281"/>
      <c r="M42" s="281"/>
      <c r="N42" s="212" t="s">
        <v>124</v>
      </c>
      <c r="O42" s="212" t="s">
        <v>125</v>
      </c>
      <c r="P42" s="257" t="s">
        <v>116</v>
      </c>
      <c r="Q42" s="169"/>
    </row>
    <row r="43" spans="1:17" s="168" customFormat="1" ht="27" customHeight="1" x14ac:dyDescent="0.25">
      <c r="A43" s="269"/>
      <c r="B43" s="296"/>
      <c r="C43" s="278"/>
      <c r="D43" s="284"/>
      <c r="E43" s="215"/>
      <c r="F43" s="285"/>
      <c r="G43" s="215"/>
      <c r="H43" s="215"/>
      <c r="I43" s="277"/>
      <c r="J43" s="215" t="s">
        <v>119</v>
      </c>
      <c r="K43" s="215" t="s">
        <v>120</v>
      </c>
      <c r="L43" s="215" t="s">
        <v>121</v>
      </c>
      <c r="M43" s="215" t="s">
        <v>122</v>
      </c>
      <c r="N43" s="215"/>
      <c r="O43" s="215"/>
      <c r="P43" s="257"/>
      <c r="Q43" s="169"/>
    </row>
    <row r="44" spans="1:17" s="168" customFormat="1" ht="37.9" customHeight="1" x14ac:dyDescent="0.25">
      <c r="A44" s="269"/>
      <c r="B44" s="296"/>
      <c r="C44" s="278"/>
      <c r="D44" s="284"/>
      <c r="E44" s="215"/>
      <c r="F44" s="116">
        <f>I44+H44+G44+N44+O44</f>
        <v>5</v>
      </c>
      <c r="G44" s="182">
        <v>5</v>
      </c>
      <c r="H44" s="182">
        <v>0</v>
      </c>
      <c r="I44" s="182">
        <v>0</v>
      </c>
      <c r="J44" s="182">
        <v>0</v>
      </c>
      <c r="K44" s="182">
        <v>0</v>
      </c>
      <c r="L44" s="182">
        <v>0</v>
      </c>
      <c r="M44" s="182">
        <v>0</v>
      </c>
      <c r="N44" s="182">
        <v>0</v>
      </c>
      <c r="O44" s="182">
        <v>0</v>
      </c>
      <c r="P44" s="257"/>
      <c r="Q44" s="169"/>
    </row>
    <row r="45" spans="1:17" s="168" customFormat="1" ht="58.9" customHeight="1" x14ac:dyDescent="0.25">
      <c r="A45" s="271" t="s">
        <v>29</v>
      </c>
      <c r="B45" s="341" t="s">
        <v>128</v>
      </c>
      <c r="C45" s="286" t="s">
        <v>86</v>
      </c>
      <c r="D45" s="149" t="s">
        <v>40</v>
      </c>
      <c r="E45" s="217">
        <v>2978099</v>
      </c>
      <c r="F45" s="115">
        <f t="shared" ref="F45:F48" si="11">SUM(G45:O45)</f>
        <v>393751</v>
      </c>
      <c r="G45" s="217">
        <v>155511</v>
      </c>
      <c r="H45" s="217">
        <v>238240</v>
      </c>
      <c r="I45" s="290">
        <v>0</v>
      </c>
      <c r="J45" s="290"/>
      <c r="K45" s="290"/>
      <c r="L45" s="290"/>
      <c r="M45" s="290"/>
      <c r="N45" s="217">
        <v>0</v>
      </c>
      <c r="O45" s="217">
        <v>0</v>
      </c>
      <c r="P45" s="300" t="s">
        <v>3</v>
      </c>
    </row>
    <row r="46" spans="1:17" s="168" customFormat="1" ht="63" customHeight="1" x14ac:dyDescent="0.25">
      <c r="A46" s="271"/>
      <c r="B46" s="341"/>
      <c r="C46" s="286"/>
      <c r="D46" s="149" t="s">
        <v>1</v>
      </c>
      <c r="E46" s="217"/>
      <c r="F46" s="115">
        <f t="shared" si="11"/>
        <v>34774352.900820002</v>
      </c>
      <c r="G46" s="217">
        <v>6267494.4489599997</v>
      </c>
      <c r="H46" s="217">
        <v>6748050.6499100002</v>
      </c>
      <c r="I46" s="360">
        <f>7641602+599.80195</f>
        <v>7642201.8019500002</v>
      </c>
      <c r="J46" s="360"/>
      <c r="K46" s="360"/>
      <c r="L46" s="360"/>
      <c r="M46" s="360"/>
      <c r="N46" s="217">
        <v>7058303</v>
      </c>
      <c r="O46" s="217">
        <v>7058303</v>
      </c>
      <c r="P46" s="300"/>
    </row>
    <row r="47" spans="1:17" s="168" customFormat="1" ht="71.25" customHeight="1" x14ac:dyDescent="0.25">
      <c r="A47" s="271"/>
      <c r="B47" s="341"/>
      <c r="C47" s="286"/>
      <c r="D47" s="149" t="s">
        <v>48</v>
      </c>
      <c r="E47" s="217"/>
      <c r="F47" s="115">
        <f t="shared" si="11"/>
        <v>0</v>
      </c>
      <c r="G47" s="217">
        <v>0</v>
      </c>
      <c r="H47" s="217">
        <v>0</v>
      </c>
      <c r="I47" s="290">
        <v>0</v>
      </c>
      <c r="J47" s="290"/>
      <c r="K47" s="290"/>
      <c r="L47" s="290"/>
      <c r="M47" s="290"/>
      <c r="N47" s="217">
        <v>0</v>
      </c>
      <c r="O47" s="217">
        <v>0</v>
      </c>
      <c r="P47" s="300"/>
    </row>
    <row r="48" spans="1:17" s="168" customFormat="1" ht="72" customHeight="1" x14ac:dyDescent="0.25">
      <c r="A48" s="271"/>
      <c r="B48" s="341"/>
      <c r="C48" s="286"/>
      <c r="D48" s="149" t="s">
        <v>87</v>
      </c>
      <c r="E48" s="217"/>
      <c r="F48" s="115">
        <f t="shared" si="11"/>
        <v>0</v>
      </c>
      <c r="G48" s="217">
        <v>0</v>
      </c>
      <c r="H48" s="217">
        <v>0</v>
      </c>
      <c r="I48" s="290">
        <v>0</v>
      </c>
      <c r="J48" s="290"/>
      <c r="K48" s="290"/>
      <c r="L48" s="290"/>
      <c r="M48" s="290"/>
      <c r="N48" s="217">
        <v>0</v>
      </c>
      <c r="O48" s="217">
        <v>0</v>
      </c>
      <c r="P48" s="300"/>
    </row>
    <row r="49" spans="1:17" s="168" customFormat="1" ht="34.5" customHeight="1" x14ac:dyDescent="0.25">
      <c r="A49" s="271"/>
      <c r="B49" s="296" t="s">
        <v>150</v>
      </c>
      <c r="C49" s="278" t="s">
        <v>116</v>
      </c>
      <c r="D49" s="284" t="s">
        <v>116</v>
      </c>
      <c r="E49" s="215"/>
      <c r="F49" s="285" t="s">
        <v>117</v>
      </c>
      <c r="G49" s="212" t="s">
        <v>228</v>
      </c>
      <c r="H49" s="212" t="s">
        <v>229</v>
      </c>
      <c r="I49" s="277" t="s">
        <v>123</v>
      </c>
      <c r="J49" s="281" t="s">
        <v>118</v>
      </c>
      <c r="K49" s="281"/>
      <c r="L49" s="281"/>
      <c r="M49" s="281"/>
      <c r="N49" s="212" t="s">
        <v>124</v>
      </c>
      <c r="O49" s="212" t="s">
        <v>125</v>
      </c>
      <c r="P49" s="257" t="s">
        <v>116</v>
      </c>
      <c r="Q49" s="169"/>
    </row>
    <row r="50" spans="1:17" s="168" customFormat="1" ht="28.5" customHeight="1" x14ac:dyDescent="0.25">
      <c r="A50" s="271"/>
      <c r="B50" s="296"/>
      <c r="C50" s="278"/>
      <c r="D50" s="284"/>
      <c r="E50" s="215"/>
      <c r="F50" s="285"/>
      <c r="G50" s="215"/>
      <c r="H50" s="215"/>
      <c r="I50" s="277"/>
      <c r="J50" s="215" t="s">
        <v>119</v>
      </c>
      <c r="K50" s="215" t="s">
        <v>120</v>
      </c>
      <c r="L50" s="215" t="s">
        <v>121</v>
      </c>
      <c r="M50" s="215" t="s">
        <v>122</v>
      </c>
      <c r="N50" s="215"/>
      <c r="O50" s="215"/>
      <c r="P50" s="257"/>
      <c r="Q50" s="169"/>
    </row>
    <row r="51" spans="1:17" s="168" customFormat="1" ht="72" customHeight="1" x14ac:dyDescent="0.25">
      <c r="A51" s="271"/>
      <c r="B51" s="296"/>
      <c r="C51" s="278"/>
      <c r="D51" s="284"/>
      <c r="E51" s="215"/>
      <c r="F51" s="116">
        <v>100</v>
      </c>
      <c r="G51" s="182">
        <v>100</v>
      </c>
      <c r="H51" s="182">
        <v>100</v>
      </c>
      <c r="I51" s="182">
        <v>100</v>
      </c>
      <c r="J51" s="182">
        <v>100</v>
      </c>
      <c r="K51" s="182">
        <v>100</v>
      </c>
      <c r="L51" s="182">
        <v>100</v>
      </c>
      <c r="M51" s="182">
        <v>100</v>
      </c>
      <c r="N51" s="182">
        <v>100</v>
      </c>
      <c r="O51" s="182">
        <v>100</v>
      </c>
      <c r="P51" s="257"/>
      <c r="Q51" s="169"/>
    </row>
    <row r="52" spans="1:17" s="168" customFormat="1" ht="46.5" customHeight="1" x14ac:dyDescent="0.25">
      <c r="A52" s="269" t="s">
        <v>56</v>
      </c>
      <c r="B52" s="372" t="s">
        <v>223</v>
      </c>
      <c r="C52" s="286" t="s">
        <v>86</v>
      </c>
      <c r="D52" s="149" t="s">
        <v>40</v>
      </c>
      <c r="E52" s="217"/>
      <c r="F52" s="115">
        <f t="shared" ref="F52:F55" si="12">SUM(G52:O52)</f>
        <v>0</v>
      </c>
      <c r="G52" s="217">
        <v>0</v>
      </c>
      <c r="H52" s="217">
        <v>0</v>
      </c>
      <c r="I52" s="290">
        <v>0</v>
      </c>
      <c r="J52" s="290"/>
      <c r="K52" s="290"/>
      <c r="L52" s="290"/>
      <c r="M52" s="290"/>
      <c r="N52" s="217">
        <v>0</v>
      </c>
      <c r="O52" s="217">
        <v>0</v>
      </c>
      <c r="P52" s="300" t="s">
        <v>3</v>
      </c>
    </row>
    <row r="53" spans="1:17" s="168" customFormat="1" ht="51" customHeight="1" x14ac:dyDescent="0.25">
      <c r="A53" s="269"/>
      <c r="B53" s="372"/>
      <c r="C53" s="286"/>
      <c r="D53" s="149" t="s">
        <v>1</v>
      </c>
      <c r="E53" s="217">
        <v>264347</v>
      </c>
      <c r="F53" s="115">
        <f t="shared" si="12"/>
        <v>2634421</v>
      </c>
      <c r="G53" s="217">
        <v>456194</v>
      </c>
      <c r="H53" s="217">
        <v>485312</v>
      </c>
      <c r="I53" s="360">
        <v>627027</v>
      </c>
      <c r="J53" s="360"/>
      <c r="K53" s="360"/>
      <c r="L53" s="360"/>
      <c r="M53" s="360"/>
      <c r="N53" s="217">
        <v>532944</v>
      </c>
      <c r="O53" s="217">
        <v>532944</v>
      </c>
      <c r="P53" s="300"/>
    </row>
    <row r="54" spans="1:17" s="168" customFormat="1" ht="59.45" customHeight="1" x14ac:dyDescent="0.25">
      <c r="A54" s="269"/>
      <c r="B54" s="372"/>
      <c r="C54" s="286"/>
      <c r="D54" s="149" t="s">
        <v>48</v>
      </c>
      <c r="E54" s="217"/>
      <c r="F54" s="115">
        <f t="shared" si="12"/>
        <v>0</v>
      </c>
      <c r="G54" s="217">
        <v>0</v>
      </c>
      <c r="H54" s="217">
        <v>0</v>
      </c>
      <c r="I54" s="290">
        <v>0</v>
      </c>
      <c r="J54" s="290"/>
      <c r="K54" s="290"/>
      <c r="L54" s="290"/>
      <c r="M54" s="290"/>
      <c r="N54" s="217">
        <v>0</v>
      </c>
      <c r="O54" s="217">
        <v>0</v>
      </c>
      <c r="P54" s="300"/>
    </row>
    <row r="55" spans="1:17" s="168" customFormat="1" ht="69" customHeight="1" x14ac:dyDescent="0.25">
      <c r="A55" s="269"/>
      <c r="B55" s="372"/>
      <c r="C55" s="286"/>
      <c r="D55" s="149" t="s">
        <v>87</v>
      </c>
      <c r="E55" s="217"/>
      <c r="F55" s="115">
        <f t="shared" si="12"/>
        <v>0</v>
      </c>
      <c r="G55" s="217">
        <v>0</v>
      </c>
      <c r="H55" s="217">
        <v>0</v>
      </c>
      <c r="I55" s="290">
        <v>0</v>
      </c>
      <c r="J55" s="290"/>
      <c r="K55" s="290"/>
      <c r="L55" s="290"/>
      <c r="M55" s="290"/>
      <c r="N55" s="217">
        <v>0</v>
      </c>
      <c r="O55" s="217">
        <v>0</v>
      </c>
      <c r="P55" s="300"/>
    </row>
    <row r="56" spans="1:17" s="168" customFormat="1" ht="30.75" customHeight="1" x14ac:dyDescent="0.25">
      <c r="A56" s="269"/>
      <c r="B56" s="287" t="s">
        <v>151</v>
      </c>
      <c r="C56" s="278" t="s">
        <v>116</v>
      </c>
      <c r="D56" s="284" t="s">
        <v>116</v>
      </c>
      <c r="E56" s="215"/>
      <c r="F56" s="285" t="s">
        <v>117</v>
      </c>
      <c r="G56" s="212" t="s">
        <v>228</v>
      </c>
      <c r="H56" s="212" t="s">
        <v>229</v>
      </c>
      <c r="I56" s="277" t="s">
        <v>123</v>
      </c>
      <c r="J56" s="281" t="s">
        <v>118</v>
      </c>
      <c r="K56" s="281"/>
      <c r="L56" s="281"/>
      <c r="M56" s="281"/>
      <c r="N56" s="212" t="s">
        <v>124</v>
      </c>
      <c r="O56" s="212" t="s">
        <v>125</v>
      </c>
      <c r="P56" s="257" t="s">
        <v>116</v>
      </c>
      <c r="Q56" s="169"/>
    </row>
    <row r="57" spans="1:17" s="168" customFormat="1" ht="30.75" customHeight="1" x14ac:dyDescent="0.25">
      <c r="A57" s="269"/>
      <c r="B57" s="287"/>
      <c r="C57" s="278"/>
      <c r="D57" s="284"/>
      <c r="E57" s="215"/>
      <c r="F57" s="285"/>
      <c r="G57" s="215"/>
      <c r="H57" s="215"/>
      <c r="I57" s="277"/>
      <c r="J57" s="215" t="s">
        <v>119</v>
      </c>
      <c r="K57" s="215" t="s">
        <v>120</v>
      </c>
      <c r="L57" s="215" t="s">
        <v>121</v>
      </c>
      <c r="M57" s="215" t="s">
        <v>122</v>
      </c>
      <c r="N57" s="215"/>
      <c r="O57" s="215"/>
      <c r="P57" s="257"/>
      <c r="Q57" s="169"/>
    </row>
    <row r="58" spans="1:17" s="168" customFormat="1" ht="60.75" customHeight="1" x14ac:dyDescent="0.25">
      <c r="A58" s="269"/>
      <c r="B58" s="287"/>
      <c r="C58" s="278"/>
      <c r="D58" s="284"/>
      <c r="E58" s="215"/>
      <c r="F58" s="116">
        <v>100</v>
      </c>
      <c r="G58" s="106">
        <v>100</v>
      </c>
      <c r="H58" s="106">
        <v>100</v>
      </c>
      <c r="I58" s="106">
        <v>100</v>
      </c>
      <c r="J58" s="106">
        <v>100</v>
      </c>
      <c r="K58" s="106">
        <v>100</v>
      </c>
      <c r="L58" s="106">
        <v>100</v>
      </c>
      <c r="M58" s="106">
        <v>100</v>
      </c>
      <c r="N58" s="106">
        <v>100</v>
      </c>
      <c r="O58" s="106">
        <v>100</v>
      </c>
      <c r="P58" s="257"/>
      <c r="Q58" s="169"/>
    </row>
    <row r="59" spans="1:17" s="168" customFormat="1" ht="47.25" customHeight="1" x14ac:dyDescent="0.25">
      <c r="A59" s="270" t="s">
        <v>69</v>
      </c>
      <c r="B59" s="323" t="s">
        <v>129</v>
      </c>
      <c r="C59" s="324" t="s">
        <v>86</v>
      </c>
      <c r="D59" s="149" t="s">
        <v>40</v>
      </c>
      <c r="E59" s="217"/>
      <c r="F59" s="115">
        <f t="shared" ref="F59:F62" si="13">SUM(G59:O59)</f>
        <v>0</v>
      </c>
      <c r="G59" s="217">
        <v>0</v>
      </c>
      <c r="H59" s="217">
        <v>0</v>
      </c>
      <c r="I59" s="290">
        <v>0</v>
      </c>
      <c r="J59" s="290"/>
      <c r="K59" s="290"/>
      <c r="L59" s="290"/>
      <c r="M59" s="290"/>
      <c r="N59" s="217">
        <v>0</v>
      </c>
      <c r="O59" s="217">
        <v>0</v>
      </c>
      <c r="P59" s="364" t="s">
        <v>114</v>
      </c>
    </row>
    <row r="60" spans="1:17" s="168" customFormat="1" ht="34.5" x14ac:dyDescent="0.25">
      <c r="A60" s="270"/>
      <c r="B60" s="323"/>
      <c r="C60" s="324"/>
      <c r="D60" s="150" t="s">
        <v>1</v>
      </c>
      <c r="E60" s="234">
        <v>125047</v>
      </c>
      <c r="F60" s="115">
        <f t="shared" si="13"/>
        <v>458892</v>
      </c>
      <c r="G60" s="234">
        <v>112914</v>
      </c>
      <c r="H60" s="234">
        <v>92586</v>
      </c>
      <c r="I60" s="325">
        <v>84464</v>
      </c>
      <c r="J60" s="325"/>
      <c r="K60" s="325"/>
      <c r="L60" s="325"/>
      <c r="M60" s="325"/>
      <c r="N60" s="234">
        <v>84464</v>
      </c>
      <c r="O60" s="234">
        <v>84464</v>
      </c>
      <c r="P60" s="364"/>
    </row>
    <row r="61" spans="1:17" s="168" customFormat="1" ht="51.6" customHeight="1" x14ac:dyDescent="0.25">
      <c r="A61" s="270"/>
      <c r="B61" s="323"/>
      <c r="C61" s="324"/>
      <c r="D61" s="150" t="s">
        <v>48</v>
      </c>
      <c r="E61" s="234"/>
      <c r="F61" s="115">
        <f t="shared" si="13"/>
        <v>0</v>
      </c>
      <c r="G61" s="234">
        <v>0</v>
      </c>
      <c r="H61" s="234">
        <v>0</v>
      </c>
      <c r="I61" s="325">
        <v>0</v>
      </c>
      <c r="J61" s="325"/>
      <c r="K61" s="325"/>
      <c r="L61" s="325"/>
      <c r="M61" s="325"/>
      <c r="N61" s="234">
        <v>0</v>
      </c>
      <c r="O61" s="234">
        <v>0</v>
      </c>
      <c r="P61" s="364"/>
    </row>
    <row r="62" spans="1:17" s="168" customFormat="1" ht="39" customHeight="1" x14ac:dyDescent="0.25">
      <c r="A62" s="270"/>
      <c r="B62" s="323"/>
      <c r="C62" s="324"/>
      <c r="D62" s="150" t="s">
        <v>87</v>
      </c>
      <c r="E62" s="234"/>
      <c r="F62" s="115">
        <f t="shared" si="13"/>
        <v>0</v>
      </c>
      <c r="G62" s="234">
        <v>0</v>
      </c>
      <c r="H62" s="234">
        <v>0</v>
      </c>
      <c r="I62" s="325">
        <v>0</v>
      </c>
      <c r="J62" s="325"/>
      <c r="K62" s="325"/>
      <c r="L62" s="325"/>
      <c r="M62" s="325"/>
      <c r="N62" s="234">
        <v>0</v>
      </c>
      <c r="O62" s="234">
        <v>0</v>
      </c>
      <c r="P62" s="364"/>
    </row>
    <row r="63" spans="1:17" s="168" customFormat="1" ht="27" customHeight="1" x14ac:dyDescent="0.25">
      <c r="A63" s="270"/>
      <c r="B63" s="296" t="s">
        <v>277</v>
      </c>
      <c r="C63" s="278" t="s">
        <v>116</v>
      </c>
      <c r="D63" s="284" t="s">
        <v>116</v>
      </c>
      <c r="E63" s="215"/>
      <c r="F63" s="285" t="s">
        <v>117</v>
      </c>
      <c r="G63" s="212" t="s">
        <v>228</v>
      </c>
      <c r="H63" s="212" t="s">
        <v>229</v>
      </c>
      <c r="I63" s="277" t="s">
        <v>123</v>
      </c>
      <c r="J63" s="281" t="s">
        <v>118</v>
      </c>
      <c r="K63" s="281"/>
      <c r="L63" s="281"/>
      <c r="M63" s="281"/>
      <c r="N63" s="212" t="s">
        <v>124</v>
      </c>
      <c r="O63" s="212" t="s">
        <v>125</v>
      </c>
      <c r="P63" s="257" t="s">
        <v>116</v>
      </c>
      <c r="Q63" s="169"/>
    </row>
    <row r="64" spans="1:17" s="168" customFormat="1" ht="21" customHeight="1" x14ac:dyDescent="0.25">
      <c r="A64" s="270"/>
      <c r="B64" s="296"/>
      <c r="C64" s="278"/>
      <c r="D64" s="284"/>
      <c r="E64" s="215"/>
      <c r="F64" s="285"/>
      <c r="G64" s="215"/>
      <c r="H64" s="215"/>
      <c r="I64" s="277"/>
      <c r="J64" s="215" t="s">
        <v>119</v>
      </c>
      <c r="K64" s="215" t="s">
        <v>120</v>
      </c>
      <c r="L64" s="215" t="s">
        <v>121</v>
      </c>
      <c r="M64" s="215" t="s">
        <v>122</v>
      </c>
      <c r="N64" s="215"/>
      <c r="O64" s="215"/>
      <c r="P64" s="257"/>
      <c r="Q64" s="169"/>
    </row>
    <row r="65" spans="1:17" s="168" customFormat="1" ht="69.75" customHeight="1" x14ac:dyDescent="0.25">
      <c r="A65" s="270"/>
      <c r="B65" s="296"/>
      <c r="C65" s="278"/>
      <c r="D65" s="284"/>
      <c r="E65" s="215"/>
      <c r="F65" s="116">
        <v>100</v>
      </c>
      <c r="G65" s="106">
        <v>100</v>
      </c>
      <c r="H65" s="106">
        <v>100</v>
      </c>
      <c r="I65" s="106">
        <v>100</v>
      </c>
      <c r="J65" s="106">
        <v>100</v>
      </c>
      <c r="K65" s="106">
        <v>100</v>
      </c>
      <c r="L65" s="106">
        <v>100</v>
      </c>
      <c r="M65" s="106">
        <v>100</v>
      </c>
      <c r="N65" s="106">
        <v>100</v>
      </c>
      <c r="O65" s="106">
        <v>100</v>
      </c>
      <c r="P65" s="257"/>
      <c r="Q65" s="187" t="s">
        <v>273</v>
      </c>
    </row>
    <row r="66" spans="1:17" s="168" customFormat="1" ht="39" customHeight="1" x14ac:dyDescent="0.25">
      <c r="A66" s="269" t="s">
        <v>70</v>
      </c>
      <c r="B66" s="369" t="s">
        <v>248</v>
      </c>
      <c r="C66" s="286" t="s">
        <v>198</v>
      </c>
      <c r="D66" s="149" t="s">
        <v>40</v>
      </c>
      <c r="E66" s="217"/>
      <c r="F66" s="115">
        <f t="shared" ref="F66:F69" si="14">SUM(G66:O66)</f>
        <v>0</v>
      </c>
      <c r="G66" s="217">
        <v>0</v>
      </c>
      <c r="H66" s="217">
        <v>0</v>
      </c>
      <c r="I66" s="290">
        <v>0</v>
      </c>
      <c r="J66" s="290"/>
      <c r="K66" s="290"/>
      <c r="L66" s="290"/>
      <c r="M66" s="290"/>
      <c r="N66" s="217">
        <v>0</v>
      </c>
      <c r="O66" s="217">
        <v>0</v>
      </c>
      <c r="P66" s="300" t="s">
        <v>3</v>
      </c>
    </row>
    <row r="67" spans="1:17" s="168" customFormat="1" ht="34.5" x14ac:dyDescent="0.25">
      <c r="A67" s="269"/>
      <c r="B67" s="369"/>
      <c r="C67" s="286"/>
      <c r="D67" s="149" t="s">
        <v>1</v>
      </c>
      <c r="E67" s="217">
        <v>264347</v>
      </c>
      <c r="F67" s="115">
        <f t="shared" si="14"/>
        <v>85417</v>
      </c>
      <c r="G67" s="217">
        <v>0</v>
      </c>
      <c r="H67" s="217">
        <v>8150</v>
      </c>
      <c r="I67" s="360">
        <v>28759</v>
      </c>
      <c r="J67" s="360"/>
      <c r="K67" s="360"/>
      <c r="L67" s="360"/>
      <c r="M67" s="360"/>
      <c r="N67" s="217">
        <v>24254</v>
      </c>
      <c r="O67" s="217">
        <v>24254</v>
      </c>
      <c r="P67" s="300"/>
    </row>
    <row r="68" spans="1:17" s="168" customFormat="1" ht="51.75" x14ac:dyDescent="0.25">
      <c r="A68" s="269"/>
      <c r="B68" s="369"/>
      <c r="C68" s="286"/>
      <c r="D68" s="149" t="s">
        <v>48</v>
      </c>
      <c r="E68" s="217"/>
      <c r="F68" s="115">
        <f t="shared" si="14"/>
        <v>0</v>
      </c>
      <c r="G68" s="217">
        <v>0</v>
      </c>
      <c r="H68" s="217">
        <v>0</v>
      </c>
      <c r="I68" s="290">
        <v>0</v>
      </c>
      <c r="J68" s="290"/>
      <c r="K68" s="290"/>
      <c r="L68" s="290"/>
      <c r="M68" s="290"/>
      <c r="N68" s="217">
        <v>0</v>
      </c>
      <c r="O68" s="217">
        <v>0</v>
      </c>
      <c r="P68" s="300"/>
    </row>
    <row r="69" spans="1:17" s="168" customFormat="1" ht="40.5" customHeight="1" x14ac:dyDescent="0.25">
      <c r="A69" s="269"/>
      <c r="B69" s="369"/>
      <c r="C69" s="286"/>
      <c r="D69" s="149" t="s">
        <v>87</v>
      </c>
      <c r="E69" s="217"/>
      <c r="F69" s="115">
        <f t="shared" si="14"/>
        <v>0</v>
      </c>
      <c r="G69" s="217">
        <v>0</v>
      </c>
      <c r="H69" s="217">
        <v>0</v>
      </c>
      <c r="I69" s="290">
        <v>0</v>
      </c>
      <c r="J69" s="290"/>
      <c r="K69" s="290"/>
      <c r="L69" s="290"/>
      <c r="M69" s="290"/>
      <c r="N69" s="217">
        <v>0</v>
      </c>
      <c r="O69" s="217">
        <v>0</v>
      </c>
      <c r="P69" s="300"/>
    </row>
    <row r="70" spans="1:17" s="168" customFormat="1" ht="30" customHeight="1" x14ac:dyDescent="0.25">
      <c r="A70" s="269"/>
      <c r="B70" s="370" t="s">
        <v>231</v>
      </c>
      <c r="C70" s="278" t="s">
        <v>116</v>
      </c>
      <c r="D70" s="284" t="s">
        <v>116</v>
      </c>
      <c r="E70" s="215"/>
      <c r="F70" s="285" t="s">
        <v>117</v>
      </c>
      <c r="G70" s="212" t="s">
        <v>228</v>
      </c>
      <c r="H70" s="212" t="s">
        <v>229</v>
      </c>
      <c r="I70" s="277" t="s">
        <v>123</v>
      </c>
      <c r="J70" s="281" t="s">
        <v>118</v>
      </c>
      <c r="K70" s="281"/>
      <c r="L70" s="281"/>
      <c r="M70" s="281"/>
      <c r="N70" s="212" t="s">
        <v>124</v>
      </c>
      <c r="O70" s="212" t="s">
        <v>125</v>
      </c>
      <c r="P70" s="257" t="s">
        <v>116</v>
      </c>
      <c r="Q70" s="169"/>
    </row>
    <row r="71" spans="1:17" s="168" customFormat="1" ht="23.25" customHeight="1" x14ac:dyDescent="0.25">
      <c r="A71" s="269"/>
      <c r="B71" s="370"/>
      <c r="C71" s="278"/>
      <c r="D71" s="284"/>
      <c r="E71" s="215"/>
      <c r="F71" s="285"/>
      <c r="G71" s="215"/>
      <c r="H71" s="215"/>
      <c r="I71" s="277"/>
      <c r="J71" s="215" t="s">
        <v>119</v>
      </c>
      <c r="K71" s="215" t="s">
        <v>120</v>
      </c>
      <c r="L71" s="215" t="s">
        <v>121</v>
      </c>
      <c r="M71" s="215" t="s">
        <v>122</v>
      </c>
      <c r="N71" s="215"/>
      <c r="O71" s="215"/>
      <c r="P71" s="257"/>
      <c r="Q71" s="169"/>
    </row>
    <row r="72" spans="1:17" s="168" customFormat="1" ht="24" customHeight="1" x14ac:dyDescent="0.25">
      <c r="A72" s="269"/>
      <c r="B72" s="370"/>
      <c r="C72" s="278"/>
      <c r="D72" s="284"/>
      <c r="E72" s="215"/>
      <c r="F72" s="116">
        <v>100</v>
      </c>
      <c r="G72" s="106">
        <v>0</v>
      </c>
      <c r="H72" s="106">
        <v>0</v>
      </c>
      <c r="I72" s="106">
        <v>100</v>
      </c>
      <c r="J72" s="106">
        <v>100</v>
      </c>
      <c r="K72" s="106">
        <v>100</v>
      </c>
      <c r="L72" s="106">
        <v>100</v>
      </c>
      <c r="M72" s="106">
        <v>100</v>
      </c>
      <c r="N72" s="106">
        <v>100</v>
      </c>
      <c r="O72" s="106">
        <v>100</v>
      </c>
      <c r="P72" s="257"/>
      <c r="Q72" s="169"/>
    </row>
    <row r="73" spans="1:17" s="168" customFormat="1" ht="39" customHeight="1" x14ac:dyDescent="0.25">
      <c r="A73" s="269" t="s">
        <v>71</v>
      </c>
      <c r="B73" s="367" t="s">
        <v>237</v>
      </c>
      <c r="C73" s="286" t="s">
        <v>46</v>
      </c>
      <c r="D73" s="149" t="s">
        <v>40</v>
      </c>
      <c r="E73" s="217"/>
      <c r="F73" s="115">
        <f t="shared" ref="F73:F76" si="15">SUM(G73:O73)</f>
        <v>1015.56</v>
      </c>
      <c r="G73" s="217">
        <v>0</v>
      </c>
      <c r="H73" s="217">
        <v>1015.56</v>
      </c>
      <c r="I73" s="290">
        <v>0</v>
      </c>
      <c r="J73" s="290"/>
      <c r="K73" s="290"/>
      <c r="L73" s="290"/>
      <c r="M73" s="290"/>
      <c r="N73" s="217">
        <v>0</v>
      </c>
      <c r="O73" s="217">
        <v>0</v>
      </c>
      <c r="P73" s="300" t="s">
        <v>3</v>
      </c>
    </row>
    <row r="74" spans="1:17" s="168" customFormat="1" ht="34.5" x14ac:dyDescent="0.25">
      <c r="A74" s="269"/>
      <c r="B74" s="367"/>
      <c r="C74" s="286"/>
      <c r="D74" s="149" t="s">
        <v>1</v>
      </c>
      <c r="E74" s="217">
        <v>264347</v>
      </c>
      <c r="F74" s="115">
        <f t="shared" si="15"/>
        <v>0</v>
      </c>
      <c r="G74" s="217">
        <v>0</v>
      </c>
      <c r="H74" s="217">
        <v>0</v>
      </c>
      <c r="I74" s="290">
        <v>0</v>
      </c>
      <c r="J74" s="290"/>
      <c r="K74" s="290"/>
      <c r="L74" s="290"/>
      <c r="M74" s="290"/>
      <c r="N74" s="217">
        <v>0</v>
      </c>
      <c r="O74" s="217">
        <v>0</v>
      </c>
      <c r="P74" s="300"/>
    </row>
    <row r="75" spans="1:17" s="168" customFormat="1" ht="51.75" x14ac:dyDescent="0.25">
      <c r="A75" s="269"/>
      <c r="B75" s="367"/>
      <c r="C75" s="286"/>
      <c r="D75" s="149" t="s">
        <v>48</v>
      </c>
      <c r="E75" s="217"/>
      <c r="F75" s="115">
        <f t="shared" si="15"/>
        <v>0</v>
      </c>
      <c r="G75" s="217">
        <v>0</v>
      </c>
      <c r="H75" s="217">
        <v>0</v>
      </c>
      <c r="I75" s="290">
        <v>0</v>
      </c>
      <c r="J75" s="290"/>
      <c r="K75" s="290"/>
      <c r="L75" s="290"/>
      <c r="M75" s="290"/>
      <c r="N75" s="217">
        <v>0</v>
      </c>
      <c r="O75" s="217">
        <v>0</v>
      </c>
      <c r="P75" s="300"/>
    </row>
    <row r="76" spans="1:17" s="168" customFormat="1" ht="40.5" customHeight="1" x14ac:dyDescent="0.25">
      <c r="A76" s="269"/>
      <c r="B76" s="367"/>
      <c r="C76" s="286"/>
      <c r="D76" s="149" t="s">
        <v>87</v>
      </c>
      <c r="E76" s="217"/>
      <c r="F76" s="115">
        <f t="shared" si="15"/>
        <v>0</v>
      </c>
      <c r="G76" s="217">
        <v>0</v>
      </c>
      <c r="H76" s="217">
        <v>0</v>
      </c>
      <c r="I76" s="290">
        <v>0</v>
      </c>
      <c r="J76" s="290"/>
      <c r="K76" s="290"/>
      <c r="L76" s="290"/>
      <c r="M76" s="290"/>
      <c r="N76" s="217">
        <v>0</v>
      </c>
      <c r="O76" s="217">
        <v>0</v>
      </c>
      <c r="P76" s="300"/>
    </row>
    <row r="77" spans="1:17" s="168" customFormat="1" ht="30" customHeight="1" x14ac:dyDescent="0.25">
      <c r="A77" s="269"/>
      <c r="B77" s="388" t="s">
        <v>227</v>
      </c>
      <c r="C77" s="278" t="s">
        <v>116</v>
      </c>
      <c r="D77" s="284" t="s">
        <v>116</v>
      </c>
      <c r="E77" s="215"/>
      <c r="F77" s="285" t="s">
        <v>117</v>
      </c>
      <c r="G77" s="212" t="s">
        <v>228</v>
      </c>
      <c r="H77" s="212" t="s">
        <v>229</v>
      </c>
      <c r="I77" s="277" t="s">
        <v>123</v>
      </c>
      <c r="J77" s="281" t="s">
        <v>118</v>
      </c>
      <c r="K77" s="281"/>
      <c r="L77" s="281"/>
      <c r="M77" s="281"/>
      <c r="N77" s="212" t="s">
        <v>124</v>
      </c>
      <c r="O77" s="212" t="s">
        <v>125</v>
      </c>
      <c r="P77" s="257" t="s">
        <v>116</v>
      </c>
      <c r="Q77" s="169"/>
    </row>
    <row r="78" spans="1:17" s="168" customFormat="1" ht="23.25" customHeight="1" x14ac:dyDescent="0.25">
      <c r="A78" s="269"/>
      <c r="B78" s="388"/>
      <c r="C78" s="278"/>
      <c r="D78" s="284"/>
      <c r="E78" s="215"/>
      <c r="F78" s="285"/>
      <c r="G78" s="215"/>
      <c r="H78" s="215"/>
      <c r="I78" s="277"/>
      <c r="J78" s="215" t="s">
        <v>119</v>
      </c>
      <c r="K78" s="215" t="s">
        <v>120</v>
      </c>
      <c r="L78" s="215" t="s">
        <v>121</v>
      </c>
      <c r="M78" s="215" t="s">
        <v>122</v>
      </c>
      <c r="N78" s="215"/>
      <c r="O78" s="215"/>
      <c r="P78" s="257"/>
      <c r="Q78" s="169"/>
    </row>
    <row r="79" spans="1:17" s="168" customFormat="1" ht="24" customHeight="1" x14ac:dyDescent="0.25">
      <c r="A79" s="269"/>
      <c r="B79" s="388"/>
      <c r="C79" s="278"/>
      <c r="D79" s="284"/>
      <c r="E79" s="215"/>
      <c r="F79" s="116">
        <v>37</v>
      </c>
      <c r="G79" s="106">
        <v>0</v>
      </c>
      <c r="H79" s="106">
        <v>37</v>
      </c>
      <c r="I79" s="106">
        <v>0</v>
      </c>
      <c r="J79" s="106">
        <v>0</v>
      </c>
      <c r="K79" s="106">
        <v>0</v>
      </c>
      <c r="L79" s="106">
        <v>0</v>
      </c>
      <c r="M79" s="106">
        <v>0</v>
      </c>
      <c r="N79" s="106">
        <v>0</v>
      </c>
      <c r="O79" s="106">
        <v>0</v>
      </c>
      <c r="P79" s="257"/>
      <c r="Q79" s="169"/>
    </row>
    <row r="80" spans="1:17" s="168" customFormat="1" ht="38.25" customHeight="1" x14ac:dyDescent="0.25">
      <c r="A80" s="263" t="s">
        <v>72</v>
      </c>
      <c r="B80" s="368" t="s">
        <v>133</v>
      </c>
      <c r="C80" s="365" t="s">
        <v>86</v>
      </c>
      <c r="D80" s="150" t="s">
        <v>40</v>
      </c>
      <c r="E80" s="234"/>
      <c r="F80" s="184">
        <f t="shared" ref="F80:F85" si="16">SUM(G80:O80)</f>
        <v>0</v>
      </c>
      <c r="G80" s="234">
        <v>0</v>
      </c>
      <c r="H80" s="234">
        <v>0</v>
      </c>
      <c r="I80" s="325">
        <v>0</v>
      </c>
      <c r="J80" s="325"/>
      <c r="K80" s="325"/>
      <c r="L80" s="325"/>
      <c r="M80" s="325"/>
      <c r="N80" s="234">
        <v>0</v>
      </c>
      <c r="O80" s="234">
        <v>0</v>
      </c>
      <c r="P80" s="362" t="s">
        <v>60</v>
      </c>
    </row>
    <row r="81" spans="1:17" s="168" customFormat="1" ht="37.5" customHeight="1" x14ac:dyDescent="0.25">
      <c r="A81" s="264"/>
      <c r="B81" s="368"/>
      <c r="C81" s="365"/>
      <c r="D81" s="150" t="s">
        <v>1</v>
      </c>
      <c r="E81" s="234">
        <f>943864.80836+E82</f>
        <v>1128859.5313599999</v>
      </c>
      <c r="F81" s="184">
        <f t="shared" si="16"/>
        <v>0</v>
      </c>
      <c r="G81" s="234">
        <v>0</v>
      </c>
      <c r="H81" s="234">
        <v>0</v>
      </c>
      <c r="I81" s="325">
        <v>0</v>
      </c>
      <c r="J81" s="325"/>
      <c r="K81" s="325"/>
      <c r="L81" s="325"/>
      <c r="M81" s="325"/>
      <c r="N81" s="234">
        <v>0</v>
      </c>
      <c r="O81" s="234">
        <v>0</v>
      </c>
      <c r="P81" s="362"/>
    </row>
    <row r="82" spans="1:17" s="168" customFormat="1" ht="58.5" customHeight="1" x14ac:dyDescent="0.25">
      <c r="A82" s="264"/>
      <c r="B82" s="368"/>
      <c r="C82" s="365"/>
      <c r="D82" s="183" t="s">
        <v>47</v>
      </c>
      <c r="E82" s="234">
        <v>184994.723</v>
      </c>
      <c r="F82" s="184">
        <f t="shared" si="16"/>
        <v>138288.25187000001</v>
      </c>
      <c r="G82" s="234">
        <v>25761.32876</v>
      </c>
      <c r="H82" s="234">
        <v>26670.039669999998</v>
      </c>
      <c r="I82" s="325">
        <f>28474-0.40726+435.2907</f>
        <v>28908.883440000001</v>
      </c>
      <c r="J82" s="325"/>
      <c r="K82" s="325"/>
      <c r="L82" s="325"/>
      <c r="M82" s="325"/>
      <c r="N82" s="234">
        <f t="shared" ref="N82:O82" si="17">28329+145</f>
        <v>28474</v>
      </c>
      <c r="O82" s="234">
        <f t="shared" si="17"/>
        <v>28474</v>
      </c>
      <c r="P82" s="362"/>
    </row>
    <row r="83" spans="1:17" s="168" customFormat="1" ht="69" x14ac:dyDescent="0.25">
      <c r="A83" s="264"/>
      <c r="B83" s="368"/>
      <c r="C83" s="365"/>
      <c r="D83" s="183" t="s">
        <v>59</v>
      </c>
      <c r="E83" s="234">
        <v>56075.205379999999</v>
      </c>
      <c r="F83" s="184">
        <f t="shared" si="16"/>
        <v>3796.0839999999998</v>
      </c>
      <c r="G83" s="239">
        <v>526.08399999999995</v>
      </c>
      <c r="H83" s="239">
        <v>608</v>
      </c>
      <c r="I83" s="386">
        <f>810+232</f>
        <v>1042</v>
      </c>
      <c r="J83" s="386"/>
      <c r="K83" s="386"/>
      <c r="L83" s="386"/>
      <c r="M83" s="386"/>
      <c r="N83" s="239">
        <v>810</v>
      </c>
      <c r="O83" s="239">
        <v>810</v>
      </c>
      <c r="P83" s="362"/>
    </row>
    <row r="84" spans="1:17" s="168" customFormat="1" ht="34.5" x14ac:dyDescent="0.25">
      <c r="A84" s="264"/>
      <c r="B84" s="368"/>
      <c r="C84" s="365"/>
      <c r="D84" s="183" t="s">
        <v>87</v>
      </c>
      <c r="E84" s="234"/>
      <c r="F84" s="184">
        <f t="shared" si="16"/>
        <v>155.00800000000001</v>
      </c>
      <c r="G84" s="234">
        <f t="shared" ref="G84" si="18">G85</f>
        <v>35.840000000000003</v>
      </c>
      <c r="H84" s="234">
        <f>H85</f>
        <v>31.616</v>
      </c>
      <c r="I84" s="326">
        <f>I85</f>
        <v>31.616</v>
      </c>
      <c r="J84" s="326"/>
      <c r="K84" s="326"/>
      <c r="L84" s="326"/>
      <c r="M84" s="326"/>
      <c r="N84" s="234">
        <f t="shared" ref="N84:O84" si="19">N85</f>
        <v>27.968</v>
      </c>
      <c r="O84" s="234">
        <f t="shared" si="19"/>
        <v>27.968</v>
      </c>
      <c r="P84" s="362"/>
    </row>
    <row r="85" spans="1:17" s="168" customFormat="1" ht="69" x14ac:dyDescent="0.25">
      <c r="A85" s="264"/>
      <c r="B85" s="368"/>
      <c r="C85" s="365"/>
      <c r="D85" s="183" t="s">
        <v>89</v>
      </c>
      <c r="E85" s="234">
        <v>219815.44200000001</v>
      </c>
      <c r="F85" s="184">
        <f t="shared" si="16"/>
        <v>155.00800000000001</v>
      </c>
      <c r="G85" s="239">
        <v>35.840000000000003</v>
      </c>
      <c r="H85" s="239">
        <v>31.616</v>
      </c>
      <c r="I85" s="361">
        <v>31.616</v>
      </c>
      <c r="J85" s="361"/>
      <c r="K85" s="361"/>
      <c r="L85" s="361"/>
      <c r="M85" s="361"/>
      <c r="N85" s="239">
        <v>27.968</v>
      </c>
      <c r="O85" s="239">
        <v>27.968</v>
      </c>
      <c r="P85" s="362"/>
    </row>
    <row r="86" spans="1:17" s="168" customFormat="1" ht="27" customHeight="1" x14ac:dyDescent="0.25">
      <c r="A86" s="264"/>
      <c r="B86" s="296" t="s">
        <v>154</v>
      </c>
      <c r="C86" s="278" t="s">
        <v>116</v>
      </c>
      <c r="D86" s="284" t="s">
        <v>116</v>
      </c>
      <c r="E86" s="215"/>
      <c r="F86" s="285" t="s">
        <v>117</v>
      </c>
      <c r="G86" s="212" t="s">
        <v>228</v>
      </c>
      <c r="H86" s="212" t="s">
        <v>229</v>
      </c>
      <c r="I86" s="277" t="s">
        <v>123</v>
      </c>
      <c r="J86" s="281" t="s">
        <v>118</v>
      </c>
      <c r="K86" s="281"/>
      <c r="L86" s="281"/>
      <c r="M86" s="281"/>
      <c r="N86" s="212" t="s">
        <v>124</v>
      </c>
      <c r="O86" s="212" t="s">
        <v>125</v>
      </c>
      <c r="P86" s="257" t="s">
        <v>116</v>
      </c>
      <c r="Q86" s="169"/>
    </row>
    <row r="87" spans="1:17" s="168" customFormat="1" ht="22.5" customHeight="1" x14ac:dyDescent="0.25">
      <c r="A87" s="264"/>
      <c r="B87" s="296"/>
      <c r="C87" s="278"/>
      <c r="D87" s="284"/>
      <c r="E87" s="215"/>
      <c r="F87" s="285"/>
      <c r="G87" s="215"/>
      <c r="H87" s="215"/>
      <c r="I87" s="277"/>
      <c r="J87" s="215" t="s">
        <v>119</v>
      </c>
      <c r="K87" s="215" t="s">
        <v>120</v>
      </c>
      <c r="L87" s="215" t="s">
        <v>121</v>
      </c>
      <c r="M87" s="215" t="s">
        <v>122</v>
      </c>
      <c r="N87" s="215"/>
      <c r="O87" s="215"/>
      <c r="P87" s="257"/>
      <c r="Q87" s="169"/>
    </row>
    <row r="88" spans="1:17" s="168" customFormat="1" ht="27" customHeight="1" x14ac:dyDescent="0.25">
      <c r="A88" s="265"/>
      <c r="B88" s="296"/>
      <c r="C88" s="278"/>
      <c r="D88" s="284"/>
      <c r="E88" s="215"/>
      <c r="F88" s="116">
        <v>1</v>
      </c>
      <c r="G88" s="106">
        <v>1</v>
      </c>
      <c r="H88" s="106">
        <v>1</v>
      </c>
      <c r="I88" s="106">
        <v>1</v>
      </c>
      <c r="J88" s="106">
        <v>1</v>
      </c>
      <c r="K88" s="106">
        <v>1</v>
      </c>
      <c r="L88" s="106">
        <v>1</v>
      </c>
      <c r="M88" s="106">
        <v>1</v>
      </c>
      <c r="N88" s="106">
        <v>1</v>
      </c>
      <c r="O88" s="106">
        <v>1</v>
      </c>
      <c r="P88" s="257"/>
      <c r="Q88" s="169"/>
    </row>
    <row r="89" spans="1:17" s="168" customFormat="1" ht="34.5" x14ac:dyDescent="0.25">
      <c r="A89" s="270" t="s">
        <v>73</v>
      </c>
      <c r="B89" s="323" t="s">
        <v>134</v>
      </c>
      <c r="C89" s="324" t="s">
        <v>86</v>
      </c>
      <c r="D89" s="149" t="s">
        <v>40</v>
      </c>
      <c r="E89" s="234"/>
      <c r="F89" s="184">
        <f t="shared" ref="F89:F92" si="20">SUM(G89:O89)</f>
        <v>0</v>
      </c>
      <c r="G89" s="234">
        <v>0</v>
      </c>
      <c r="H89" s="234">
        <v>0</v>
      </c>
      <c r="I89" s="325">
        <v>0</v>
      </c>
      <c r="J89" s="325"/>
      <c r="K89" s="325"/>
      <c r="L89" s="325"/>
      <c r="M89" s="325"/>
      <c r="N89" s="234">
        <v>0</v>
      </c>
      <c r="O89" s="234">
        <v>0</v>
      </c>
      <c r="P89" s="319" t="s">
        <v>3</v>
      </c>
    </row>
    <row r="90" spans="1:17" s="168" customFormat="1" ht="34.5" x14ac:dyDescent="0.25">
      <c r="A90" s="270"/>
      <c r="B90" s="323"/>
      <c r="C90" s="324"/>
      <c r="D90" s="149" t="s">
        <v>1</v>
      </c>
      <c r="E90" s="234"/>
      <c r="F90" s="184">
        <f t="shared" si="20"/>
        <v>0</v>
      </c>
      <c r="G90" s="234">
        <v>0</v>
      </c>
      <c r="H90" s="234">
        <v>0</v>
      </c>
      <c r="I90" s="325">
        <v>0</v>
      </c>
      <c r="J90" s="325"/>
      <c r="K90" s="325"/>
      <c r="L90" s="325"/>
      <c r="M90" s="325"/>
      <c r="N90" s="234">
        <v>0</v>
      </c>
      <c r="O90" s="234">
        <v>0</v>
      </c>
      <c r="P90" s="319"/>
    </row>
    <row r="91" spans="1:17" s="168" customFormat="1" ht="51.75" x14ac:dyDescent="0.25">
      <c r="A91" s="270"/>
      <c r="B91" s="323"/>
      <c r="C91" s="324"/>
      <c r="D91" s="150" t="s">
        <v>47</v>
      </c>
      <c r="E91" s="234">
        <v>0</v>
      </c>
      <c r="F91" s="184">
        <f t="shared" si="20"/>
        <v>17209.62098</v>
      </c>
      <c r="G91" s="234">
        <v>2802.8159999999998</v>
      </c>
      <c r="H91" s="234">
        <v>3311.1624000000002</v>
      </c>
      <c r="I91" s="325">
        <f>3701.6256-4.94352-4.2907</f>
        <v>3692.39138</v>
      </c>
      <c r="J91" s="325"/>
      <c r="K91" s="325"/>
      <c r="L91" s="325"/>
      <c r="M91" s="325"/>
      <c r="N91" s="234">
        <f t="shared" ref="N91:O91" si="21">3325+376.6256</f>
        <v>3701.6255999999998</v>
      </c>
      <c r="O91" s="234">
        <f t="shared" si="21"/>
        <v>3701.6255999999998</v>
      </c>
      <c r="P91" s="319"/>
    </row>
    <row r="92" spans="1:17" s="168" customFormat="1" ht="34.5" x14ac:dyDescent="0.25">
      <c r="A92" s="270"/>
      <c r="B92" s="323"/>
      <c r="C92" s="324"/>
      <c r="D92" s="150" t="s">
        <v>87</v>
      </c>
      <c r="E92" s="234"/>
      <c r="F92" s="184">
        <f t="shared" si="20"/>
        <v>0</v>
      </c>
      <c r="G92" s="234">
        <v>0</v>
      </c>
      <c r="H92" s="234">
        <v>0</v>
      </c>
      <c r="I92" s="325">
        <v>0</v>
      </c>
      <c r="J92" s="325"/>
      <c r="K92" s="325"/>
      <c r="L92" s="325"/>
      <c r="M92" s="325"/>
      <c r="N92" s="234">
        <v>0</v>
      </c>
      <c r="O92" s="234">
        <v>0</v>
      </c>
      <c r="P92" s="319"/>
    </row>
    <row r="93" spans="1:17" s="168" customFormat="1" ht="27" customHeight="1" x14ac:dyDescent="0.25">
      <c r="A93" s="270"/>
      <c r="B93" s="296" t="s">
        <v>155</v>
      </c>
      <c r="C93" s="278" t="s">
        <v>116</v>
      </c>
      <c r="D93" s="284" t="s">
        <v>116</v>
      </c>
      <c r="E93" s="215"/>
      <c r="F93" s="285" t="s">
        <v>117</v>
      </c>
      <c r="G93" s="212" t="s">
        <v>228</v>
      </c>
      <c r="H93" s="212" t="s">
        <v>229</v>
      </c>
      <c r="I93" s="277" t="s">
        <v>123</v>
      </c>
      <c r="J93" s="281" t="s">
        <v>118</v>
      </c>
      <c r="K93" s="281"/>
      <c r="L93" s="281"/>
      <c r="M93" s="281"/>
      <c r="N93" s="212" t="s">
        <v>124</v>
      </c>
      <c r="O93" s="212" t="s">
        <v>125</v>
      </c>
      <c r="P93" s="257" t="s">
        <v>116</v>
      </c>
      <c r="Q93" s="169"/>
    </row>
    <row r="94" spans="1:17" s="168" customFormat="1" ht="28.5" customHeight="1" x14ac:dyDescent="0.25">
      <c r="A94" s="270"/>
      <c r="B94" s="296"/>
      <c r="C94" s="278"/>
      <c r="D94" s="284"/>
      <c r="E94" s="215"/>
      <c r="F94" s="285"/>
      <c r="G94" s="215"/>
      <c r="H94" s="215"/>
      <c r="I94" s="277"/>
      <c r="J94" s="215" t="s">
        <v>119</v>
      </c>
      <c r="K94" s="215" t="s">
        <v>120</v>
      </c>
      <c r="L94" s="215" t="s">
        <v>121</v>
      </c>
      <c r="M94" s="215" t="s">
        <v>122</v>
      </c>
      <c r="N94" s="215"/>
      <c r="O94" s="215"/>
      <c r="P94" s="257"/>
      <c r="Q94" s="169"/>
    </row>
    <row r="95" spans="1:17" s="168" customFormat="1" ht="26.25" customHeight="1" x14ac:dyDescent="0.25">
      <c r="A95" s="270"/>
      <c r="B95" s="296"/>
      <c r="C95" s="278"/>
      <c r="D95" s="284"/>
      <c r="E95" s="215"/>
      <c r="F95" s="116">
        <v>100</v>
      </c>
      <c r="G95" s="106">
        <v>100</v>
      </c>
      <c r="H95" s="106">
        <v>100</v>
      </c>
      <c r="I95" s="106">
        <v>100</v>
      </c>
      <c r="J95" s="106">
        <v>100</v>
      </c>
      <c r="K95" s="106">
        <v>100</v>
      </c>
      <c r="L95" s="106">
        <v>100</v>
      </c>
      <c r="M95" s="106">
        <v>100</v>
      </c>
      <c r="N95" s="106">
        <v>100</v>
      </c>
      <c r="O95" s="106">
        <v>100</v>
      </c>
      <c r="P95" s="257"/>
      <c r="Q95" s="169"/>
    </row>
    <row r="96" spans="1:17" s="168" customFormat="1" ht="34.5" x14ac:dyDescent="0.25">
      <c r="A96" s="271" t="s">
        <v>77</v>
      </c>
      <c r="B96" s="366" t="s">
        <v>209</v>
      </c>
      <c r="C96" s="286" t="s">
        <v>86</v>
      </c>
      <c r="D96" s="149" t="s">
        <v>40</v>
      </c>
      <c r="E96" s="234"/>
      <c r="F96" s="115">
        <f t="shared" ref="F96:F102" si="22">SUM(G96:O96)</f>
        <v>0</v>
      </c>
      <c r="G96" s="234">
        <v>0</v>
      </c>
      <c r="H96" s="234">
        <v>0</v>
      </c>
      <c r="I96" s="325">
        <v>0</v>
      </c>
      <c r="J96" s="325"/>
      <c r="K96" s="325"/>
      <c r="L96" s="325"/>
      <c r="M96" s="325"/>
      <c r="N96" s="234">
        <v>0</v>
      </c>
      <c r="O96" s="234">
        <v>0</v>
      </c>
      <c r="P96" s="300" t="s">
        <v>60</v>
      </c>
    </row>
    <row r="97" spans="1:17" s="168" customFormat="1" ht="42.75" customHeight="1" x14ac:dyDescent="0.25">
      <c r="A97" s="271"/>
      <c r="B97" s="366"/>
      <c r="C97" s="286"/>
      <c r="D97" s="149" t="s">
        <v>1</v>
      </c>
      <c r="E97" s="217"/>
      <c r="F97" s="115">
        <f t="shared" si="22"/>
        <v>0</v>
      </c>
      <c r="G97" s="217">
        <v>0</v>
      </c>
      <c r="H97" s="217">
        <v>0</v>
      </c>
      <c r="I97" s="290">
        <f>2449-2449</f>
        <v>0</v>
      </c>
      <c r="J97" s="290"/>
      <c r="K97" s="290"/>
      <c r="L97" s="290"/>
      <c r="M97" s="290"/>
      <c r="N97" s="217">
        <v>0</v>
      </c>
      <c r="O97" s="217">
        <v>0</v>
      </c>
      <c r="P97" s="300"/>
    </row>
    <row r="98" spans="1:17" s="168" customFormat="1" ht="51.75" x14ac:dyDescent="0.25">
      <c r="A98" s="271"/>
      <c r="B98" s="366"/>
      <c r="C98" s="286"/>
      <c r="D98" s="149" t="s">
        <v>48</v>
      </c>
      <c r="E98" s="217">
        <f>711549.13716</f>
        <v>711549.13716000004</v>
      </c>
      <c r="F98" s="115">
        <f t="shared" si="22"/>
        <v>13455224.54411</v>
      </c>
      <c r="G98" s="217">
        <v>2050637.3603300001</v>
      </c>
      <c r="H98" s="217">
        <v>2431241.8484999998</v>
      </c>
      <c r="I98" s="360">
        <f>3030826.98027+31477.62201</f>
        <v>3062304.6022800002</v>
      </c>
      <c r="J98" s="360"/>
      <c r="K98" s="360"/>
      <c r="L98" s="360"/>
      <c r="M98" s="360"/>
      <c r="N98" s="250">
        <v>2955635.389</v>
      </c>
      <c r="O98" s="217">
        <f>2949629.024+5776.32</f>
        <v>2955405.344</v>
      </c>
      <c r="P98" s="300"/>
    </row>
    <row r="99" spans="1:17" s="168" customFormat="1" ht="69" x14ac:dyDescent="0.25">
      <c r="A99" s="271"/>
      <c r="B99" s="366"/>
      <c r="C99" s="286"/>
      <c r="D99" s="149" t="s">
        <v>59</v>
      </c>
      <c r="E99" s="217">
        <v>0</v>
      </c>
      <c r="F99" s="115">
        <f t="shared" si="22"/>
        <v>2794501.9160000002</v>
      </c>
      <c r="G99" s="244">
        <v>412508.91600000003</v>
      </c>
      <c r="H99" s="244">
        <v>492444</v>
      </c>
      <c r="I99" s="385">
        <f>629927-232</f>
        <v>629695</v>
      </c>
      <c r="J99" s="385"/>
      <c r="K99" s="385"/>
      <c r="L99" s="385"/>
      <c r="M99" s="385"/>
      <c r="N99" s="244">
        <v>629927</v>
      </c>
      <c r="O99" s="244">
        <v>629927</v>
      </c>
      <c r="P99" s="300"/>
    </row>
    <row r="100" spans="1:17" s="168" customFormat="1" ht="34.5" x14ac:dyDescent="0.25">
      <c r="A100" s="271"/>
      <c r="B100" s="366"/>
      <c r="C100" s="286"/>
      <c r="D100" s="149" t="s">
        <v>87</v>
      </c>
      <c r="E100" s="217"/>
      <c r="F100" s="115">
        <f t="shared" si="22"/>
        <v>3073606.0996699999</v>
      </c>
      <c r="G100" s="217">
        <f t="shared" ref="G100" si="23">G101+G102</f>
        <v>493095.91868</v>
      </c>
      <c r="H100" s="217">
        <v>649615.71250000002</v>
      </c>
      <c r="I100" s="290">
        <f>I101+I102</f>
        <v>676772.55153000006</v>
      </c>
      <c r="J100" s="290"/>
      <c r="K100" s="290"/>
      <c r="L100" s="290"/>
      <c r="M100" s="290"/>
      <c r="N100" s="217">
        <f>N101+N102</f>
        <v>627060.95847999991</v>
      </c>
      <c r="O100" s="217">
        <f>O101+O102</f>
        <v>627060.95847999991</v>
      </c>
      <c r="P100" s="300"/>
    </row>
    <row r="101" spans="1:17" s="168" customFormat="1" ht="86.25" x14ac:dyDescent="0.25">
      <c r="A101" s="271"/>
      <c r="B101" s="366"/>
      <c r="C101" s="286"/>
      <c r="D101" s="183" t="s">
        <v>88</v>
      </c>
      <c r="E101" s="234">
        <v>262352.43170000002</v>
      </c>
      <c r="F101" s="115">
        <f t="shared" si="22"/>
        <v>2952076.1176699996</v>
      </c>
      <c r="G101" s="239">
        <v>469940.35668000003</v>
      </c>
      <c r="H101" s="239">
        <v>625121.01850000001</v>
      </c>
      <c r="I101" s="361">
        <v>652277.85753000004</v>
      </c>
      <c r="J101" s="361"/>
      <c r="K101" s="361"/>
      <c r="L101" s="361"/>
      <c r="M101" s="361"/>
      <c r="N101" s="239">
        <v>602368.44247999997</v>
      </c>
      <c r="O101" s="239">
        <v>602368.44247999997</v>
      </c>
      <c r="P101" s="300"/>
    </row>
    <row r="102" spans="1:17" s="168" customFormat="1" ht="69" x14ac:dyDescent="0.25">
      <c r="A102" s="271"/>
      <c r="B102" s="366"/>
      <c r="C102" s="286"/>
      <c r="D102" s="183" t="s">
        <v>89</v>
      </c>
      <c r="E102" s="234">
        <v>8751.5480000000007</v>
      </c>
      <c r="F102" s="115">
        <f t="shared" si="22"/>
        <v>121529.982</v>
      </c>
      <c r="G102" s="239">
        <v>23155.562000000002</v>
      </c>
      <c r="H102" s="239">
        <v>24494.694</v>
      </c>
      <c r="I102" s="361">
        <v>24494.694</v>
      </c>
      <c r="J102" s="361"/>
      <c r="K102" s="361"/>
      <c r="L102" s="361"/>
      <c r="M102" s="361"/>
      <c r="N102" s="239">
        <v>24692.516</v>
      </c>
      <c r="O102" s="239">
        <v>24692.516</v>
      </c>
      <c r="P102" s="300"/>
      <c r="Q102" s="170"/>
    </row>
    <row r="103" spans="1:17" s="168" customFormat="1" ht="27.75" customHeight="1" x14ac:dyDescent="0.25">
      <c r="A103" s="271"/>
      <c r="B103" s="296" t="s">
        <v>218</v>
      </c>
      <c r="C103" s="278" t="s">
        <v>116</v>
      </c>
      <c r="D103" s="284" t="s">
        <v>116</v>
      </c>
      <c r="E103" s="215"/>
      <c r="F103" s="285" t="s">
        <v>117</v>
      </c>
      <c r="G103" s="212" t="s">
        <v>228</v>
      </c>
      <c r="H103" s="212" t="s">
        <v>229</v>
      </c>
      <c r="I103" s="277" t="s">
        <v>123</v>
      </c>
      <c r="J103" s="281" t="s">
        <v>118</v>
      </c>
      <c r="K103" s="281"/>
      <c r="L103" s="281"/>
      <c r="M103" s="281"/>
      <c r="N103" s="212" t="s">
        <v>124</v>
      </c>
      <c r="O103" s="212" t="s">
        <v>125</v>
      </c>
      <c r="P103" s="257" t="s">
        <v>116</v>
      </c>
      <c r="Q103" s="169"/>
    </row>
    <row r="104" spans="1:17" s="168" customFormat="1" ht="24" customHeight="1" x14ac:dyDescent="0.25">
      <c r="A104" s="271"/>
      <c r="B104" s="296"/>
      <c r="C104" s="278"/>
      <c r="D104" s="284"/>
      <c r="E104" s="215"/>
      <c r="F104" s="285"/>
      <c r="G104" s="215"/>
      <c r="H104" s="215"/>
      <c r="I104" s="277"/>
      <c r="J104" s="215" t="s">
        <v>119</v>
      </c>
      <c r="K104" s="215" t="s">
        <v>120</v>
      </c>
      <c r="L104" s="215" t="s">
        <v>121</v>
      </c>
      <c r="M104" s="215" t="s">
        <v>122</v>
      </c>
      <c r="N104" s="215"/>
      <c r="O104" s="215"/>
      <c r="P104" s="257"/>
      <c r="Q104" s="169"/>
    </row>
    <row r="105" spans="1:17" s="168" customFormat="1" ht="35.25" customHeight="1" x14ac:dyDescent="0.25">
      <c r="A105" s="271"/>
      <c r="B105" s="296"/>
      <c r="C105" s="278"/>
      <c r="D105" s="284"/>
      <c r="E105" s="215"/>
      <c r="F105" s="116">
        <v>39</v>
      </c>
      <c r="G105" s="106">
        <v>39</v>
      </c>
      <c r="H105" s="106">
        <v>39</v>
      </c>
      <c r="I105" s="106">
        <v>39</v>
      </c>
      <c r="J105" s="106">
        <v>39</v>
      </c>
      <c r="K105" s="106">
        <v>39</v>
      </c>
      <c r="L105" s="106">
        <v>39</v>
      </c>
      <c r="M105" s="106">
        <v>39</v>
      </c>
      <c r="N105" s="106">
        <v>39</v>
      </c>
      <c r="O105" s="106">
        <v>39</v>
      </c>
      <c r="P105" s="257"/>
      <c r="Q105" s="169"/>
    </row>
    <row r="106" spans="1:17" s="168" customFormat="1" ht="34.5" x14ac:dyDescent="0.25">
      <c r="A106" s="270" t="s">
        <v>78</v>
      </c>
      <c r="B106" s="323" t="s">
        <v>210</v>
      </c>
      <c r="C106" s="324" t="s">
        <v>86</v>
      </c>
      <c r="D106" s="183" t="s">
        <v>40</v>
      </c>
      <c r="E106" s="234"/>
      <c r="F106" s="184">
        <f t="shared" ref="F106:F109" si="24">SUM(G106:O106)</f>
        <v>0</v>
      </c>
      <c r="G106" s="234">
        <v>0</v>
      </c>
      <c r="H106" s="234">
        <v>0</v>
      </c>
      <c r="I106" s="325">
        <v>0</v>
      </c>
      <c r="J106" s="325"/>
      <c r="K106" s="325"/>
      <c r="L106" s="325"/>
      <c r="M106" s="325"/>
      <c r="N106" s="234">
        <v>0</v>
      </c>
      <c r="O106" s="234">
        <v>0</v>
      </c>
      <c r="P106" s="319" t="s">
        <v>90</v>
      </c>
      <c r="Q106" s="170"/>
    </row>
    <row r="107" spans="1:17" s="168" customFormat="1" ht="34.5" x14ac:dyDescent="0.25">
      <c r="A107" s="270"/>
      <c r="B107" s="323"/>
      <c r="C107" s="324"/>
      <c r="D107" s="183" t="s">
        <v>1</v>
      </c>
      <c r="E107" s="234"/>
      <c r="F107" s="184">
        <f t="shared" si="24"/>
        <v>56000</v>
      </c>
      <c r="G107" s="234">
        <v>0</v>
      </c>
      <c r="H107" s="234">
        <v>56000</v>
      </c>
      <c r="I107" s="325">
        <v>0</v>
      </c>
      <c r="J107" s="325"/>
      <c r="K107" s="325"/>
      <c r="L107" s="325"/>
      <c r="M107" s="325"/>
      <c r="N107" s="234">
        <v>0</v>
      </c>
      <c r="O107" s="234">
        <v>0</v>
      </c>
      <c r="P107" s="319"/>
      <c r="Q107" s="170"/>
    </row>
    <row r="108" spans="1:17" s="168" customFormat="1" ht="57" customHeight="1" x14ac:dyDescent="0.25">
      <c r="A108" s="270"/>
      <c r="B108" s="323"/>
      <c r="C108" s="324"/>
      <c r="D108" s="150" t="s">
        <v>47</v>
      </c>
      <c r="E108" s="234">
        <v>0</v>
      </c>
      <c r="F108" s="184">
        <f t="shared" si="24"/>
        <v>1444450.2184600001</v>
      </c>
      <c r="G108" s="234">
        <v>46658.988669999999</v>
      </c>
      <c r="H108" s="234">
        <v>242111.66776000001</v>
      </c>
      <c r="I108" s="326">
        <f>310790.18404+324649.37799</f>
        <v>635439.56203000003</v>
      </c>
      <c r="J108" s="326"/>
      <c r="K108" s="326"/>
      <c r="L108" s="326"/>
      <c r="M108" s="326"/>
      <c r="N108" s="234">
        <v>260120</v>
      </c>
      <c r="O108" s="234">
        <v>260120</v>
      </c>
      <c r="P108" s="319"/>
    </row>
    <row r="109" spans="1:17" s="168" customFormat="1" ht="34.5" x14ac:dyDescent="0.25">
      <c r="A109" s="270"/>
      <c r="B109" s="323"/>
      <c r="C109" s="324"/>
      <c r="D109" s="149" t="s">
        <v>87</v>
      </c>
      <c r="E109" s="234"/>
      <c r="F109" s="184">
        <f t="shared" si="24"/>
        <v>0</v>
      </c>
      <c r="G109" s="234">
        <v>0</v>
      </c>
      <c r="H109" s="234">
        <v>0</v>
      </c>
      <c r="I109" s="325">
        <v>0</v>
      </c>
      <c r="J109" s="325"/>
      <c r="K109" s="325"/>
      <c r="L109" s="325"/>
      <c r="M109" s="325"/>
      <c r="N109" s="234">
        <v>0</v>
      </c>
      <c r="O109" s="234">
        <v>0</v>
      </c>
      <c r="P109" s="319"/>
    </row>
    <row r="110" spans="1:17" s="168" customFormat="1" ht="27" customHeight="1" x14ac:dyDescent="0.25">
      <c r="A110" s="270"/>
      <c r="B110" s="296" t="s">
        <v>152</v>
      </c>
      <c r="C110" s="278" t="s">
        <v>116</v>
      </c>
      <c r="D110" s="284" t="s">
        <v>116</v>
      </c>
      <c r="E110" s="215"/>
      <c r="F110" s="285" t="s">
        <v>117</v>
      </c>
      <c r="G110" s="212" t="s">
        <v>228</v>
      </c>
      <c r="H110" s="212" t="s">
        <v>229</v>
      </c>
      <c r="I110" s="277" t="s">
        <v>123</v>
      </c>
      <c r="J110" s="281" t="s">
        <v>118</v>
      </c>
      <c r="K110" s="281"/>
      <c r="L110" s="281"/>
      <c r="M110" s="281"/>
      <c r="N110" s="212" t="s">
        <v>124</v>
      </c>
      <c r="O110" s="212" t="s">
        <v>125</v>
      </c>
      <c r="P110" s="257" t="s">
        <v>116</v>
      </c>
      <c r="Q110" s="169"/>
    </row>
    <row r="111" spans="1:17" s="168" customFormat="1" ht="28.9" customHeight="1" x14ac:dyDescent="0.25">
      <c r="A111" s="270"/>
      <c r="B111" s="296"/>
      <c r="C111" s="278"/>
      <c r="D111" s="284"/>
      <c r="E111" s="215"/>
      <c r="F111" s="285"/>
      <c r="G111" s="215"/>
      <c r="H111" s="215"/>
      <c r="I111" s="277"/>
      <c r="J111" s="215" t="s">
        <v>119</v>
      </c>
      <c r="K111" s="215" t="s">
        <v>120</v>
      </c>
      <c r="L111" s="215" t="s">
        <v>121</v>
      </c>
      <c r="M111" s="215" t="s">
        <v>122</v>
      </c>
      <c r="N111" s="215"/>
      <c r="O111" s="215"/>
      <c r="P111" s="257"/>
      <c r="Q111" s="169"/>
    </row>
    <row r="112" spans="1:17" s="168" customFormat="1" ht="27" customHeight="1" x14ac:dyDescent="0.25">
      <c r="A112" s="270"/>
      <c r="B112" s="296"/>
      <c r="C112" s="278"/>
      <c r="D112" s="284"/>
      <c r="E112" s="215"/>
      <c r="F112" s="116">
        <f>I112+H112+G112+N112+O112</f>
        <v>134</v>
      </c>
      <c r="G112" s="106">
        <v>16</v>
      </c>
      <c r="H112" s="106">
        <v>29</v>
      </c>
      <c r="I112" s="106">
        <v>31</v>
      </c>
      <c r="J112" s="106">
        <v>0</v>
      </c>
      <c r="K112" s="106">
        <v>0</v>
      </c>
      <c r="L112" s="106">
        <v>0</v>
      </c>
      <c r="M112" s="106">
        <v>31</v>
      </c>
      <c r="N112" s="106">
        <v>29</v>
      </c>
      <c r="O112" s="106">
        <v>29</v>
      </c>
      <c r="P112" s="257"/>
      <c r="Q112" s="169"/>
    </row>
    <row r="113" spans="1:17" s="168" customFormat="1" ht="40.5" customHeight="1" x14ac:dyDescent="0.25">
      <c r="A113" s="266" t="s">
        <v>79</v>
      </c>
      <c r="B113" s="323" t="s">
        <v>216</v>
      </c>
      <c r="C113" s="324" t="s">
        <v>86</v>
      </c>
      <c r="D113" s="149" t="s">
        <v>40</v>
      </c>
      <c r="E113" s="234"/>
      <c r="F113" s="184">
        <f t="shared" ref="F113:F116" si="25">SUM(G113:O113)</f>
        <v>0</v>
      </c>
      <c r="G113" s="234">
        <v>0</v>
      </c>
      <c r="H113" s="234">
        <v>0</v>
      </c>
      <c r="I113" s="325">
        <v>0</v>
      </c>
      <c r="J113" s="325"/>
      <c r="K113" s="325"/>
      <c r="L113" s="325"/>
      <c r="M113" s="325"/>
      <c r="N113" s="234">
        <v>0</v>
      </c>
      <c r="O113" s="234">
        <v>0</v>
      </c>
      <c r="P113" s="319" t="s">
        <v>3</v>
      </c>
      <c r="Q113" s="171"/>
    </row>
    <row r="114" spans="1:17" s="168" customFormat="1" ht="34.5" x14ac:dyDescent="0.25">
      <c r="A114" s="258"/>
      <c r="B114" s="323"/>
      <c r="C114" s="324"/>
      <c r="D114" s="149" t="s">
        <v>1</v>
      </c>
      <c r="E114" s="234"/>
      <c r="F114" s="184">
        <f t="shared" si="25"/>
        <v>0</v>
      </c>
      <c r="G114" s="234">
        <v>0</v>
      </c>
      <c r="H114" s="234">
        <v>0</v>
      </c>
      <c r="I114" s="325">
        <v>0</v>
      </c>
      <c r="J114" s="325"/>
      <c r="K114" s="325"/>
      <c r="L114" s="325"/>
      <c r="M114" s="325"/>
      <c r="N114" s="234">
        <v>0</v>
      </c>
      <c r="O114" s="234">
        <v>0</v>
      </c>
      <c r="P114" s="319"/>
    </row>
    <row r="115" spans="1:17" s="168" customFormat="1" ht="51.75" x14ac:dyDescent="0.25">
      <c r="A115" s="258"/>
      <c r="B115" s="323"/>
      <c r="C115" s="324"/>
      <c r="D115" s="150" t="s">
        <v>47</v>
      </c>
      <c r="E115" s="234">
        <v>0</v>
      </c>
      <c r="F115" s="184">
        <f t="shared" si="25"/>
        <v>2380863.14151</v>
      </c>
      <c r="G115" s="234">
        <v>360185.28365</v>
      </c>
      <c r="H115" s="234">
        <v>446078.51971999998</v>
      </c>
      <c r="I115" s="326">
        <v>530740.91894</v>
      </c>
      <c r="J115" s="326"/>
      <c r="K115" s="326"/>
      <c r="L115" s="326"/>
      <c r="M115" s="326"/>
      <c r="N115" s="234">
        <f t="shared" ref="N115:O115" si="26">470554+51375.2096</f>
        <v>521929.2096</v>
      </c>
      <c r="O115" s="234">
        <f t="shared" si="26"/>
        <v>521929.2096</v>
      </c>
      <c r="P115" s="319"/>
    </row>
    <row r="116" spans="1:17" s="168" customFormat="1" ht="34.5" x14ac:dyDescent="0.25">
      <c r="A116" s="259"/>
      <c r="B116" s="323"/>
      <c r="C116" s="324"/>
      <c r="D116" s="150" t="s">
        <v>87</v>
      </c>
      <c r="E116" s="234"/>
      <c r="F116" s="184">
        <f t="shared" si="25"/>
        <v>0</v>
      </c>
      <c r="G116" s="234">
        <v>0</v>
      </c>
      <c r="H116" s="234">
        <v>0</v>
      </c>
      <c r="I116" s="325">
        <v>0</v>
      </c>
      <c r="J116" s="325"/>
      <c r="K116" s="325"/>
      <c r="L116" s="325"/>
      <c r="M116" s="325"/>
      <c r="N116" s="234">
        <v>0</v>
      </c>
      <c r="O116" s="234">
        <v>0</v>
      </c>
      <c r="P116" s="319"/>
    </row>
    <row r="117" spans="1:17" s="168" customFormat="1" ht="27" customHeight="1" x14ac:dyDescent="0.25">
      <c r="A117" s="266"/>
      <c r="B117" s="296" t="s">
        <v>153</v>
      </c>
      <c r="C117" s="278" t="s">
        <v>116</v>
      </c>
      <c r="D117" s="284" t="s">
        <v>116</v>
      </c>
      <c r="E117" s="215"/>
      <c r="F117" s="285" t="s">
        <v>117</v>
      </c>
      <c r="G117" s="212" t="s">
        <v>228</v>
      </c>
      <c r="H117" s="212" t="s">
        <v>229</v>
      </c>
      <c r="I117" s="277" t="s">
        <v>123</v>
      </c>
      <c r="J117" s="281" t="s">
        <v>118</v>
      </c>
      <c r="K117" s="281"/>
      <c r="L117" s="281"/>
      <c r="M117" s="281"/>
      <c r="N117" s="212" t="s">
        <v>124</v>
      </c>
      <c r="O117" s="212" t="s">
        <v>125</v>
      </c>
      <c r="P117" s="257" t="s">
        <v>116</v>
      </c>
      <c r="Q117" s="169"/>
    </row>
    <row r="118" spans="1:17" s="168" customFormat="1" ht="22.5" customHeight="1" x14ac:dyDescent="0.25">
      <c r="A118" s="258"/>
      <c r="B118" s="296"/>
      <c r="C118" s="278"/>
      <c r="D118" s="284"/>
      <c r="E118" s="215"/>
      <c r="F118" s="285"/>
      <c r="G118" s="215"/>
      <c r="H118" s="215"/>
      <c r="I118" s="277"/>
      <c r="J118" s="215" t="s">
        <v>119</v>
      </c>
      <c r="K118" s="215" t="s">
        <v>120</v>
      </c>
      <c r="L118" s="215" t="s">
        <v>121</v>
      </c>
      <c r="M118" s="215" t="s">
        <v>122</v>
      </c>
      <c r="N118" s="215"/>
      <c r="O118" s="215"/>
      <c r="P118" s="257"/>
      <c r="Q118" s="169"/>
    </row>
    <row r="119" spans="1:17" s="168" customFormat="1" ht="26.25" customHeight="1" x14ac:dyDescent="0.25">
      <c r="A119" s="259"/>
      <c r="B119" s="296"/>
      <c r="C119" s="278"/>
      <c r="D119" s="284"/>
      <c r="E119" s="215"/>
      <c r="F119" s="116">
        <v>100</v>
      </c>
      <c r="G119" s="106">
        <v>100</v>
      </c>
      <c r="H119" s="106">
        <v>100</v>
      </c>
      <c r="I119" s="106">
        <v>100</v>
      </c>
      <c r="J119" s="106">
        <v>100</v>
      </c>
      <c r="K119" s="106">
        <v>100</v>
      </c>
      <c r="L119" s="106">
        <v>100</v>
      </c>
      <c r="M119" s="106">
        <v>100</v>
      </c>
      <c r="N119" s="106">
        <v>100</v>
      </c>
      <c r="O119" s="106">
        <v>100</v>
      </c>
      <c r="P119" s="257"/>
      <c r="Q119" s="169"/>
    </row>
    <row r="120" spans="1:17" s="168" customFormat="1" ht="33.75" customHeight="1" x14ac:dyDescent="0.25">
      <c r="A120" s="270" t="s">
        <v>91</v>
      </c>
      <c r="B120" s="323" t="s">
        <v>217</v>
      </c>
      <c r="C120" s="324" t="s">
        <v>282</v>
      </c>
      <c r="D120" s="150" t="s">
        <v>40</v>
      </c>
      <c r="E120" s="234"/>
      <c r="F120" s="184">
        <f t="shared" ref="F120:F123" si="27">SUM(G120:O120)</f>
        <v>0</v>
      </c>
      <c r="G120" s="234">
        <v>0</v>
      </c>
      <c r="H120" s="234">
        <v>0</v>
      </c>
      <c r="I120" s="325">
        <v>0</v>
      </c>
      <c r="J120" s="325"/>
      <c r="K120" s="325"/>
      <c r="L120" s="325"/>
      <c r="M120" s="325"/>
      <c r="N120" s="234">
        <v>0</v>
      </c>
      <c r="O120" s="234">
        <v>0</v>
      </c>
      <c r="P120" s="297" t="s">
        <v>240</v>
      </c>
    </row>
    <row r="121" spans="1:17" s="168" customFormat="1" ht="34.5" x14ac:dyDescent="0.25">
      <c r="A121" s="270"/>
      <c r="B121" s="323"/>
      <c r="C121" s="324"/>
      <c r="D121" s="150" t="s">
        <v>1</v>
      </c>
      <c r="E121" s="234"/>
      <c r="F121" s="184">
        <f t="shared" si="27"/>
        <v>20731</v>
      </c>
      <c r="G121" s="234">
        <v>0</v>
      </c>
      <c r="H121" s="234">
        <v>0</v>
      </c>
      <c r="I121" s="326">
        <v>20731</v>
      </c>
      <c r="J121" s="326"/>
      <c r="K121" s="326"/>
      <c r="L121" s="326"/>
      <c r="M121" s="326"/>
      <c r="N121" s="234">
        <v>0</v>
      </c>
      <c r="O121" s="234">
        <v>0</v>
      </c>
      <c r="P121" s="297"/>
    </row>
    <row r="122" spans="1:17" s="168" customFormat="1" ht="51.75" x14ac:dyDescent="0.25">
      <c r="A122" s="270"/>
      <c r="B122" s="323"/>
      <c r="C122" s="324"/>
      <c r="D122" s="150" t="s">
        <v>47</v>
      </c>
      <c r="E122" s="234">
        <v>0</v>
      </c>
      <c r="F122" s="184">
        <f t="shared" si="27"/>
        <v>0</v>
      </c>
      <c r="G122" s="234">
        <v>0</v>
      </c>
      <c r="H122" s="234">
        <v>0</v>
      </c>
      <c r="I122" s="325">
        <v>0</v>
      </c>
      <c r="J122" s="325"/>
      <c r="K122" s="325"/>
      <c r="L122" s="325"/>
      <c r="M122" s="325"/>
      <c r="N122" s="234">
        <v>0</v>
      </c>
      <c r="O122" s="234">
        <v>0</v>
      </c>
      <c r="P122" s="297"/>
    </row>
    <row r="123" spans="1:17" s="168" customFormat="1" ht="34.5" x14ac:dyDescent="0.25">
      <c r="A123" s="270"/>
      <c r="B123" s="323"/>
      <c r="C123" s="324"/>
      <c r="D123" s="150" t="s">
        <v>87</v>
      </c>
      <c r="E123" s="234"/>
      <c r="F123" s="184">
        <f t="shared" si="27"/>
        <v>0</v>
      </c>
      <c r="G123" s="234">
        <v>0</v>
      </c>
      <c r="H123" s="234">
        <v>0</v>
      </c>
      <c r="I123" s="325">
        <v>0</v>
      </c>
      <c r="J123" s="325"/>
      <c r="K123" s="325"/>
      <c r="L123" s="325"/>
      <c r="M123" s="325"/>
      <c r="N123" s="234">
        <v>0</v>
      </c>
      <c r="O123" s="234">
        <v>0</v>
      </c>
      <c r="P123" s="297"/>
    </row>
    <row r="124" spans="1:17" s="168" customFormat="1" ht="48" customHeight="1" x14ac:dyDescent="0.25">
      <c r="A124" s="270"/>
      <c r="B124" s="296" t="s">
        <v>247</v>
      </c>
      <c r="C124" s="278" t="s">
        <v>116</v>
      </c>
      <c r="D124" s="284" t="s">
        <v>116</v>
      </c>
      <c r="E124" s="215"/>
      <c r="F124" s="285" t="s">
        <v>117</v>
      </c>
      <c r="G124" s="212" t="s">
        <v>228</v>
      </c>
      <c r="H124" s="212" t="s">
        <v>229</v>
      </c>
      <c r="I124" s="277" t="s">
        <v>123</v>
      </c>
      <c r="J124" s="281" t="s">
        <v>118</v>
      </c>
      <c r="K124" s="281"/>
      <c r="L124" s="281"/>
      <c r="M124" s="281"/>
      <c r="N124" s="212" t="s">
        <v>124</v>
      </c>
      <c r="O124" s="212" t="s">
        <v>125</v>
      </c>
      <c r="P124" s="257" t="s">
        <v>116</v>
      </c>
      <c r="Q124" s="169"/>
    </row>
    <row r="125" spans="1:17" s="168" customFormat="1" ht="30.6" customHeight="1" x14ac:dyDescent="0.25">
      <c r="A125" s="270"/>
      <c r="B125" s="296"/>
      <c r="C125" s="278"/>
      <c r="D125" s="284"/>
      <c r="E125" s="215"/>
      <c r="F125" s="285"/>
      <c r="G125" s="215"/>
      <c r="H125" s="215"/>
      <c r="I125" s="277"/>
      <c r="J125" s="215" t="s">
        <v>119</v>
      </c>
      <c r="K125" s="215" t="s">
        <v>120</v>
      </c>
      <c r="L125" s="215" t="s">
        <v>121</v>
      </c>
      <c r="M125" s="215" t="s">
        <v>122</v>
      </c>
      <c r="N125" s="215"/>
      <c r="O125" s="215"/>
      <c r="P125" s="257"/>
      <c r="Q125" s="169"/>
    </row>
    <row r="126" spans="1:17" s="168" customFormat="1" ht="71.25" customHeight="1" x14ac:dyDescent="0.25">
      <c r="A126" s="270"/>
      <c r="B126" s="296"/>
      <c r="C126" s="278"/>
      <c r="D126" s="284"/>
      <c r="E126" s="215"/>
      <c r="F126" s="116">
        <v>100</v>
      </c>
      <c r="G126" s="106">
        <v>0</v>
      </c>
      <c r="H126" s="106">
        <v>0</v>
      </c>
      <c r="I126" s="106">
        <v>100</v>
      </c>
      <c r="J126" s="106">
        <v>100</v>
      </c>
      <c r="K126" s="106">
        <v>100</v>
      </c>
      <c r="L126" s="106">
        <v>100</v>
      </c>
      <c r="M126" s="106">
        <v>100</v>
      </c>
      <c r="N126" s="106">
        <v>100</v>
      </c>
      <c r="O126" s="106">
        <v>100</v>
      </c>
      <c r="P126" s="257"/>
      <c r="Q126" s="169"/>
    </row>
    <row r="127" spans="1:17" s="168" customFormat="1" ht="33.75" customHeight="1" x14ac:dyDescent="0.25">
      <c r="A127" s="270" t="s">
        <v>92</v>
      </c>
      <c r="B127" s="323" t="s">
        <v>275</v>
      </c>
      <c r="C127" s="324" t="s">
        <v>242</v>
      </c>
      <c r="D127" s="150" t="s">
        <v>40</v>
      </c>
      <c r="E127" s="234"/>
      <c r="F127" s="184">
        <f t="shared" ref="F127:F130" si="28">SUM(G127:O127)</f>
        <v>0</v>
      </c>
      <c r="G127" s="234">
        <v>0</v>
      </c>
      <c r="H127" s="234">
        <v>0</v>
      </c>
      <c r="I127" s="325">
        <v>0</v>
      </c>
      <c r="J127" s="325"/>
      <c r="K127" s="325"/>
      <c r="L127" s="325"/>
      <c r="M127" s="325"/>
      <c r="N127" s="234">
        <v>0</v>
      </c>
      <c r="O127" s="234">
        <v>0</v>
      </c>
      <c r="P127" s="297" t="s">
        <v>240</v>
      </c>
    </row>
    <row r="128" spans="1:17" s="168" customFormat="1" ht="34.5" x14ac:dyDescent="0.25">
      <c r="A128" s="270"/>
      <c r="B128" s="323"/>
      <c r="C128" s="324"/>
      <c r="D128" s="150" t="s">
        <v>1</v>
      </c>
      <c r="E128" s="234"/>
      <c r="F128" s="184">
        <f t="shared" si="28"/>
        <v>1132254</v>
      </c>
      <c r="G128" s="234">
        <v>0</v>
      </c>
      <c r="H128" s="234">
        <v>0</v>
      </c>
      <c r="I128" s="325">
        <f>435324-173718</f>
        <v>261606</v>
      </c>
      <c r="J128" s="325"/>
      <c r="K128" s="325"/>
      <c r="L128" s="325"/>
      <c r="M128" s="325"/>
      <c r="N128" s="234">
        <v>435324</v>
      </c>
      <c r="O128" s="234">
        <v>435324</v>
      </c>
      <c r="P128" s="297"/>
      <c r="Q128" s="188"/>
    </row>
    <row r="129" spans="1:20" s="168" customFormat="1" ht="51.75" x14ac:dyDescent="0.25">
      <c r="A129" s="270"/>
      <c r="B129" s="323"/>
      <c r="C129" s="324"/>
      <c r="D129" s="150" t="s">
        <v>47</v>
      </c>
      <c r="E129" s="234">
        <v>0</v>
      </c>
      <c r="F129" s="184">
        <f t="shared" si="28"/>
        <v>0</v>
      </c>
      <c r="G129" s="234">
        <v>0</v>
      </c>
      <c r="H129" s="234">
        <v>0</v>
      </c>
      <c r="I129" s="325">
        <v>0</v>
      </c>
      <c r="J129" s="325"/>
      <c r="K129" s="325"/>
      <c r="L129" s="325"/>
      <c r="M129" s="325"/>
      <c r="N129" s="234">
        <v>0</v>
      </c>
      <c r="O129" s="234">
        <v>0</v>
      </c>
      <c r="P129" s="297"/>
    </row>
    <row r="130" spans="1:20" s="168" customFormat="1" ht="34.5" x14ac:dyDescent="0.25">
      <c r="A130" s="270"/>
      <c r="B130" s="323"/>
      <c r="C130" s="324"/>
      <c r="D130" s="150" t="s">
        <v>87</v>
      </c>
      <c r="E130" s="234"/>
      <c r="F130" s="184">
        <f t="shared" si="28"/>
        <v>0</v>
      </c>
      <c r="G130" s="234">
        <v>0</v>
      </c>
      <c r="H130" s="234">
        <v>0</v>
      </c>
      <c r="I130" s="325">
        <v>0</v>
      </c>
      <c r="J130" s="325"/>
      <c r="K130" s="325"/>
      <c r="L130" s="325"/>
      <c r="M130" s="325"/>
      <c r="N130" s="234">
        <v>0</v>
      </c>
      <c r="O130" s="234">
        <v>0</v>
      </c>
      <c r="P130" s="297"/>
    </row>
    <row r="131" spans="1:20" s="168" customFormat="1" ht="46.5" customHeight="1" x14ac:dyDescent="0.25">
      <c r="A131" s="270"/>
      <c r="B131" s="296" t="s">
        <v>269</v>
      </c>
      <c r="C131" s="278" t="s">
        <v>116</v>
      </c>
      <c r="D131" s="284" t="s">
        <v>116</v>
      </c>
      <c r="E131" s="215"/>
      <c r="F131" s="285" t="s">
        <v>117</v>
      </c>
      <c r="G131" s="212" t="s">
        <v>228</v>
      </c>
      <c r="H131" s="212" t="s">
        <v>229</v>
      </c>
      <c r="I131" s="277" t="s">
        <v>123</v>
      </c>
      <c r="J131" s="281" t="s">
        <v>118</v>
      </c>
      <c r="K131" s="281"/>
      <c r="L131" s="281"/>
      <c r="M131" s="281"/>
      <c r="N131" s="212" t="s">
        <v>124</v>
      </c>
      <c r="O131" s="212" t="s">
        <v>125</v>
      </c>
      <c r="P131" s="257" t="s">
        <v>116</v>
      </c>
      <c r="Q131" s="169"/>
    </row>
    <row r="132" spans="1:20" s="168" customFormat="1" ht="32.450000000000003" customHeight="1" x14ac:dyDescent="0.25">
      <c r="A132" s="270"/>
      <c r="B132" s="296"/>
      <c r="C132" s="278"/>
      <c r="D132" s="284"/>
      <c r="E132" s="215"/>
      <c r="F132" s="285"/>
      <c r="G132" s="215"/>
      <c r="H132" s="215"/>
      <c r="I132" s="277"/>
      <c r="J132" s="215" t="s">
        <v>119</v>
      </c>
      <c r="K132" s="215" t="s">
        <v>120</v>
      </c>
      <c r="L132" s="215" t="s">
        <v>121</v>
      </c>
      <c r="M132" s="215" t="s">
        <v>122</v>
      </c>
      <c r="N132" s="215"/>
      <c r="O132" s="215"/>
      <c r="P132" s="257"/>
      <c r="Q132" s="169"/>
    </row>
    <row r="133" spans="1:20" s="168" customFormat="1" ht="39" customHeight="1" x14ac:dyDescent="0.25">
      <c r="A133" s="270"/>
      <c r="B133" s="296"/>
      <c r="C133" s="278"/>
      <c r="D133" s="284"/>
      <c r="E133" s="215"/>
      <c r="F133" s="116">
        <v>100</v>
      </c>
      <c r="G133" s="106">
        <v>0</v>
      </c>
      <c r="H133" s="106">
        <v>0</v>
      </c>
      <c r="I133" s="106">
        <v>100</v>
      </c>
      <c r="J133" s="106">
        <v>100</v>
      </c>
      <c r="K133" s="106">
        <v>100</v>
      </c>
      <c r="L133" s="106">
        <v>100</v>
      </c>
      <c r="M133" s="106">
        <v>100</v>
      </c>
      <c r="N133" s="106">
        <v>100</v>
      </c>
      <c r="O133" s="106">
        <v>100</v>
      </c>
      <c r="P133" s="257"/>
      <c r="Q133" s="169"/>
    </row>
    <row r="134" spans="1:20" s="168" customFormat="1" ht="33.75" customHeight="1" x14ac:dyDescent="0.25">
      <c r="A134" s="270" t="s">
        <v>190</v>
      </c>
      <c r="B134" s="323" t="s">
        <v>219</v>
      </c>
      <c r="C134" s="324" t="s">
        <v>242</v>
      </c>
      <c r="D134" s="150" t="s">
        <v>40</v>
      </c>
      <c r="E134" s="234"/>
      <c r="F134" s="184">
        <f t="shared" ref="F134:F137" si="29">SUM(G134:O134)</f>
        <v>0</v>
      </c>
      <c r="G134" s="234">
        <v>0</v>
      </c>
      <c r="H134" s="234">
        <v>0</v>
      </c>
      <c r="I134" s="325">
        <v>0</v>
      </c>
      <c r="J134" s="325"/>
      <c r="K134" s="325"/>
      <c r="L134" s="325"/>
      <c r="M134" s="325"/>
      <c r="N134" s="234">
        <v>0</v>
      </c>
      <c r="O134" s="234">
        <v>0</v>
      </c>
      <c r="P134" s="300" t="s">
        <v>95</v>
      </c>
    </row>
    <row r="135" spans="1:20" s="168" customFormat="1" ht="34.5" x14ac:dyDescent="0.25">
      <c r="A135" s="270"/>
      <c r="B135" s="323"/>
      <c r="C135" s="324"/>
      <c r="D135" s="150" t="s">
        <v>1</v>
      </c>
      <c r="E135" s="234"/>
      <c r="F135" s="184">
        <f t="shared" si="29"/>
        <v>0</v>
      </c>
      <c r="G135" s="234">
        <v>0</v>
      </c>
      <c r="H135" s="234">
        <v>0</v>
      </c>
      <c r="I135" s="325">
        <v>0</v>
      </c>
      <c r="J135" s="325"/>
      <c r="K135" s="325"/>
      <c r="L135" s="325"/>
      <c r="M135" s="325"/>
      <c r="N135" s="234">
        <v>0</v>
      </c>
      <c r="O135" s="234">
        <v>0</v>
      </c>
      <c r="P135" s="300"/>
    </row>
    <row r="136" spans="1:20" s="168" customFormat="1" ht="51.75" x14ac:dyDescent="0.25">
      <c r="A136" s="270"/>
      <c r="B136" s="323"/>
      <c r="C136" s="324"/>
      <c r="D136" s="150" t="s">
        <v>47</v>
      </c>
      <c r="E136" s="234">
        <v>0</v>
      </c>
      <c r="F136" s="184">
        <f t="shared" si="29"/>
        <v>1105765.19025</v>
      </c>
      <c r="G136" s="234">
        <v>0</v>
      </c>
      <c r="H136" s="234">
        <v>0</v>
      </c>
      <c r="I136" s="326">
        <v>466277.19024999999</v>
      </c>
      <c r="J136" s="326"/>
      <c r="K136" s="326"/>
      <c r="L136" s="326"/>
      <c r="M136" s="326"/>
      <c r="N136" s="234">
        <v>319744</v>
      </c>
      <c r="O136" s="234">
        <v>319744</v>
      </c>
      <c r="P136" s="300"/>
    </row>
    <row r="137" spans="1:20" s="168" customFormat="1" ht="32.25" customHeight="1" x14ac:dyDescent="0.25">
      <c r="A137" s="270"/>
      <c r="B137" s="323"/>
      <c r="C137" s="324"/>
      <c r="D137" s="150" t="s">
        <v>87</v>
      </c>
      <c r="E137" s="234"/>
      <c r="F137" s="184">
        <f t="shared" si="29"/>
        <v>0</v>
      </c>
      <c r="G137" s="234">
        <v>0</v>
      </c>
      <c r="H137" s="234">
        <v>0</v>
      </c>
      <c r="I137" s="325">
        <v>0</v>
      </c>
      <c r="J137" s="325"/>
      <c r="K137" s="325"/>
      <c r="L137" s="325"/>
      <c r="M137" s="325"/>
      <c r="N137" s="234">
        <v>0</v>
      </c>
      <c r="O137" s="234">
        <v>0</v>
      </c>
      <c r="P137" s="300"/>
    </row>
    <row r="138" spans="1:20" s="168" customFormat="1" ht="41.25" customHeight="1" x14ac:dyDescent="0.25">
      <c r="A138" s="270"/>
      <c r="B138" s="296" t="s">
        <v>158</v>
      </c>
      <c r="C138" s="278" t="s">
        <v>116</v>
      </c>
      <c r="D138" s="284" t="s">
        <v>116</v>
      </c>
      <c r="E138" s="215"/>
      <c r="F138" s="285" t="s">
        <v>117</v>
      </c>
      <c r="G138" s="212" t="s">
        <v>228</v>
      </c>
      <c r="H138" s="212" t="s">
        <v>229</v>
      </c>
      <c r="I138" s="277" t="s">
        <v>123</v>
      </c>
      <c r="J138" s="281" t="s">
        <v>118</v>
      </c>
      <c r="K138" s="281"/>
      <c r="L138" s="281"/>
      <c r="M138" s="281"/>
      <c r="N138" s="212" t="s">
        <v>124</v>
      </c>
      <c r="O138" s="212" t="s">
        <v>125</v>
      </c>
      <c r="P138" s="257" t="s">
        <v>116</v>
      </c>
      <c r="Q138" s="169"/>
    </row>
    <row r="139" spans="1:20" s="168" customFormat="1" ht="28.5" customHeight="1" x14ac:dyDescent="0.25">
      <c r="A139" s="270"/>
      <c r="B139" s="296"/>
      <c r="C139" s="278"/>
      <c r="D139" s="284"/>
      <c r="E139" s="215"/>
      <c r="F139" s="285"/>
      <c r="G139" s="215"/>
      <c r="H139" s="215"/>
      <c r="I139" s="277"/>
      <c r="J139" s="215" t="s">
        <v>119</v>
      </c>
      <c r="K139" s="215" t="s">
        <v>120</v>
      </c>
      <c r="L139" s="215" t="s">
        <v>121</v>
      </c>
      <c r="M139" s="215" t="s">
        <v>122</v>
      </c>
      <c r="N139" s="215"/>
      <c r="O139" s="215"/>
      <c r="P139" s="257"/>
      <c r="Q139" s="169"/>
    </row>
    <row r="140" spans="1:20" s="168" customFormat="1" ht="65.25" customHeight="1" x14ac:dyDescent="0.25">
      <c r="A140" s="270"/>
      <c r="B140" s="296"/>
      <c r="C140" s="278"/>
      <c r="D140" s="284"/>
      <c r="E140" s="215"/>
      <c r="F140" s="116">
        <v>100</v>
      </c>
      <c r="G140" s="106">
        <v>0</v>
      </c>
      <c r="H140" s="106">
        <v>0</v>
      </c>
      <c r="I140" s="106">
        <v>100</v>
      </c>
      <c r="J140" s="106">
        <v>100</v>
      </c>
      <c r="K140" s="106">
        <v>100</v>
      </c>
      <c r="L140" s="106">
        <v>100</v>
      </c>
      <c r="M140" s="106">
        <v>100</v>
      </c>
      <c r="N140" s="106">
        <v>100</v>
      </c>
      <c r="O140" s="106">
        <v>100</v>
      </c>
      <c r="P140" s="257"/>
      <c r="Q140" s="169"/>
    </row>
    <row r="141" spans="1:20" s="168" customFormat="1" ht="36" customHeight="1" x14ac:dyDescent="0.25">
      <c r="A141" s="266" t="s">
        <v>200</v>
      </c>
      <c r="B141" s="384" t="s">
        <v>220</v>
      </c>
      <c r="C141" s="282" t="s">
        <v>242</v>
      </c>
      <c r="D141" s="150" t="s">
        <v>40</v>
      </c>
      <c r="E141" s="235"/>
      <c r="F141" s="115">
        <f t="shared" ref="F141:F144" si="30">SUM(G141:O141)</f>
        <v>0</v>
      </c>
      <c r="G141" s="240">
        <v>0</v>
      </c>
      <c r="H141" s="240">
        <v>0</v>
      </c>
      <c r="I141" s="363">
        <v>0</v>
      </c>
      <c r="J141" s="363"/>
      <c r="K141" s="363"/>
      <c r="L141" s="363"/>
      <c r="M141" s="363"/>
      <c r="N141" s="240">
        <v>0</v>
      </c>
      <c r="O141" s="240">
        <v>0</v>
      </c>
      <c r="P141" s="297" t="s">
        <v>3</v>
      </c>
      <c r="T141" s="170"/>
    </row>
    <row r="142" spans="1:20" s="168" customFormat="1" ht="34.5" x14ac:dyDescent="0.25">
      <c r="A142" s="258"/>
      <c r="B142" s="384"/>
      <c r="C142" s="282"/>
      <c r="D142" s="148" t="s">
        <v>1</v>
      </c>
      <c r="E142" s="221">
        <v>34122</v>
      </c>
      <c r="F142" s="115">
        <f t="shared" si="30"/>
        <v>118729</v>
      </c>
      <c r="G142" s="221">
        <v>0</v>
      </c>
      <c r="H142" s="221">
        <v>0</v>
      </c>
      <c r="I142" s="294">
        <f>40616-3119</f>
        <v>37497</v>
      </c>
      <c r="J142" s="294"/>
      <c r="K142" s="294"/>
      <c r="L142" s="294"/>
      <c r="M142" s="294"/>
      <c r="N142" s="221">
        <v>40616</v>
      </c>
      <c r="O142" s="221">
        <v>40616</v>
      </c>
      <c r="P142" s="297"/>
    </row>
    <row r="143" spans="1:20" s="168" customFormat="1" ht="51.75" x14ac:dyDescent="0.25">
      <c r="A143" s="258"/>
      <c r="B143" s="384"/>
      <c r="C143" s="282"/>
      <c r="D143" s="148" t="s">
        <v>47</v>
      </c>
      <c r="E143" s="221">
        <v>20473</v>
      </c>
      <c r="F143" s="115">
        <f t="shared" si="30"/>
        <v>73080</v>
      </c>
      <c r="G143" s="221">
        <v>0</v>
      </c>
      <c r="H143" s="221">
        <v>0</v>
      </c>
      <c r="I143" s="294">
        <f>25000-1920</f>
        <v>23080</v>
      </c>
      <c r="J143" s="294"/>
      <c r="K143" s="294"/>
      <c r="L143" s="294"/>
      <c r="M143" s="294"/>
      <c r="N143" s="221">
        <v>25000</v>
      </c>
      <c r="O143" s="221">
        <v>25000</v>
      </c>
      <c r="P143" s="297"/>
    </row>
    <row r="144" spans="1:20" s="168" customFormat="1" ht="42.75" customHeight="1" x14ac:dyDescent="0.25">
      <c r="A144" s="259"/>
      <c r="B144" s="384"/>
      <c r="C144" s="282"/>
      <c r="D144" s="148" t="s">
        <v>87</v>
      </c>
      <c r="E144" s="221"/>
      <c r="F144" s="115">
        <f t="shared" si="30"/>
        <v>0</v>
      </c>
      <c r="G144" s="221">
        <v>0</v>
      </c>
      <c r="H144" s="221">
        <v>0</v>
      </c>
      <c r="I144" s="294">
        <v>0</v>
      </c>
      <c r="J144" s="294"/>
      <c r="K144" s="294"/>
      <c r="L144" s="294"/>
      <c r="M144" s="294"/>
      <c r="N144" s="221">
        <v>0</v>
      </c>
      <c r="O144" s="221">
        <v>0</v>
      </c>
      <c r="P144" s="297"/>
    </row>
    <row r="145" spans="1:21" s="168" customFormat="1" ht="92.25" customHeight="1" x14ac:dyDescent="0.25">
      <c r="A145" s="266"/>
      <c r="B145" s="296" t="s">
        <v>270</v>
      </c>
      <c r="C145" s="278" t="s">
        <v>116</v>
      </c>
      <c r="D145" s="284" t="s">
        <v>116</v>
      </c>
      <c r="E145" s="215"/>
      <c r="F145" s="285" t="s">
        <v>117</v>
      </c>
      <c r="G145" s="212" t="s">
        <v>228</v>
      </c>
      <c r="H145" s="212" t="s">
        <v>229</v>
      </c>
      <c r="I145" s="277" t="s">
        <v>123</v>
      </c>
      <c r="J145" s="281" t="s">
        <v>118</v>
      </c>
      <c r="K145" s="281"/>
      <c r="L145" s="281"/>
      <c r="M145" s="281"/>
      <c r="N145" s="212" t="s">
        <v>124</v>
      </c>
      <c r="O145" s="212" t="s">
        <v>125</v>
      </c>
      <c r="P145" s="257" t="s">
        <v>116</v>
      </c>
      <c r="Q145" s="169"/>
    </row>
    <row r="146" spans="1:21" s="168" customFormat="1" ht="63.75" customHeight="1" x14ac:dyDescent="0.25">
      <c r="A146" s="258"/>
      <c r="B146" s="296"/>
      <c r="C146" s="278"/>
      <c r="D146" s="284"/>
      <c r="E146" s="215"/>
      <c r="F146" s="285"/>
      <c r="G146" s="215"/>
      <c r="H146" s="215"/>
      <c r="I146" s="277"/>
      <c r="J146" s="215" t="s">
        <v>119</v>
      </c>
      <c r="K146" s="215" t="s">
        <v>120</v>
      </c>
      <c r="L146" s="215" t="s">
        <v>121</v>
      </c>
      <c r="M146" s="215" t="s">
        <v>122</v>
      </c>
      <c r="N146" s="215"/>
      <c r="O146" s="215"/>
      <c r="P146" s="257"/>
      <c r="Q146" s="169"/>
    </row>
    <row r="147" spans="1:21" s="168" customFormat="1" ht="113.45" customHeight="1" x14ac:dyDescent="0.25">
      <c r="A147" s="259"/>
      <c r="B147" s="296"/>
      <c r="C147" s="278"/>
      <c r="D147" s="284"/>
      <c r="E147" s="215"/>
      <c r="F147" s="116">
        <f>I147</f>
        <v>100</v>
      </c>
      <c r="G147" s="106">
        <v>0</v>
      </c>
      <c r="H147" s="106">
        <v>0</v>
      </c>
      <c r="I147" s="106">
        <v>100</v>
      </c>
      <c r="J147" s="106">
        <v>100</v>
      </c>
      <c r="K147" s="106">
        <v>100</v>
      </c>
      <c r="L147" s="106">
        <v>100</v>
      </c>
      <c r="M147" s="106">
        <v>100</v>
      </c>
      <c r="N147" s="106">
        <v>100</v>
      </c>
      <c r="O147" s="106">
        <v>100</v>
      </c>
      <c r="P147" s="257"/>
      <c r="Q147" s="187"/>
      <c r="S147" s="168">
        <f>770.61/2448.6*100</f>
        <v>31.471453075226663</v>
      </c>
    </row>
    <row r="148" spans="1:21" s="168" customFormat="1" ht="36" customHeight="1" x14ac:dyDescent="0.25">
      <c r="A148" s="270" t="s">
        <v>256</v>
      </c>
      <c r="B148" s="384" t="s">
        <v>257</v>
      </c>
      <c r="C148" s="282" t="s">
        <v>242</v>
      </c>
      <c r="D148" s="150" t="s">
        <v>40</v>
      </c>
      <c r="E148" s="235"/>
      <c r="F148" s="115">
        <f t="shared" ref="F148:F151" si="31">SUM(G148:O148)</f>
        <v>0</v>
      </c>
      <c r="G148" s="240">
        <v>0</v>
      </c>
      <c r="H148" s="240">
        <v>0</v>
      </c>
      <c r="I148" s="363">
        <v>0</v>
      </c>
      <c r="J148" s="363"/>
      <c r="K148" s="363"/>
      <c r="L148" s="363"/>
      <c r="M148" s="363"/>
      <c r="N148" s="240">
        <v>0</v>
      </c>
      <c r="O148" s="240">
        <v>0</v>
      </c>
      <c r="P148" s="297" t="s">
        <v>3</v>
      </c>
      <c r="T148" s="170"/>
    </row>
    <row r="149" spans="1:21" s="168" customFormat="1" ht="34.5" x14ac:dyDescent="0.25">
      <c r="A149" s="270"/>
      <c r="B149" s="384"/>
      <c r="C149" s="282"/>
      <c r="D149" s="148" t="s">
        <v>1</v>
      </c>
      <c r="E149" s="221">
        <v>34122</v>
      </c>
      <c r="F149" s="115">
        <f t="shared" si="31"/>
        <v>834</v>
      </c>
      <c r="G149" s="221">
        <v>0</v>
      </c>
      <c r="H149" s="221">
        <v>0</v>
      </c>
      <c r="I149" s="294">
        <v>834</v>
      </c>
      <c r="J149" s="294"/>
      <c r="K149" s="294"/>
      <c r="L149" s="294"/>
      <c r="M149" s="294"/>
      <c r="N149" s="221">
        <v>0</v>
      </c>
      <c r="O149" s="221">
        <v>0</v>
      </c>
      <c r="P149" s="297"/>
    </row>
    <row r="150" spans="1:21" s="168" customFormat="1" ht="51.75" x14ac:dyDescent="0.25">
      <c r="A150" s="270"/>
      <c r="B150" s="384"/>
      <c r="C150" s="282"/>
      <c r="D150" s="148" t="s">
        <v>47</v>
      </c>
      <c r="E150" s="221">
        <v>20473</v>
      </c>
      <c r="F150" s="115">
        <f t="shared" si="31"/>
        <v>0</v>
      </c>
      <c r="G150" s="221">
        <v>0</v>
      </c>
      <c r="H150" s="221">
        <v>0</v>
      </c>
      <c r="I150" s="294">
        <v>0</v>
      </c>
      <c r="J150" s="294"/>
      <c r="K150" s="294"/>
      <c r="L150" s="294"/>
      <c r="M150" s="294"/>
      <c r="N150" s="221">
        <v>0</v>
      </c>
      <c r="O150" s="221">
        <v>0</v>
      </c>
      <c r="P150" s="297"/>
    </row>
    <row r="151" spans="1:21" s="168" customFormat="1" ht="46.5" customHeight="1" x14ac:dyDescent="0.25">
      <c r="A151" s="270"/>
      <c r="B151" s="384"/>
      <c r="C151" s="282"/>
      <c r="D151" s="148" t="s">
        <v>87</v>
      </c>
      <c r="E151" s="221"/>
      <c r="F151" s="115">
        <f t="shared" si="31"/>
        <v>0</v>
      </c>
      <c r="G151" s="221">
        <v>0</v>
      </c>
      <c r="H151" s="221">
        <v>0</v>
      </c>
      <c r="I151" s="294">
        <v>0</v>
      </c>
      <c r="J151" s="294"/>
      <c r="K151" s="294"/>
      <c r="L151" s="294"/>
      <c r="M151" s="294"/>
      <c r="N151" s="221">
        <v>0</v>
      </c>
      <c r="O151" s="221">
        <v>0</v>
      </c>
      <c r="P151" s="297"/>
    </row>
    <row r="152" spans="1:21" s="168" customFormat="1" ht="28.9" customHeight="1" x14ac:dyDescent="0.25">
      <c r="A152" s="270"/>
      <c r="B152" s="296" t="s">
        <v>271</v>
      </c>
      <c r="C152" s="278" t="s">
        <v>116</v>
      </c>
      <c r="D152" s="284" t="s">
        <v>116</v>
      </c>
      <c r="E152" s="215"/>
      <c r="F152" s="285" t="s">
        <v>117</v>
      </c>
      <c r="G152" s="212" t="s">
        <v>228</v>
      </c>
      <c r="H152" s="212" t="s">
        <v>229</v>
      </c>
      <c r="I152" s="277" t="s">
        <v>123</v>
      </c>
      <c r="J152" s="281" t="s">
        <v>118</v>
      </c>
      <c r="K152" s="281"/>
      <c r="L152" s="281"/>
      <c r="M152" s="281"/>
      <c r="N152" s="212" t="s">
        <v>124</v>
      </c>
      <c r="O152" s="212" t="s">
        <v>125</v>
      </c>
      <c r="P152" s="257" t="s">
        <v>116</v>
      </c>
      <c r="Q152" s="169"/>
    </row>
    <row r="153" spans="1:21" s="168" customFormat="1" ht="24.6" customHeight="1" x14ac:dyDescent="0.25">
      <c r="A153" s="270"/>
      <c r="B153" s="296"/>
      <c r="C153" s="278"/>
      <c r="D153" s="284"/>
      <c r="E153" s="215"/>
      <c r="F153" s="285"/>
      <c r="G153" s="215"/>
      <c r="H153" s="215"/>
      <c r="I153" s="277"/>
      <c r="J153" s="215" t="s">
        <v>119</v>
      </c>
      <c r="K153" s="215" t="s">
        <v>120</v>
      </c>
      <c r="L153" s="215" t="s">
        <v>121</v>
      </c>
      <c r="M153" s="215" t="s">
        <v>122</v>
      </c>
      <c r="N153" s="215"/>
      <c r="O153" s="215"/>
      <c r="P153" s="257"/>
      <c r="Q153" s="169"/>
    </row>
    <row r="154" spans="1:21" s="168" customFormat="1" ht="28.5" customHeight="1" x14ac:dyDescent="0.25">
      <c r="A154" s="270"/>
      <c r="B154" s="296"/>
      <c r="C154" s="278"/>
      <c r="D154" s="284"/>
      <c r="E154" s="215"/>
      <c r="F154" s="116">
        <v>1</v>
      </c>
      <c r="G154" s="106" t="s">
        <v>254</v>
      </c>
      <c r="H154" s="106" t="s">
        <v>254</v>
      </c>
      <c r="I154" s="185">
        <v>1</v>
      </c>
      <c r="J154" s="185">
        <v>0</v>
      </c>
      <c r="K154" s="185">
        <v>0</v>
      </c>
      <c r="L154" s="185">
        <v>0</v>
      </c>
      <c r="M154" s="185">
        <v>1</v>
      </c>
      <c r="N154" s="106">
        <v>0</v>
      </c>
      <c r="O154" s="106">
        <v>0</v>
      </c>
      <c r="P154" s="257"/>
      <c r="Q154" s="191"/>
      <c r="S154" s="168">
        <f>770.61/2448.6*100</f>
        <v>31.471453075226663</v>
      </c>
    </row>
    <row r="155" spans="1:21" s="9" customFormat="1" ht="30" customHeight="1" x14ac:dyDescent="0.25">
      <c r="A155" s="274" t="s">
        <v>74</v>
      </c>
      <c r="B155" s="342" t="s">
        <v>93</v>
      </c>
      <c r="C155" s="342" t="s">
        <v>86</v>
      </c>
      <c r="D155" s="146" t="s">
        <v>2</v>
      </c>
      <c r="E155" s="227" t="e">
        <f>E157+E158+E156</f>
        <v>#REF!</v>
      </c>
      <c r="F155" s="115">
        <f>SUM(G155:O155)</f>
        <v>3065356.0551400008</v>
      </c>
      <c r="G155" s="227">
        <f t="shared" ref="G155:H155" si="32">G157+G158+G156+G159</f>
        <v>724828.87861999997</v>
      </c>
      <c r="H155" s="227">
        <f t="shared" si="32"/>
        <v>785105.55301999999</v>
      </c>
      <c r="I155" s="308">
        <f>I157+I158+I156+I159</f>
        <v>553363.35600000003</v>
      </c>
      <c r="J155" s="308"/>
      <c r="K155" s="308"/>
      <c r="L155" s="308"/>
      <c r="M155" s="308"/>
      <c r="N155" s="227">
        <f t="shared" ref="N155:O155" si="33">N157+N158+N156+N159</f>
        <v>558719.48750000005</v>
      </c>
      <c r="O155" s="227">
        <f t="shared" si="33"/>
        <v>443338.78</v>
      </c>
      <c r="P155" s="304"/>
      <c r="S155" s="102">
        <f>770.61/999.3*100</f>
        <v>77.114980486340443</v>
      </c>
      <c r="T155" s="44"/>
      <c r="U155" s="44"/>
    </row>
    <row r="156" spans="1:21" s="9" customFormat="1" ht="39.75" customHeight="1" x14ac:dyDescent="0.25">
      <c r="A156" s="274"/>
      <c r="B156" s="342"/>
      <c r="C156" s="342"/>
      <c r="D156" s="146" t="s">
        <v>40</v>
      </c>
      <c r="E156" s="211">
        <f>E174</f>
        <v>0</v>
      </c>
      <c r="F156" s="115">
        <f t="shared" ref="F156:F163" si="34">SUM(G156:O156)</f>
        <v>925902.25178000017</v>
      </c>
      <c r="G156" s="211">
        <f t="shared" ref="G156:H156" si="35">G160+G167+G174+G184+G191</f>
        <v>168810.5778</v>
      </c>
      <c r="H156" s="211">
        <f t="shared" si="35"/>
        <v>194255.56570000001</v>
      </c>
      <c r="I156" s="348">
        <f>I160+I167+I174+I184+I191</f>
        <v>199531.94307000001</v>
      </c>
      <c r="J156" s="349"/>
      <c r="K156" s="349"/>
      <c r="L156" s="349"/>
      <c r="M156" s="350"/>
      <c r="N156" s="211">
        <f t="shared" ref="N156:O156" si="36">N160+N167+N174+N184+N191</f>
        <v>187166.77438000002</v>
      </c>
      <c r="O156" s="211">
        <f t="shared" si="36"/>
        <v>176137.39083000002</v>
      </c>
      <c r="P156" s="304"/>
      <c r="T156" s="44"/>
      <c r="U156" s="44"/>
    </row>
    <row r="157" spans="1:21" s="9" customFormat="1" ht="39.75" customHeight="1" x14ac:dyDescent="0.25">
      <c r="A157" s="274"/>
      <c r="B157" s="342"/>
      <c r="C157" s="342"/>
      <c r="D157" s="146" t="s">
        <v>1</v>
      </c>
      <c r="E157" s="211" t="e">
        <f>#REF!+E160+E161+E168+#REF!+#REF!+E175+E185</f>
        <v>#REF!</v>
      </c>
      <c r="F157" s="115">
        <f t="shared" si="34"/>
        <v>1379910.9620400001</v>
      </c>
      <c r="G157" s="211">
        <f>G161+G168+G175+G185+G192+G209+G199</f>
        <v>266250.13696999999</v>
      </c>
      <c r="H157" s="211">
        <f>H161+H168+H175+H185+H192+H209+H199</f>
        <v>326694.87919999997</v>
      </c>
      <c r="I157" s="348">
        <f>I161+I168+I175+I185+I192+I199+I209</f>
        <v>284528.87132999999</v>
      </c>
      <c r="J157" s="349"/>
      <c r="K157" s="349"/>
      <c r="L157" s="349"/>
      <c r="M157" s="350"/>
      <c r="N157" s="211">
        <f t="shared" ref="N157:O157" si="37">N161+N168+N175+N185+N192+N209</f>
        <v>297656.16537</v>
      </c>
      <c r="O157" s="211">
        <f t="shared" si="37"/>
        <v>204780.90917</v>
      </c>
      <c r="P157" s="304"/>
      <c r="T157" s="44"/>
      <c r="U157" s="44"/>
    </row>
    <row r="158" spans="1:21" s="9" customFormat="1" ht="58.5" customHeight="1" x14ac:dyDescent="0.25">
      <c r="A158" s="274"/>
      <c r="B158" s="342"/>
      <c r="C158" s="342"/>
      <c r="D158" s="146" t="s">
        <v>48</v>
      </c>
      <c r="E158" s="211" t="e">
        <f>#REF!+E169+#REF!+#REF!+#REF!+E176+E186</f>
        <v>#REF!</v>
      </c>
      <c r="F158" s="115">
        <f t="shared" si="34"/>
        <v>759542.84132000001</v>
      </c>
      <c r="G158" s="211">
        <f>G162+G169+G176+G186+G193</f>
        <v>289768.16385000001</v>
      </c>
      <c r="H158" s="211">
        <f>H162+H169+H176+H186+H193</f>
        <v>264155.10811999999</v>
      </c>
      <c r="I158" s="276">
        <f>I162+I169+I176+I186+I193+I200+I210</f>
        <v>69302.541599999997</v>
      </c>
      <c r="J158" s="276"/>
      <c r="K158" s="276"/>
      <c r="L158" s="276"/>
      <c r="M158" s="276"/>
      <c r="N158" s="211">
        <f>N162+N169+N176+N186+N193</f>
        <v>73896.547749999998</v>
      </c>
      <c r="O158" s="211">
        <f t="shared" ref="O158" si="38">O162+O169+O176+O186+O193</f>
        <v>62420.480000000003</v>
      </c>
      <c r="P158" s="304"/>
      <c r="T158" s="44"/>
      <c r="U158" s="44"/>
    </row>
    <row r="159" spans="1:21" s="9" customFormat="1" ht="34.5" x14ac:dyDescent="0.25">
      <c r="A159" s="274"/>
      <c r="B159" s="342"/>
      <c r="C159" s="342"/>
      <c r="D159" s="146" t="s">
        <v>87</v>
      </c>
      <c r="E159" s="211"/>
      <c r="F159" s="115">
        <f t="shared" si="34"/>
        <v>0</v>
      </c>
      <c r="G159" s="211">
        <f t="shared" ref="G159:H159" si="39">G163+G170+G177+G187+G194</f>
        <v>0</v>
      </c>
      <c r="H159" s="211">
        <f t="shared" si="39"/>
        <v>0</v>
      </c>
      <c r="I159" s="276">
        <f>I163+I170+I177+I187+I194+I201+I211</f>
        <v>0</v>
      </c>
      <c r="J159" s="276"/>
      <c r="K159" s="276"/>
      <c r="L159" s="276"/>
      <c r="M159" s="276"/>
      <c r="N159" s="211">
        <f t="shared" ref="N159:O159" si="40">N163+N170+N177+N187+N194</f>
        <v>0</v>
      </c>
      <c r="O159" s="211">
        <f t="shared" si="40"/>
        <v>0</v>
      </c>
      <c r="P159" s="304"/>
      <c r="T159" s="44"/>
      <c r="U159" s="44"/>
    </row>
    <row r="160" spans="1:21" s="39" customFormat="1" ht="37.5" customHeight="1" x14ac:dyDescent="0.25">
      <c r="A160" s="254" t="s">
        <v>30</v>
      </c>
      <c r="B160" s="366" t="s">
        <v>94</v>
      </c>
      <c r="C160" s="286" t="s">
        <v>243</v>
      </c>
      <c r="D160" s="150" t="s">
        <v>40</v>
      </c>
      <c r="E160" s="217">
        <v>200475</v>
      </c>
      <c r="F160" s="115">
        <f>SUM(G160:O160)</f>
        <v>0</v>
      </c>
      <c r="G160" s="217">
        <v>0</v>
      </c>
      <c r="H160" s="217">
        <v>0</v>
      </c>
      <c r="I160" s="290">
        <v>0</v>
      </c>
      <c r="J160" s="290"/>
      <c r="K160" s="290"/>
      <c r="L160" s="290"/>
      <c r="M160" s="290"/>
      <c r="N160" s="217">
        <v>0</v>
      </c>
      <c r="O160" s="217">
        <v>0</v>
      </c>
      <c r="P160" s="300" t="s">
        <v>3</v>
      </c>
    </row>
    <row r="161" spans="1:17" s="39" customFormat="1" ht="34.5" x14ac:dyDescent="0.25">
      <c r="A161" s="255"/>
      <c r="B161" s="366"/>
      <c r="C161" s="286"/>
      <c r="D161" s="150" t="s">
        <v>1</v>
      </c>
      <c r="E161" s="217">
        <v>93</v>
      </c>
      <c r="F161" s="115">
        <f t="shared" si="34"/>
        <v>7</v>
      </c>
      <c r="G161" s="217">
        <v>7</v>
      </c>
      <c r="H161" s="217">
        <v>0</v>
      </c>
      <c r="I161" s="290">
        <v>0</v>
      </c>
      <c r="J161" s="290"/>
      <c r="K161" s="290"/>
      <c r="L161" s="290"/>
      <c r="M161" s="290"/>
      <c r="N161" s="217">
        <f>15+1-16</f>
        <v>0</v>
      </c>
      <c r="O161" s="217">
        <f>15+1-16</f>
        <v>0</v>
      </c>
      <c r="P161" s="300"/>
    </row>
    <row r="162" spans="1:17" s="39" customFormat="1" ht="51.75" x14ac:dyDescent="0.25">
      <c r="A162" s="255"/>
      <c r="B162" s="366"/>
      <c r="C162" s="286"/>
      <c r="D162" s="150" t="s">
        <v>47</v>
      </c>
      <c r="E162" s="217"/>
      <c r="F162" s="115">
        <f t="shared" si="34"/>
        <v>0</v>
      </c>
      <c r="G162" s="217">
        <v>0</v>
      </c>
      <c r="H162" s="217">
        <v>0</v>
      </c>
      <c r="I162" s="290">
        <v>0</v>
      </c>
      <c r="J162" s="290"/>
      <c r="K162" s="290"/>
      <c r="L162" s="290"/>
      <c r="M162" s="290"/>
      <c r="N162" s="217">
        <v>0</v>
      </c>
      <c r="O162" s="217">
        <v>0</v>
      </c>
      <c r="P162" s="300"/>
    </row>
    <row r="163" spans="1:17" s="39" customFormat="1" ht="33" customHeight="1" x14ac:dyDescent="0.25">
      <c r="A163" s="255"/>
      <c r="B163" s="366"/>
      <c r="C163" s="286"/>
      <c r="D163" s="150" t="s">
        <v>87</v>
      </c>
      <c r="E163" s="217"/>
      <c r="F163" s="115">
        <f t="shared" si="34"/>
        <v>0</v>
      </c>
      <c r="G163" s="217">
        <v>0</v>
      </c>
      <c r="H163" s="217">
        <v>0</v>
      </c>
      <c r="I163" s="290">
        <v>0</v>
      </c>
      <c r="J163" s="290"/>
      <c r="K163" s="290"/>
      <c r="L163" s="290"/>
      <c r="M163" s="290"/>
      <c r="N163" s="217">
        <v>0</v>
      </c>
      <c r="O163" s="217">
        <v>0</v>
      </c>
      <c r="P163" s="300"/>
    </row>
    <row r="164" spans="1:17" s="39" customFormat="1" ht="23.25" customHeight="1" x14ac:dyDescent="0.25">
      <c r="A164" s="255"/>
      <c r="B164" s="296" t="s">
        <v>272</v>
      </c>
      <c r="C164" s="278" t="s">
        <v>116</v>
      </c>
      <c r="D164" s="284" t="s">
        <v>116</v>
      </c>
      <c r="E164" s="215"/>
      <c r="F164" s="285" t="s">
        <v>117</v>
      </c>
      <c r="G164" s="212" t="s">
        <v>228</v>
      </c>
      <c r="H164" s="212" t="s">
        <v>229</v>
      </c>
      <c r="I164" s="277" t="s">
        <v>123</v>
      </c>
      <c r="J164" s="281" t="s">
        <v>118</v>
      </c>
      <c r="K164" s="281"/>
      <c r="L164" s="281"/>
      <c r="M164" s="281"/>
      <c r="N164" s="212" t="s">
        <v>124</v>
      </c>
      <c r="O164" s="212" t="s">
        <v>125</v>
      </c>
      <c r="P164" s="257" t="s">
        <v>116</v>
      </c>
      <c r="Q164" s="40"/>
    </row>
    <row r="165" spans="1:17" s="39" customFormat="1" ht="21.75" customHeight="1" x14ac:dyDescent="0.25">
      <c r="A165" s="255"/>
      <c r="B165" s="296"/>
      <c r="C165" s="278"/>
      <c r="D165" s="284"/>
      <c r="E165" s="215"/>
      <c r="F165" s="285"/>
      <c r="G165" s="215"/>
      <c r="H165" s="215"/>
      <c r="I165" s="277"/>
      <c r="J165" s="215" t="s">
        <v>119</v>
      </c>
      <c r="K165" s="215" t="s">
        <v>120</v>
      </c>
      <c r="L165" s="215" t="s">
        <v>121</v>
      </c>
      <c r="M165" s="215" t="s">
        <v>122</v>
      </c>
      <c r="N165" s="215"/>
      <c r="O165" s="215"/>
      <c r="P165" s="257"/>
      <c r="Q165" s="40"/>
    </row>
    <row r="166" spans="1:17" s="39" customFormat="1" ht="32.25" customHeight="1" x14ac:dyDescent="0.25">
      <c r="A166" s="256"/>
      <c r="B166" s="296"/>
      <c r="C166" s="278"/>
      <c r="D166" s="284"/>
      <c r="E166" s="215"/>
      <c r="F166" s="116">
        <v>100</v>
      </c>
      <c r="G166" s="106">
        <v>100</v>
      </c>
      <c r="H166" s="106">
        <v>0</v>
      </c>
      <c r="I166" s="106">
        <v>0</v>
      </c>
      <c r="J166" s="106">
        <v>0</v>
      </c>
      <c r="K166" s="106">
        <v>0</v>
      </c>
      <c r="L166" s="106">
        <v>0</v>
      </c>
      <c r="M166" s="106">
        <v>0</v>
      </c>
      <c r="N166" s="106">
        <v>0</v>
      </c>
      <c r="O166" s="106">
        <v>0</v>
      </c>
      <c r="P166" s="257"/>
      <c r="Q166" s="189"/>
    </row>
    <row r="167" spans="1:17" s="39" customFormat="1" ht="33.75" customHeight="1" x14ac:dyDescent="0.25">
      <c r="A167" s="254" t="s">
        <v>31</v>
      </c>
      <c r="B167" s="341" t="s">
        <v>130</v>
      </c>
      <c r="C167" s="286" t="s">
        <v>198</v>
      </c>
      <c r="D167" s="150" t="s">
        <v>40</v>
      </c>
      <c r="E167" s="217"/>
      <c r="F167" s="115">
        <f>SUM(G167:O167)</f>
        <v>0</v>
      </c>
      <c r="G167" s="217">
        <v>0</v>
      </c>
      <c r="H167" s="217">
        <v>0</v>
      </c>
      <c r="I167" s="290">
        <v>0</v>
      </c>
      <c r="J167" s="290"/>
      <c r="K167" s="290"/>
      <c r="L167" s="290"/>
      <c r="M167" s="290"/>
      <c r="N167" s="217">
        <f>1680-1680</f>
        <v>0</v>
      </c>
      <c r="O167" s="217">
        <v>0</v>
      </c>
      <c r="P167" s="300" t="s">
        <v>3</v>
      </c>
    </row>
    <row r="168" spans="1:17" s="39" customFormat="1" ht="37.5" customHeight="1" x14ac:dyDescent="0.25">
      <c r="A168" s="255"/>
      <c r="B168" s="341"/>
      <c r="C168" s="286"/>
      <c r="D168" s="150" t="s">
        <v>1</v>
      </c>
      <c r="E168" s="217">
        <v>1680</v>
      </c>
      <c r="F168" s="115">
        <f t="shared" ref="F168:F170" si="41">SUM(G168:O168)</f>
        <v>36144</v>
      </c>
      <c r="G168" s="217">
        <v>0</v>
      </c>
      <c r="H168" s="217">
        <v>7608</v>
      </c>
      <c r="I168" s="290">
        <v>9032</v>
      </c>
      <c r="J168" s="290"/>
      <c r="K168" s="290"/>
      <c r="L168" s="290"/>
      <c r="M168" s="290"/>
      <c r="N168" s="217">
        <v>9504</v>
      </c>
      <c r="O168" s="217">
        <v>10000</v>
      </c>
      <c r="P168" s="300"/>
    </row>
    <row r="169" spans="1:17" s="39" customFormat="1" ht="51.75" x14ac:dyDescent="0.25">
      <c r="A169" s="255"/>
      <c r="B169" s="341"/>
      <c r="C169" s="286"/>
      <c r="D169" s="150" t="s">
        <v>47</v>
      </c>
      <c r="E169" s="217">
        <v>420</v>
      </c>
      <c r="F169" s="115">
        <f t="shared" si="41"/>
        <v>9036</v>
      </c>
      <c r="G169" s="217">
        <v>0</v>
      </c>
      <c r="H169" s="217">
        <v>1902</v>
      </c>
      <c r="I169" s="290">
        <v>2258</v>
      </c>
      <c r="J169" s="290"/>
      <c r="K169" s="290"/>
      <c r="L169" s="290"/>
      <c r="M169" s="290"/>
      <c r="N169" s="217">
        <v>2376</v>
      </c>
      <c r="O169" s="217">
        <v>2500</v>
      </c>
      <c r="P169" s="300"/>
    </row>
    <row r="170" spans="1:17" s="39" customFormat="1" ht="34.5" x14ac:dyDescent="0.25">
      <c r="A170" s="255"/>
      <c r="B170" s="341"/>
      <c r="C170" s="286"/>
      <c r="D170" s="150" t="s">
        <v>87</v>
      </c>
      <c r="E170" s="217"/>
      <c r="F170" s="115">
        <f t="shared" si="41"/>
        <v>0</v>
      </c>
      <c r="G170" s="217">
        <v>0</v>
      </c>
      <c r="H170" s="217">
        <v>0</v>
      </c>
      <c r="I170" s="290">
        <v>0</v>
      </c>
      <c r="J170" s="290"/>
      <c r="K170" s="290"/>
      <c r="L170" s="290"/>
      <c r="M170" s="290"/>
      <c r="N170" s="217">
        <v>0</v>
      </c>
      <c r="O170" s="217">
        <v>0</v>
      </c>
      <c r="P170" s="300"/>
    </row>
    <row r="171" spans="1:17" s="39" customFormat="1" ht="24.75" customHeight="1" x14ac:dyDescent="0.25">
      <c r="A171" s="255"/>
      <c r="B171" s="296" t="s">
        <v>156</v>
      </c>
      <c r="C171" s="278" t="s">
        <v>116</v>
      </c>
      <c r="D171" s="284" t="s">
        <v>116</v>
      </c>
      <c r="E171" s="215"/>
      <c r="F171" s="285" t="s">
        <v>117</v>
      </c>
      <c r="G171" s="212" t="s">
        <v>228</v>
      </c>
      <c r="H171" s="212" t="s">
        <v>229</v>
      </c>
      <c r="I171" s="277" t="s">
        <v>123</v>
      </c>
      <c r="J171" s="281" t="s">
        <v>118</v>
      </c>
      <c r="K171" s="281"/>
      <c r="L171" s="281"/>
      <c r="M171" s="281"/>
      <c r="N171" s="212" t="s">
        <v>124</v>
      </c>
      <c r="O171" s="212" t="s">
        <v>125</v>
      </c>
      <c r="P171" s="257" t="s">
        <v>116</v>
      </c>
      <c r="Q171" s="40"/>
    </row>
    <row r="172" spans="1:17" s="39" customFormat="1" ht="24.75" customHeight="1" x14ac:dyDescent="0.25">
      <c r="A172" s="255"/>
      <c r="B172" s="296"/>
      <c r="C172" s="278"/>
      <c r="D172" s="284"/>
      <c r="E172" s="215"/>
      <c r="F172" s="285"/>
      <c r="G172" s="215"/>
      <c r="H172" s="215"/>
      <c r="I172" s="277"/>
      <c r="J172" s="215" t="s">
        <v>119</v>
      </c>
      <c r="K172" s="215" t="s">
        <v>120</v>
      </c>
      <c r="L172" s="215" t="s">
        <v>121</v>
      </c>
      <c r="M172" s="215" t="s">
        <v>122</v>
      </c>
      <c r="N172" s="215"/>
      <c r="O172" s="215"/>
      <c r="P172" s="257"/>
      <c r="Q172" s="40"/>
    </row>
    <row r="173" spans="1:17" s="39" customFormat="1" ht="32.25" customHeight="1" x14ac:dyDescent="0.25">
      <c r="A173" s="256"/>
      <c r="B173" s="296"/>
      <c r="C173" s="278"/>
      <c r="D173" s="284"/>
      <c r="E173" s="215"/>
      <c r="F173" s="116">
        <f>I173+H173+G173+N173+O173</f>
        <v>8</v>
      </c>
      <c r="G173" s="106">
        <v>0</v>
      </c>
      <c r="H173" s="106">
        <v>2</v>
      </c>
      <c r="I173" s="106">
        <v>2</v>
      </c>
      <c r="J173" s="106">
        <v>0</v>
      </c>
      <c r="K173" s="106">
        <v>0</v>
      </c>
      <c r="L173" s="106">
        <v>0</v>
      </c>
      <c r="M173" s="106">
        <v>2</v>
      </c>
      <c r="N173" s="106">
        <v>2</v>
      </c>
      <c r="O173" s="106">
        <v>2</v>
      </c>
      <c r="P173" s="257"/>
      <c r="Q173" s="40"/>
    </row>
    <row r="174" spans="1:17" s="39" customFormat="1" ht="36.75" customHeight="1" x14ac:dyDescent="0.25">
      <c r="A174" s="254" t="s">
        <v>32</v>
      </c>
      <c r="B174" s="341" t="s">
        <v>131</v>
      </c>
      <c r="C174" s="286" t="s">
        <v>86</v>
      </c>
      <c r="D174" s="149" t="s">
        <v>40</v>
      </c>
      <c r="E174" s="217">
        <v>0</v>
      </c>
      <c r="F174" s="115">
        <f>SUM(G174:O174)</f>
        <v>925902.25178000017</v>
      </c>
      <c r="G174" s="217">
        <v>168810.5778</v>
      </c>
      <c r="H174" s="217">
        <v>194255.56570000001</v>
      </c>
      <c r="I174" s="290">
        <f>199531.92+0.02307</f>
        <v>199531.94307000001</v>
      </c>
      <c r="J174" s="290"/>
      <c r="K174" s="290"/>
      <c r="L174" s="290"/>
      <c r="M174" s="290"/>
      <c r="N174" s="217">
        <f>187166.76+0.01438</f>
        <v>187166.77438000002</v>
      </c>
      <c r="O174" s="217">
        <f>176137.39+0.00083</f>
        <v>176137.39083000002</v>
      </c>
      <c r="P174" s="300" t="s">
        <v>95</v>
      </c>
    </row>
    <row r="175" spans="1:17" s="39" customFormat="1" ht="34.5" x14ac:dyDescent="0.25">
      <c r="A175" s="255"/>
      <c r="B175" s="341"/>
      <c r="C175" s="286"/>
      <c r="D175" s="149" t="s">
        <v>1</v>
      </c>
      <c r="E175" s="217">
        <v>0</v>
      </c>
      <c r="F175" s="115">
        <f t="shared" ref="F175:F177" si="42">SUM(G175:O175)</f>
        <v>777246.96204000001</v>
      </c>
      <c r="G175" s="217">
        <v>102492.13697000001</v>
      </c>
      <c r="H175" s="217">
        <v>117940.8792</v>
      </c>
      <c r="I175" s="290">
        <f>126974.88-0.02307+54648.0144</f>
        <v>181622.87132999999</v>
      </c>
      <c r="J175" s="290"/>
      <c r="K175" s="290"/>
      <c r="L175" s="290"/>
      <c r="M175" s="290"/>
      <c r="N175" s="217">
        <f>136775.74-0.01438+97505.43975</f>
        <v>234281.16537</v>
      </c>
      <c r="O175" s="217">
        <f>140909.91-0.00083</f>
        <v>140909.90917</v>
      </c>
      <c r="P175" s="300"/>
    </row>
    <row r="176" spans="1:17" s="39" customFormat="1" ht="51.75" x14ac:dyDescent="0.25">
      <c r="A176" s="255"/>
      <c r="B176" s="341"/>
      <c r="C176" s="286"/>
      <c r="D176" s="149" t="s">
        <v>48</v>
      </c>
      <c r="E176" s="217">
        <v>0</v>
      </c>
      <c r="F176" s="115">
        <f t="shared" si="42"/>
        <v>189238.80932</v>
      </c>
      <c r="G176" s="217">
        <v>30144.746090000001</v>
      </c>
      <c r="H176" s="217">
        <v>34688.493880000002</v>
      </c>
      <c r="I176" s="290">
        <f>36278.54+6072.0016</f>
        <v>42350.541599999997</v>
      </c>
      <c r="J176" s="290"/>
      <c r="K176" s="290"/>
      <c r="L176" s="290"/>
      <c r="M176" s="290"/>
      <c r="N176" s="217">
        <f>35993.61+10833.93775</f>
        <v>46827.547749999998</v>
      </c>
      <c r="O176" s="217">
        <v>35227.480000000003</v>
      </c>
      <c r="P176" s="300"/>
    </row>
    <row r="177" spans="1:17" s="39" customFormat="1" ht="34.5" x14ac:dyDescent="0.25">
      <c r="A177" s="255"/>
      <c r="B177" s="341"/>
      <c r="C177" s="286"/>
      <c r="D177" s="150" t="s">
        <v>87</v>
      </c>
      <c r="E177" s="217"/>
      <c r="F177" s="115">
        <f t="shared" si="42"/>
        <v>0</v>
      </c>
      <c r="G177" s="217">
        <v>0</v>
      </c>
      <c r="H177" s="217">
        <v>0</v>
      </c>
      <c r="I177" s="290">
        <v>0</v>
      </c>
      <c r="J177" s="290"/>
      <c r="K177" s="290"/>
      <c r="L177" s="290"/>
      <c r="M177" s="290"/>
      <c r="N177" s="217">
        <v>0</v>
      </c>
      <c r="O177" s="217">
        <v>0</v>
      </c>
      <c r="P177" s="300"/>
    </row>
    <row r="178" spans="1:17" s="39" customFormat="1" ht="33.6" customHeight="1" x14ac:dyDescent="0.25">
      <c r="A178" s="255"/>
      <c r="B178" s="296" t="s">
        <v>157</v>
      </c>
      <c r="C178" s="278" t="s">
        <v>116</v>
      </c>
      <c r="D178" s="284" t="s">
        <v>116</v>
      </c>
      <c r="E178" s="215"/>
      <c r="F178" s="285" t="s">
        <v>117</v>
      </c>
      <c r="G178" s="212" t="s">
        <v>228</v>
      </c>
      <c r="H178" s="212" t="s">
        <v>229</v>
      </c>
      <c r="I178" s="277" t="s">
        <v>123</v>
      </c>
      <c r="J178" s="281" t="s">
        <v>118</v>
      </c>
      <c r="K178" s="281"/>
      <c r="L178" s="281"/>
      <c r="M178" s="281"/>
      <c r="N178" s="212" t="s">
        <v>124</v>
      </c>
      <c r="O178" s="212" t="s">
        <v>125</v>
      </c>
      <c r="P178" s="257" t="s">
        <v>116</v>
      </c>
      <c r="Q178" s="40"/>
    </row>
    <row r="179" spans="1:17" s="39" customFormat="1" ht="32.25" customHeight="1" x14ac:dyDescent="0.25">
      <c r="A179" s="255"/>
      <c r="B179" s="296"/>
      <c r="C179" s="278"/>
      <c r="D179" s="284"/>
      <c r="E179" s="215"/>
      <c r="F179" s="285"/>
      <c r="G179" s="215"/>
      <c r="H179" s="215"/>
      <c r="I179" s="277"/>
      <c r="J179" s="215" t="s">
        <v>119</v>
      </c>
      <c r="K179" s="215" t="s">
        <v>120</v>
      </c>
      <c r="L179" s="215" t="s">
        <v>121</v>
      </c>
      <c r="M179" s="215" t="s">
        <v>122</v>
      </c>
      <c r="N179" s="215"/>
      <c r="O179" s="215"/>
      <c r="P179" s="257"/>
      <c r="Q179" s="40"/>
    </row>
    <row r="180" spans="1:17" s="39" customFormat="1" ht="36.75" customHeight="1" x14ac:dyDescent="0.25">
      <c r="A180" s="255"/>
      <c r="B180" s="296"/>
      <c r="C180" s="278"/>
      <c r="D180" s="284"/>
      <c r="E180" s="215"/>
      <c r="F180" s="116">
        <v>100</v>
      </c>
      <c r="G180" s="106">
        <v>100</v>
      </c>
      <c r="H180" s="106">
        <v>100</v>
      </c>
      <c r="I180" s="106" t="s">
        <v>254</v>
      </c>
      <c r="J180" s="106" t="s">
        <v>254</v>
      </c>
      <c r="K180" s="106" t="s">
        <v>254</v>
      </c>
      <c r="L180" s="106" t="s">
        <v>254</v>
      </c>
      <c r="M180" s="106" t="s">
        <v>254</v>
      </c>
      <c r="N180" s="106" t="s">
        <v>254</v>
      </c>
      <c r="O180" s="106" t="s">
        <v>254</v>
      </c>
      <c r="P180" s="257"/>
      <c r="Q180" s="40"/>
    </row>
    <row r="181" spans="1:17" s="39" customFormat="1" ht="31.9" customHeight="1" x14ac:dyDescent="0.25">
      <c r="A181" s="255"/>
      <c r="B181" s="296" t="s">
        <v>249</v>
      </c>
      <c r="C181" s="278" t="s">
        <v>116</v>
      </c>
      <c r="D181" s="284" t="s">
        <v>116</v>
      </c>
      <c r="E181" s="215"/>
      <c r="F181" s="285" t="s">
        <v>117</v>
      </c>
      <c r="G181" s="212" t="s">
        <v>228</v>
      </c>
      <c r="H181" s="212" t="s">
        <v>229</v>
      </c>
      <c r="I181" s="277" t="s">
        <v>123</v>
      </c>
      <c r="J181" s="281" t="s">
        <v>118</v>
      </c>
      <c r="K181" s="281"/>
      <c r="L181" s="281"/>
      <c r="M181" s="281"/>
      <c r="N181" s="212" t="s">
        <v>124</v>
      </c>
      <c r="O181" s="212" t="s">
        <v>125</v>
      </c>
      <c r="P181" s="257" t="s">
        <v>116</v>
      </c>
      <c r="Q181" s="40"/>
    </row>
    <row r="182" spans="1:17" s="39" customFormat="1" ht="32.25" customHeight="1" x14ac:dyDescent="0.25">
      <c r="A182" s="255"/>
      <c r="B182" s="296"/>
      <c r="C182" s="278"/>
      <c r="D182" s="284"/>
      <c r="E182" s="215"/>
      <c r="F182" s="285"/>
      <c r="G182" s="215"/>
      <c r="H182" s="215"/>
      <c r="I182" s="277"/>
      <c r="J182" s="215" t="s">
        <v>119</v>
      </c>
      <c r="K182" s="215" t="s">
        <v>120</v>
      </c>
      <c r="L182" s="215" t="s">
        <v>121</v>
      </c>
      <c r="M182" s="215" t="s">
        <v>122</v>
      </c>
      <c r="N182" s="215"/>
      <c r="O182" s="215"/>
      <c r="P182" s="257"/>
      <c r="Q182" s="40"/>
    </row>
    <row r="183" spans="1:17" s="39" customFormat="1" ht="35.25" customHeight="1" x14ac:dyDescent="0.25">
      <c r="A183" s="256"/>
      <c r="B183" s="296"/>
      <c r="C183" s="278"/>
      <c r="D183" s="284"/>
      <c r="E183" s="215"/>
      <c r="F183" s="116">
        <f>I183+N183+O183</f>
        <v>67798</v>
      </c>
      <c r="G183" s="106" t="s">
        <v>254</v>
      </c>
      <c r="H183" s="106" t="s">
        <v>254</v>
      </c>
      <c r="I183" s="106" t="s">
        <v>250</v>
      </c>
      <c r="J183" s="106" t="s">
        <v>250</v>
      </c>
      <c r="K183" s="106" t="s">
        <v>250</v>
      </c>
      <c r="L183" s="106" t="s">
        <v>250</v>
      </c>
      <c r="M183" s="106" t="s">
        <v>250</v>
      </c>
      <c r="N183" s="106">
        <v>22674</v>
      </c>
      <c r="O183" s="106">
        <v>21335</v>
      </c>
      <c r="P183" s="257"/>
      <c r="Q183" s="40"/>
    </row>
    <row r="184" spans="1:17" s="39" customFormat="1" ht="34.5" x14ac:dyDescent="0.25">
      <c r="A184" s="269" t="s">
        <v>33</v>
      </c>
      <c r="B184" s="341" t="s">
        <v>132</v>
      </c>
      <c r="C184" s="286" t="s">
        <v>244</v>
      </c>
      <c r="D184" s="149" t="s">
        <v>40</v>
      </c>
      <c r="E184" s="217"/>
      <c r="F184" s="115">
        <f t="shared" ref="F184:F187" si="43">SUM(G184:O184)</f>
        <v>0</v>
      </c>
      <c r="G184" s="217">
        <v>0</v>
      </c>
      <c r="H184" s="217">
        <v>0</v>
      </c>
      <c r="I184" s="290">
        <v>0</v>
      </c>
      <c r="J184" s="290"/>
      <c r="K184" s="290"/>
      <c r="L184" s="290"/>
      <c r="M184" s="290"/>
      <c r="N184" s="217">
        <v>0</v>
      </c>
      <c r="O184" s="217">
        <v>0</v>
      </c>
      <c r="P184" s="300" t="s">
        <v>95</v>
      </c>
    </row>
    <row r="185" spans="1:17" s="39" customFormat="1" ht="34.5" x14ac:dyDescent="0.25">
      <c r="A185" s="269"/>
      <c r="B185" s="341"/>
      <c r="C185" s="286"/>
      <c r="D185" s="149" t="s">
        <v>1</v>
      </c>
      <c r="E185" s="217">
        <v>0</v>
      </c>
      <c r="F185" s="115">
        <f t="shared" si="43"/>
        <v>245884</v>
      </c>
      <c r="G185" s="217">
        <v>115501</v>
      </c>
      <c r="H185" s="217">
        <v>130383</v>
      </c>
      <c r="I185" s="290">
        <v>0</v>
      </c>
      <c r="J185" s="290"/>
      <c r="K185" s="290"/>
      <c r="L185" s="290"/>
      <c r="M185" s="290"/>
      <c r="N185" s="217">
        <f t="shared" ref="N185:O185" si="44">106081-726-105355</f>
        <v>0</v>
      </c>
      <c r="O185" s="217">
        <f t="shared" si="44"/>
        <v>0</v>
      </c>
      <c r="P185" s="300"/>
    </row>
    <row r="186" spans="1:17" s="39" customFormat="1" ht="51.75" x14ac:dyDescent="0.25">
      <c r="A186" s="269"/>
      <c r="B186" s="341"/>
      <c r="C186" s="286"/>
      <c r="D186" s="149" t="s">
        <v>48</v>
      </c>
      <c r="E186" s="217">
        <v>0</v>
      </c>
      <c r="F186" s="115">
        <f t="shared" si="43"/>
        <v>427077.31842000003</v>
      </c>
      <c r="G186" s="217">
        <v>223675.70418</v>
      </c>
      <c r="H186" s="217">
        <v>203401.61424</v>
      </c>
      <c r="I186" s="290">
        <v>0</v>
      </c>
      <c r="J186" s="290"/>
      <c r="K186" s="290"/>
      <c r="L186" s="290"/>
      <c r="M186" s="290"/>
      <c r="N186" s="217">
        <v>0</v>
      </c>
      <c r="O186" s="217">
        <v>0</v>
      </c>
      <c r="P186" s="300"/>
    </row>
    <row r="187" spans="1:17" s="39" customFormat="1" ht="34.5" x14ac:dyDescent="0.25">
      <c r="A187" s="269"/>
      <c r="B187" s="341"/>
      <c r="C187" s="286"/>
      <c r="D187" s="150" t="s">
        <v>87</v>
      </c>
      <c r="E187" s="217"/>
      <c r="F187" s="115">
        <f t="shared" si="43"/>
        <v>0</v>
      </c>
      <c r="G187" s="217">
        <v>0</v>
      </c>
      <c r="H187" s="217">
        <v>0</v>
      </c>
      <c r="I187" s="290">
        <v>0</v>
      </c>
      <c r="J187" s="290"/>
      <c r="K187" s="290"/>
      <c r="L187" s="290"/>
      <c r="M187" s="290"/>
      <c r="N187" s="217">
        <v>0</v>
      </c>
      <c r="O187" s="217">
        <v>0</v>
      </c>
      <c r="P187" s="300"/>
    </row>
    <row r="188" spans="1:17" s="39" customFormat="1" ht="34.9" customHeight="1" x14ac:dyDescent="0.25">
      <c r="A188" s="269"/>
      <c r="B188" s="296" t="s">
        <v>158</v>
      </c>
      <c r="C188" s="278" t="s">
        <v>116</v>
      </c>
      <c r="D188" s="284" t="s">
        <v>116</v>
      </c>
      <c r="E188" s="215"/>
      <c r="F188" s="285" t="s">
        <v>117</v>
      </c>
      <c r="G188" s="212" t="s">
        <v>228</v>
      </c>
      <c r="H188" s="212" t="s">
        <v>229</v>
      </c>
      <c r="I188" s="277" t="s">
        <v>123</v>
      </c>
      <c r="J188" s="281" t="s">
        <v>118</v>
      </c>
      <c r="K188" s="281"/>
      <c r="L188" s="281"/>
      <c r="M188" s="281"/>
      <c r="N188" s="212" t="s">
        <v>124</v>
      </c>
      <c r="O188" s="212" t="s">
        <v>125</v>
      </c>
      <c r="P188" s="257" t="s">
        <v>116</v>
      </c>
      <c r="Q188" s="40"/>
    </row>
    <row r="189" spans="1:17" s="39" customFormat="1" ht="34.15" customHeight="1" x14ac:dyDescent="0.25">
      <c r="A189" s="269"/>
      <c r="B189" s="296"/>
      <c r="C189" s="278"/>
      <c r="D189" s="284"/>
      <c r="E189" s="215"/>
      <c r="F189" s="285"/>
      <c r="G189" s="215"/>
      <c r="H189" s="215"/>
      <c r="I189" s="277"/>
      <c r="J189" s="215" t="s">
        <v>119</v>
      </c>
      <c r="K189" s="215" t="s">
        <v>120</v>
      </c>
      <c r="L189" s="215" t="s">
        <v>121</v>
      </c>
      <c r="M189" s="215" t="s">
        <v>122</v>
      </c>
      <c r="N189" s="215"/>
      <c r="O189" s="215"/>
      <c r="P189" s="257"/>
      <c r="Q189" s="40"/>
    </row>
    <row r="190" spans="1:17" s="39" customFormat="1" ht="67.5" customHeight="1" x14ac:dyDescent="0.25">
      <c r="A190" s="269"/>
      <c r="B190" s="296"/>
      <c r="C190" s="278"/>
      <c r="D190" s="284"/>
      <c r="E190" s="215"/>
      <c r="F190" s="116">
        <v>100</v>
      </c>
      <c r="G190" s="106">
        <v>100</v>
      </c>
      <c r="H190" s="106">
        <v>100</v>
      </c>
      <c r="I190" s="106">
        <v>0</v>
      </c>
      <c r="J190" s="106">
        <v>0</v>
      </c>
      <c r="K190" s="106">
        <v>0</v>
      </c>
      <c r="L190" s="106">
        <v>0</v>
      </c>
      <c r="M190" s="106">
        <v>0</v>
      </c>
      <c r="N190" s="106">
        <v>0</v>
      </c>
      <c r="O190" s="106">
        <v>0</v>
      </c>
      <c r="P190" s="257"/>
      <c r="Q190" s="40"/>
    </row>
    <row r="191" spans="1:17" s="39" customFormat="1" ht="34.5" x14ac:dyDescent="0.25">
      <c r="A191" s="266" t="s">
        <v>68</v>
      </c>
      <c r="B191" s="323" t="s">
        <v>135</v>
      </c>
      <c r="C191" s="324" t="s">
        <v>86</v>
      </c>
      <c r="D191" s="149" t="s">
        <v>40</v>
      </c>
      <c r="E191" s="217"/>
      <c r="F191" s="115">
        <f t="shared" ref="F191:F194" si="45">SUM(G191:O191)</f>
        <v>0</v>
      </c>
      <c r="G191" s="217">
        <v>0</v>
      </c>
      <c r="H191" s="217">
        <v>0</v>
      </c>
      <c r="I191" s="290">
        <v>0</v>
      </c>
      <c r="J191" s="290"/>
      <c r="K191" s="290"/>
      <c r="L191" s="290"/>
      <c r="M191" s="290"/>
      <c r="N191" s="217">
        <v>0</v>
      </c>
      <c r="O191" s="217">
        <v>0</v>
      </c>
      <c r="P191" s="319" t="s">
        <v>3</v>
      </c>
    </row>
    <row r="192" spans="1:17" s="39" customFormat="1" ht="34.5" x14ac:dyDescent="0.25">
      <c r="A192" s="258"/>
      <c r="B192" s="323"/>
      <c r="C192" s="324"/>
      <c r="D192" s="149" t="s">
        <v>1</v>
      </c>
      <c r="E192" s="234">
        <v>0</v>
      </c>
      <c r="F192" s="115">
        <f t="shared" si="45"/>
        <v>199783</v>
      </c>
      <c r="G192" s="234">
        <v>39329</v>
      </c>
      <c r="H192" s="234">
        <v>40100</v>
      </c>
      <c r="I192" s="325">
        <f>40117+3</f>
        <v>40120</v>
      </c>
      <c r="J192" s="325"/>
      <c r="K192" s="325"/>
      <c r="L192" s="325"/>
      <c r="M192" s="325"/>
      <c r="N192" s="234">
        <v>40117</v>
      </c>
      <c r="O192" s="234">
        <v>40117</v>
      </c>
      <c r="P192" s="319"/>
    </row>
    <row r="193" spans="1:17" s="39" customFormat="1" ht="51.75" x14ac:dyDescent="0.25">
      <c r="A193" s="258"/>
      <c r="B193" s="323"/>
      <c r="C193" s="324"/>
      <c r="D193" s="149" t="s">
        <v>48</v>
      </c>
      <c r="E193" s="234">
        <v>0</v>
      </c>
      <c r="F193" s="115">
        <f t="shared" si="45"/>
        <v>134190.71358000001</v>
      </c>
      <c r="G193" s="234">
        <v>35947.713580000003</v>
      </c>
      <c r="H193" s="234">
        <v>24163</v>
      </c>
      <c r="I193" s="325">
        <f>24693+1</f>
        <v>24694</v>
      </c>
      <c r="J193" s="325"/>
      <c r="K193" s="325"/>
      <c r="L193" s="325"/>
      <c r="M193" s="325"/>
      <c r="N193" s="234">
        <v>24693</v>
      </c>
      <c r="O193" s="234">
        <v>24693</v>
      </c>
      <c r="P193" s="319"/>
    </row>
    <row r="194" spans="1:17" s="39" customFormat="1" ht="34.5" x14ac:dyDescent="0.25">
      <c r="A194" s="258"/>
      <c r="B194" s="323"/>
      <c r="C194" s="324"/>
      <c r="D194" s="150" t="s">
        <v>87</v>
      </c>
      <c r="E194" s="234"/>
      <c r="F194" s="115">
        <f t="shared" si="45"/>
        <v>0</v>
      </c>
      <c r="G194" s="234">
        <v>0</v>
      </c>
      <c r="H194" s="234">
        <v>0</v>
      </c>
      <c r="I194" s="325">
        <v>0</v>
      </c>
      <c r="J194" s="325"/>
      <c r="K194" s="325"/>
      <c r="L194" s="325"/>
      <c r="M194" s="325"/>
      <c r="N194" s="234">
        <v>0</v>
      </c>
      <c r="O194" s="234">
        <v>0</v>
      </c>
      <c r="P194" s="319"/>
    </row>
    <row r="195" spans="1:17" s="39" customFormat="1" ht="32.25" customHeight="1" x14ac:dyDescent="0.25">
      <c r="A195" s="258"/>
      <c r="B195" s="296" t="s">
        <v>159</v>
      </c>
      <c r="C195" s="278" t="s">
        <v>116</v>
      </c>
      <c r="D195" s="284" t="s">
        <v>116</v>
      </c>
      <c r="E195" s="215"/>
      <c r="F195" s="285" t="s">
        <v>117</v>
      </c>
      <c r="G195" s="212" t="s">
        <v>228</v>
      </c>
      <c r="H195" s="212" t="s">
        <v>229</v>
      </c>
      <c r="I195" s="277" t="s">
        <v>123</v>
      </c>
      <c r="J195" s="281" t="s">
        <v>118</v>
      </c>
      <c r="K195" s="281"/>
      <c r="L195" s="281"/>
      <c r="M195" s="281"/>
      <c r="N195" s="212" t="s">
        <v>124</v>
      </c>
      <c r="O195" s="212" t="s">
        <v>125</v>
      </c>
      <c r="P195" s="257" t="s">
        <v>116</v>
      </c>
      <c r="Q195" s="40"/>
    </row>
    <row r="196" spans="1:17" s="39" customFormat="1" ht="28.5" customHeight="1" x14ac:dyDescent="0.25">
      <c r="A196" s="258"/>
      <c r="B196" s="296"/>
      <c r="C196" s="278"/>
      <c r="D196" s="284"/>
      <c r="E196" s="215"/>
      <c r="F196" s="285"/>
      <c r="G196" s="215"/>
      <c r="H196" s="215"/>
      <c r="I196" s="277"/>
      <c r="J196" s="215" t="s">
        <v>119</v>
      </c>
      <c r="K196" s="215" t="s">
        <v>120</v>
      </c>
      <c r="L196" s="215" t="s">
        <v>121</v>
      </c>
      <c r="M196" s="215" t="s">
        <v>122</v>
      </c>
      <c r="N196" s="215"/>
      <c r="O196" s="215"/>
      <c r="P196" s="257"/>
      <c r="Q196" s="40"/>
    </row>
    <row r="197" spans="1:17" s="39" customFormat="1" ht="28.5" customHeight="1" x14ac:dyDescent="0.25">
      <c r="A197" s="259"/>
      <c r="B197" s="296"/>
      <c r="C197" s="278"/>
      <c r="D197" s="284"/>
      <c r="E197" s="215"/>
      <c r="F197" s="116">
        <v>785</v>
      </c>
      <c r="G197" s="106">
        <v>785</v>
      </c>
      <c r="H197" s="106">
        <v>785</v>
      </c>
      <c r="I197" s="106">
        <v>785</v>
      </c>
      <c r="J197" s="106">
        <v>785</v>
      </c>
      <c r="K197" s="106">
        <v>785</v>
      </c>
      <c r="L197" s="106">
        <v>785</v>
      </c>
      <c r="M197" s="106">
        <v>785</v>
      </c>
      <c r="N197" s="106">
        <v>785</v>
      </c>
      <c r="O197" s="106">
        <v>785</v>
      </c>
      <c r="P197" s="257"/>
      <c r="Q197" s="40"/>
    </row>
    <row r="198" spans="1:17" s="102" customFormat="1" ht="34.5" x14ac:dyDescent="0.25">
      <c r="A198" s="266" t="s">
        <v>192</v>
      </c>
      <c r="B198" s="323" t="s">
        <v>193</v>
      </c>
      <c r="C198" s="324" t="s">
        <v>86</v>
      </c>
      <c r="D198" s="149" t="s">
        <v>40</v>
      </c>
      <c r="E198" s="217"/>
      <c r="F198" s="115">
        <f t="shared" ref="F198:F201" si="46">SUM(G198:O198)</f>
        <v>0</v>
      </c>
      <c r="G198" s="217">
        <v>0</v>
      </c>
      <c r="H198" s="217">
        <v>0</v>
      </c>
      <c r="I198" s="290">
        <v>0</v>
      </c>
      <c r="J198" s="290"/>
      <c r="K198" s="290"/>
      <c r="L198" s="290"/>
      <c r="M198" s="290"/>
      <c r="N198" s="217">
        <v>0</v>
      </c>
      <c r="O198" s="217">
        <v>0</v>
      </c>
      <c r="P198" s="319" t="s">
        <v>3</v>
      </c>
    </row>
    <row r="199" spans="1:17" s="102" customFormat="1" ht="42" customHeight="1" x14ac:dyDescent="0.25">
      <c r="A199" s="258"/>
      <c r="B199" s="323"/>
      <c r="C199" s="324"/>
      <c r="D199" s="149" t="s">
        <v>1</v>
      </c>
      <c r="E199" s="234">
        <v>0</v>
      </c>
      <c r="F199" s="115">
        <f t="shared" si="46"/>
        <v>69634</v>
      </c>
      <c r="G199" s="234">
        <v>8921</v>
      </c>
      <c r="H199" s="234">
        <v>20713</v>
      </c>
      <c r="I199" s="326">
        <v>40000</v>
      </c>
      <c r="J199" s="326"/>
      <c r="K199" s="326"/>
      <c r="L199" s="326"/>
      <c r="M199" s="326"/>
      <c r="N199" s="234">
        <v>0</v>
      </c>
      <c r="O199" s="234">
        <v>0</v>
      </c>
      <c r="P199" s="319"/>
    </row>
    <row r="200" spans="1:17" s="102" customFormat="1" ht="51" customHeight="1" x14ac:dyDescent="0.25">
      <c r="A200" s="258"/>
      <c r="B200" s="323"/>
      <c r="C200" s="324"/>
      <c r="D200" s="149" t="s">
        <v>48</v>
      </c>
      <c r="E200" s="234">
        <v>0</v>
      </c>
      <c r="F200" s="115">
        <f t="shared" si="46"/>
        <v>0</v>
      </c>
      <c r="G200" s="234">
        <v>0</v>
      </c>
      <c r="H200" s="234">
        <v>0</v>
      </c>
      <c r="I200" s="325">
        <v>0</v>
      </c>
      <c r="J200" s="325"/>
      <c r="K200" s="325"/>
      <c r="L200" s="325"/>
      <c r="M200" s="325"/>
      <c r="N200" s="234">
        <v>0</v>
      </c>
      <c r="O200" s="234">
        <v>0</v>
      </c>
      <c r="P200" s="319"/>
    </row>
    <row r="201" spans="1:17" s="102" customFormat="1" ht="34.5" customHeight="1" x14ac:dyDescent="0.25">
      <c r="A201" s="258"/>
      <c r="B201" s="323"/>
      <c r="C201" s="324"/>
      <c r="D201" s="150" t="s">
        <v>87</v>
      </c>
      <c r="E201" s="234"/>
      <c r="F201" s="115">
        <f t="shared" si="46"/>
        <v>0</v>
      </c>
      <c r="G201" s="234">
        <v>0</v>
      </c>
      <c r="H201" s="234">
        <v>0</v>
      </c>
      <c r="I201" s="325">
        <v>0</v>
      </c>
      <c r="J201" s="325"/>
      <c r="K201" s="325"/>
      <c r="L201" s="325"/>
      <c r="M201" s="325"/>
      <c r="N201" s="234">
        <v>0</v>
      </c>
      <c r="O201" s="234">
        <v>0</v>
      </c>
      <c r="P201" s="319"/>
    </row>
    <row r="202" spans="1:17" s="102" customFormat="1" ht="33.75" customHeight="1" x14ac:dyDescent="0.25">
      <c r="A202" s="258"/>
      <c r="B202" s="296" t="s">
        <v>278</v>
      </c>
      <c r="C202" s="278" t="s">
        <v>116</v>
      </c>
      <c r="D202" s="284" t="s">
        <v>116</v>
      </c>
      <c r="E202" s="215"/>
      <c r="F202" s="285" t="s">
        <v>117</v>
      </c>
      <c r="G202" s="212" t="s">
        <v>228</v>
      </c>
      <c r="H202" s="212" t="s">
        <v>229</v>
      </c>
      <c r="I202" s="277" t="s">
        <v>123</v>
      </c>
      <c r="J202" s="281" t="s">
        <v>118</v>
      </c>
      <c r="K202" s="281"/>
      <c r="L202" s="281"/>
      <c r="M202" s="281"/>
      <c r="N202" s="212" t="s">
        <v>124</v>
      </c>
      <c r="O202" s="212" t="s">
        <v>125</v>
      </c>
      <c r="P202" s="257" t="s">
        <v>116</v>
      </c>
      <c r="Q202" s="103"/>
    </row>
    <row r="203" spans="1:17" s="102" customFormat="1" ht="27" customHeight="1" x14ac:dyDescent="0.25">
      <c r="A203" s="258"/>
      <c r="B203" s="296"/>
      <c r="C203" s="278"/>
      <c r="D203" s="284"/>
      <c r="E203" s="215"/>
      <c r="F203" s="285"/>
      <c r="G203" s="215"/>
      <c r="H203" s="215"/>
      <c r="I203" s="277"/>
      <c r="J203" s="215" t="s">
        <v>119</v>
      </c>
      <c r="K203" s="215" t="s">
        <v>120</v>
      </c>
      <c r="L203" s="215" t="s">
        <v>121</v>
      </c>
      <c r="M203" s="215" t="s">
        <v>122</v>
      </c>
      <c r="N203" s="215"/>
      <c r="O203" s="215"/>
      <c r="P203" s="257"/>
      <c r="Q203" s="103"/>
    </row>
    <row r="204" spans="1:17" s="102" customFormat="1" ht="36.75" customHeight="1" x14ac:dyDescent="0.25">
      <c r="A204" s="258"/>
      <c r="B204" s="296"/>
      <c r="C204" s="278"/>
      <c r="D204" s="284"/>
      <c r="E204" s="215"/>
      <c r="F204" s="116">
        <f>G204+H204</f>
        <v>1582</v>
      </c>
      <c r="G204" s="106">
        <v>611</v>
      </c>
      <c r="H204" s="106">
        <v>971</v>
      </c>
      <c r="I204" s="106">
        <v>0</v>
      </c>
      <c r="J204" s="106">
        <v>0</v>
      </c>
      <c r="K204" s="106">
        <v>0</v>
      </c>
      <c r="L204" s="106">
        <v>0</v>
      </c>
      <c r="M204" s="106">
        <v>0</v>
      </c>
      <c r="N204" s="106">
        <v>0</v>
      </c>
      <c r="O204" s="106">
        <v>0</v>
      </c>
      <c r="P204" s="257"/>
      <c r="Q204" s="190"/>
    </row>
    <row r="205" spans="1:17" s="102" customFormat="1" ht="33.75" customHeight="1" x14ac:dyDescent="0.25">
      <c r="A205" s="258"/>
      <c r="B205" s="296" t="s">
        <v>281</v>
      </c>
      <c r="C205" s="278" t="s">
        <v>116</v>
      </c>
      <c r="D205" s="284" t="s">
        <v>116</v>
      </c>
      <c r="E205" s="215"/>
      <c r="F205" s="285" t="s">
        <v>117</v>
      </c>
      <c r="G205" s="212" t="s">
        <v>228</v>
      </c>
      <c r="H205" s="212" t="s">
        <v>229</v>
      </c>
      <c r="I205" s="277" t="s">
        <v>123</v>
      </c>
      <c r="J205" s="281" t="s">
        <v>118</v>
      </c>
      <c r="K205" s="281"/>
      <c r="L205" s="281"/>
      <c r="M205" s="281"/>
      <c r="N205" s="212" t="s">
        <v>124</v>
      </c>
      <c r="O205" s="212" t="s">
        <v>125</v>
      </c>
      <c r="P205" s="257" t="s">
        <v>116</v>
      </c>
      <c r="Q205" s="103"/>
    </row>
    <row r="206" spans="1:17" s="102" customFormat="1" ht="27" customHeight="1" x14ac:dyDescent="0.25">
      <c r="A206" s="258"/>
      <c r="B206" s="296"/>
      <c r="C206" s="278"/>
      <c r="D206" s="284"/>
      <c r="E206" s="215"/>
      <c r="F206" s="285"/>
      <c r="G206" s="215"/>
      <c r="H206" s="215"/>
      <c r="I206" s="277"/>
      <c r="J206" s="215" t="s">
        <v>119</v>
      </c>
      <c r="K206" s="215" t="s">
        <v>120</v>
      </c>
      <c r="L206" s="215" t="s">
        <v>121</v>
      </c>
      <c r="M206" s="215" t="s">
        <v>122</v>
      </c>
      <c r="N206" s="215"/>
      <c r="O206" s="215"/>
      <c r="P206" s="257"/>
      <c r="Q206" s="103"/>
    </row>
    <row r="207" spans="1:17" s="102" customFormat="1" ht="36.75" customHeight="1" x14ac:dyDescent="0.25">
      <c r="A207" s="259"/>
      <c r="B207" s="296"/>
      <c r="C207" s="278"/>
      <c r="D207" s="284"/>
      <c r="E207" s="215"/>
      <c r="F207" s="116">
        <v>100</v>
      </c>
      <c r="G207" s="106" t="s">
        <v>254</v>
      </c>
      <c r="H207" s="106" t="s">
        <v>254</v>
      </c>
      <c r="I207" s="106">
        <v>100</v>
      </c>
      <c r="J207" s="106">
        <v>100</v>
      </c>
      <c r="K207" s="106">
        <v>100</v>
      </c>
      <c r="L207" s="106">
        <v>100</v>
      </c>
      <c r="M207" s="106">
        <v>100</v>
      </c>
      <c r="N207" s="106">
        <v>100</v>
      </c>
      <c r="O207" s="106">
        <v>100</v>
      </c>
      <c r="P207" s="257"/>
      <c r="Q207" s="190"/>
    </row>
    <row r="208" spans="1:17" s="39" customFormat="1" ht="39" customHeight="1" x14ac:dyDescent="0.25">
      <c r="A208" s="266" t="s">
        <v>213</v>
      </c>
      <c r="B208" s="323" t="s">
        <v>201</v>
      </c>
      <c r="C208" s="324" t="s">
        <v>198</v>
      </c>
      <c r="D208" s="149" t="s">
        <v>40</v>
      </c>
      <c r="E208" s="217"/>
      <c r="F208" s="115">
        <f t="shared" ref="F208:F211" si="47">SUM(G208:O208)</f>
        <v>0</v>
      </c>
      <c r="G208" s="217">
        <v>0</v>
      </c>
      <c r="H208" s="217">
        <v>0</v>
      </c>
      <c r="I208" s="290">
        <v>0</v>
      </c>
      <c r="J208" s="290"/>
      <c r="K208" s="290"/>
      <c r="L208" s="290"/>
      <c r="M208" s="290"/>
      <c r="N208" s="217">
        <v>0</v>
      </c>
      <c r="O208" s="217">
        <v>0</v>
      </c>
      <c r="P208" s="319" t="s">
        <v>3</v>
      </c>
    </row>
    <row r="209" spans="1:21" s="39" customFormat="1" ht="34.5" x14ac:dyDescent="0.25">
      <c r="A209" s="258"/>
      <c r="B209" s="323"/>
      <c r="C209" s="324"/>
      <c r="D209" s="149" t="s">
        <v>1</v>
      </c>
      <c r="E209" s="234">
        <v>0</v>
      </c>
      <c r="F209" s="115">
        <f t="shared" si="47"/>
        <v>51212</v>
      </c>
      <c r="G209" s="234">
        <v>0</v>
      </c>
      <c r="H209" s="234">
        <v>9950</v>
      </c>
      <c r="I209" s="325">
        <v>13754</v>
      </c>
      <c r="J209" s="325"/>
      <c r="K209" s="325"/>
      <c r="L209" s="325"/>
      <c r="M209" s="325"/>
      <c r="N209" s="234">
        <v>13754</v>
      </c>
      <c r="O209" s="234">
        <v>13754</v>
      </c>
      <c r="P209" s="319"/>
    </row>
    <row r="210" spans="1:21" s="39" customFormat="1" ht="51.75" x14ac:dyDescent="0.25">
      <c r="A210" s="258"/>
      <c r="B210" s="323"/>
      <c r="C210" s="324"/>
      <c r="D210" s="149" t="s">
        <v>48</v>
      </c>
      <c r="E210" s="234">
        <v>0</v>
      </c>
      <c r="F210" s="115">
        <f t="shared" si="47"/>
        <v>0</v>
      </c>
      <c r="G210" s="234">
        <v>0</v>
      </c>
      <c r="H210" s="234">
        <v>0</v>
      </c>
      <c r="I210" s="325">
        <v>0</v>
      </c>
      <c r="J210" s="325"/>
      <c r="K210" s="325"/>
      <c r="L210" s="325"/>
      <c r="M210" s="325"/>
      <c r="N210" s="234">
        <v>0</v>
      </c>
      <c r="O210" s="234">
        <v>0</v>
      </c>
      <c r="P210" s="319"/>
    </row>
    <row r="211" spans="1:21" s="39" customFormat="1" ht="34.5" x14ac:dyDescent="0.25">
      <c r="A211" s="258"/>
      <c r="B211" s="323"/>
      <c r="C211" s="324"/>
      <c r="D211" s="150" t="s">
        <v>87</v>
      </c>
      <c r="E211" s="234"/>
      <c r="F211" s="115">
        <f t="shared" si="47"/>
        <v>0</v>
      </c>
      <c r="G211" s="234">
        <v>0</v>
      </c>
      <c r="H211" s="234">
        <v>0</v>
      </c>
      <c r="I211" s="325">
        <v>0</v>
      </c>
      <c r="J211" s="325"/>
      <c r="K211" s="325"/>
      <c r="L211" s="325"/>
      <c r="M211" s="325"/>
      <c r="N211" s="234">
        <v>0</v>
      </c>
      <c r="O211" s="234">
        <v>0</v>
      </c>
      <c r="P211" s="319"/>
    </row>
    <row r="212" spans="1:21" s="39" customFormat="1" ht="39" customHeight="1" x14ac:dyDescent="0.25">
      <c r="A212" s="258"/>
      <c r="B212" s="296" t="s">
        <v>203</v>
      </c>
      <c r="C212" s="278" t="s">
        <v>116</v>
      </c>
      <c r="D212" s="284" t="s">
        <v>116</v>
      </c>
      <c r="E212" s="215"/>
      <c r="F212" s="285" t="s">
        <v>117</v>
      </c>
      <c r="G212" s="212" t="s">
        <v>228</v>
      </c>
      <c r="H212" s="212" t="s">
        <v>229</v>
      </c>
      <c r="I212" s="277" t="s">
        <v>123</v>
      </c>
      <c r="J212" s="281" t="s">
        <v>118</v>
      </c>
      <c r="K212" s="281"/>
      <c r="L212" s="281"/>
      <c r="M212" s="281"/>
      <c r="N212" s="212" t="s">
        <v>124</v>
      </c>
      <c r="O212" s="212" t="s">
        <v>125</v>
      </c>
      <c r="P212" s="257" t="s">
        <v>116</v>
      </c>
      <c r="Q212" s="40"/>
    </row>
    <row r="213" spans="1:21" s="39" customFormat="1" ht="24.6" customHeight="1" x14ac:dyDescent="0.25">
      <c r="A213" s="258"/>
      <c r="B213" s="296"/>
      <c r="C213" s="278"/>
      <c r="D213" s="284"/>
      <c r="E213" s="215"/>
      <c r="F213" s="285"/>
      <c r="G213" s="215"/>
      <c r="H213" s="215"/>
      <c r="I213" s="277"/>
      <c r="J213" s="215" t="s">
        <v>119</v>
      </c>
      <c r="K213" s="215" t="s">
        <v>120</v>
      </c>
      <c r="L213" s="215" t="s">
        <v>121</v>
      </c>
      <c r="M213" s="215" t="s">
        <v>122</v>
      </c>
      <c r="N213" s="215"/>
      <c r="O213" s="215"/>
      <c r="P213" s="257"/>
      <c r="Q213" s="40"/>
    </row>
    <row r="214" spans="1:21" s="39" customFormat="1" ht="45" customHeight="1" x14ac:dyDescent="0.25">
      <c r="A214" s="259"/>
      <c r="B214" s="296"/>
      <c r="C214" s="278"/>
      <c r="D214" s="284"/>
      <c r="E214" s="215"/>
      <c r="F214" s="116">
        <v>100</v>
      </c>
      <c r="G214" s="106" t="s">
        <v>254</v>
      </c>
      <c r="H214" s="106" t="s">
        <v>254</v>
      </c>
      <c r="I214" s="106">
        <v>100</v>
      </c>
      <c r="J214" s="106">
        <v>100</v>
      </c>
      <c r="K214" s="106">
        <v>100</v>
      </c>
      <c r="L214" s="106">
        <v>100</v>
      </c>
      <c r="M214" s="106">
        <v>100</v>
      </c>
      <c r="N214" s="106">
        <v>100</v>
      </c>
      <c r="O214" s="106">
        <v>100</v>
      </c>
      <c r="P214" s="257"/>
      <c r="Q214" s="40"/>
    </row>
    <row r="215" spans="1:21" s="9" customFormat="1" ht="37.5" customHeight="1" x14ac:dyDescent="0.25">
      <c r="A215" s="272" t="s">
        <v>8</v>
      </c>
      <c r="B215" s="371" t="s">
        <v>96</v>
      </c>
      <c r="C215" s="371" t="s">
        <v>86</v>
      </c>
      <c r="D215" s="151" t="s">
        <v>2</v>
      </c>
      <c r="E215" s="232">
        <f>E218</f>
        <v>9428.6200000000008</v>
      </c>
      <c r="F215" s="115">
        <f t="shared" ref="F215:F223" si="48">SUM(G215:O215)</f>
        <v>171522.76634999999</v>
      </c>
      <c r="G215" s="232">
        <f t="shared" ref="G215:H215" si="49">G216+G217+G218+G219</f>
        <v>16635.688859999998</v>
      </c>
      <c r="H215" s="232">
        <f t="shared" si="49"/>
        <v>41560</v>
      </c>
      <c r="I215" s="320">
        <f>I216+I217+I218+I219</f>
        <v>40295.077489999996</v>
      </c>
      <c r="J215" s="320"/>
      <c r="K215" s="320"/>
      <c r="L215" s="320"/>
      <c r="M215" s="320"/>
      <c r="N215" s="232">
        <f t="shared" ref="N215:O215" si="50">N216+N217+N218+N219</f>
        <v>36516</v>
      </c>
      <c r="O215" s="232">
        <f t="shared" si="50"/>
        <v>36516</v>
      </c>
      <c r="P215" s="303"/>
      <c r="T215" s="44"/>
      <c r="U215" s="44"/>
    </row>
    <row r="216" spans="1:21" s="9" customFormat="1" ht="34.5" x14ac:dyDescent="0.25">
      <c r="A216" s="272"/>
      <c r="B216" s="371"/>
      <c r="C216" s="371"/>
      <c r="D216" s="151" t="s">
        <v>40</v>
      </c>
      <c r="E216" s="232"/>
      <c r="F216" s="115">
        <f t="shared" si="48"/>
        <v>0</v>
      </c>
      <c r="G216" s="220">
        <f t="shared" ref="G216:H216" si="51">G220</f>
        <v>0</v>
      </c>
      <c r="H216" s="220">
        <f t="shared" si="51"/>
        <v>0</v>
      </c>
      <c r="I216" s="293">
        <f>I220</f>
        <v>0</v>
      </c>
      <c r="J216" s="293"/>
      <c r="K216" s="293"/>
      <c r="L216" s="293"/>
      <c r="M216" s="293"/>
      <c r="N216" s="220">
        <f t="shared" ref="N216:O216" si="52">N220</f>
        <v>0</v>
      </c>
      <c r="O216" s="220">
        <f t="shared" si="52"/>
        <v>0</v>
      </c>
      <c r="P216" s="303"/>
      <c r="T216" s="44"/>
      <c r="U216" s="44"/>
    </row>
    <row r="217" spans="1:21" s="9" customFormat="1" ht="34.5" x14ac:dyDescent="0.25">
      <c r="A217" s="272"/>
      <c r="B217" s="371"/>
      <c r="C217" s="371"/>
      <c r="D217" s="151" t="s">
        <v>1</v>
      </c>
      <c r="E217" s="232"/>
      <c r="F217" s="115">
        <f t="shared" si="48"/>
        <v>121317</v>
      </c>
      <c r="G217" s="220">
        <f>G221+G228</f>
        <v>0</v>
      </c>
      <c r="H217" s="220">
        <f>H221+H228</f>
        <v>27842</v>
      </c>
      <c r="I217" s="293">
        <f>I228</f>
        <v>32101</v>
      </c>
      <c r="J217" s="293"/>
      <c r="K217" s="293"/>
      <c r="L217" s="293"/>
      <c r="M217" s="293"/>
      <c r="N217" s="220">
        <f t="shared" ref="N217:O217" si="53">N221+N228</f>
        <v>30687</v>
      </c>
      <c r="O217" s="220">
        <f t="shared" si="53"/>
        <v>30687</v>
      </c>
      <c r="P217" s="303"/>
      <c r="T217" s="44"/>
      <c r="U217" s="44"/>
    </row>
    <row r="218" spans="1:21" s="9" customFormat="1" ht="51.75" x14ac:dyDescent="0.25">
      <c r="A218" s="272"/>
      <c r="B218" s="371"/>
      <c r="C218" s="371"/>
      <c r="D218" s="151" t="s">
        <v>47</v>
      </c>
      <c r="E218" s="228">
        <f>E222</f>
        <v>9428.6200000000008</v>
      </c>
      <c r="F218" s="115">
        <f t="shared" si="48"/>
        <v>50205.766349999998</v>
      </c>
      <c r="G218" s="228">
        <f t="shared" ref="G218:H218" si="54">G222</f>
        <v>16635.688859999998</v>
      </c>
      <c r="H218" s="228">
        <f t="shared" si="54"/>
        <v>13718</v>
      </c>
      <c r="I218" s="312">
        <f>I222</f>
        <v>8194.0774899999997</v>
      </c>
      <c r="J218" s="312"/>
      <c r="K218" s="312"/>
      <c r="L218" s="312"/>
      <c r="M218" s="312"/>
      <c r="N218" s="228">
        <f t="shared" ref="N218:O218" si="55">N222</f>
        <v>5829</v>
      </c>
      <c r="O218" s="228">
        <f t="shared" si="55"/>
        <v>5829</v>
      </c>
      <c r="P218" s="303"/>
      <c r="T218" s="44"/>
      <c r="U218" s="44"/>
    </row>
    <row r="219" spans="1:21" s="9" customFormat="1" ht="34.5" x14ac:dyDescent="0.25">
      <c r="A219" s="272"/>
      <c r="B219" s="371"/>
      <c r="C219" s="371"/>
      <c r="D219" s="151" t="s">
        <v>87</v>
      </c>
      <c r="E219" s="228"/>
      <c r="F219" s="115">
        <f t="shared" si="48"/>
        <v>0</v>
      </c>
      <c r="G219" s="228">
        <f t="shared" ref="G219:H219" si="56">G223</f>
        <v>0</v>
      </c>
      <c r="H219" s="228">
        <f t="shared" si="56"/>
        <v>0</v>
      </c>
      <c r="I219" s="312">
        <f>I223</f>
        <v>0</v>
      </c>
      <c r="J219" s="312"/>
      <c r="K219" s="312"/>
      <c r="L219" s="312"/>
      <c r="M219" s="312"/>
      <c r="N219" s="228">
        <f t="shared" ref="N219:O219" si="57">N223</f>
        <v>0</v>
      </c>
      <c r="O219" s="228">
        <f t="shared" si="57"/>
        <v>0</v>
      </c>
      <c r="P219" s="303"/>
      <c r="T219" s="44"/>
      <c r="U219" s="44"/>
    </row>
    <row r="220" spans="1:21" s="9" customFormat="1" ht="43.5" customHeight="1" x14ac:dyDescent="0.25">
      <c r="A220" s="273" t="s">
        <v>34</v>
      </c>
      <c r="B220" s="389" t="s">
        <v>97</v>
      </c>
      <c r="C220" s="382" t="s">
        <v>86</v>
      </c>
      <c r="D220" s="150" t="s">
        <v>40</v>
      </c>
      <c r="E220" s="249"/>
      <c r="F220" s="115">
        <f t="shared" si="48"/>
        <v>0</v>
      </c>
      <c r="G220" s="216">
        <v>0</v>
      </c>
      <c r="H220" s="216">
        <v>0</v>
      </c>
      <c r="I220" s="289">
        <v>0</v>
      </c>
      <c r="J220" s="289"/>
      <c r="K220" s="289"/>
      <c r="L220" s="289"/>
      <c r="M220" s="289"/>
      <c r="N220" s="216">
        <v>0</v>
      </c>
      <c r="O220" s="216">
        <v>0</v>
      </c>
      <c r="P220" s="321" t="s">
        <v>3</v>
      </c>
      <c r="T220" s="44"/>
      <c r="U220" s="44"/>
    </row>
    <row r="221" spans="1:21" s="9" customFormat="1" ht="42" customHeight="1" x14ac:dyDescent="0.25">
      <c r="A221" s="273"/>
      <c r="B221" s="389"/>
      <c r="C221" s="382"/>
      <c r="D221" s="150" t="s">
        <v>1</v>
      </c>
      <c r="E221" s="249"/>
      <c r="F221" s="115">
        <f t="shared" si="48"/>
        <v>0</v>
      </c>
      <c r="G221" s="216">
        <v>0</v>
      </c>
      <c r="H221" s="216">
        <v>0</v>
      </c>
      <c r="I221" s="289">
        <v>0</v>
      </c>
      <c r="J221" s="289"/>
      <c r="K221" s="289"/>
      <c r="L221" s="289"/>
      <c r="M221" s="289"/>
      <c r="N221" s="216">
        <v>0</v>
      </c>
      <c r="O221" s="216">
        <v>0</v>
      </c>
      <c r="P221" s="321"/>
      <c r="T221" s="44"/>
      <c r="U221" s="44"/>
    </row>
    <row r="222" spans="1:21" s="39" customFormat="1" ht="51.75" x14ac:dyDescent="0.25">
      <c r="A222" s="273"/>
      <c r="B222" s="389"/>
      <c r="C222" s="382"/>
      <c r="D222" s="150" t="s">
        <v>47</v>
      </c>
      <c r="E222" s="216">
        <v>9428.6200000000008</v>
      </c>
      <c r="F222" s="115">
        <f t="shared" si="48"/>
        <v>50205.766349999998</v>
      </c>
      <c r="G222" s="216">
        <v>16635.688859999998</v>
      </c>
      <c r="H222" s="216">
        <v>13718</v>
      </c>
      <c r="I222" s="288">
        <v>8194.0774899999997</v>
      </c>
      <c r="J222" s="288"/>
      <c r="K222" s="288"/>
      <c r="L222" s="288"/>
      <c r="M222" s="288"/>
      <c r="N222" s="216">
        <v>5829</v>
      </c>
      <c r="O222" s="216">
        <v>5829</v>
      </c>
      <c r="P222" s="321"/>
    </row>
    <row r="223" spans="1:21" s="39" customFormat="1" ht="34.5" x14ac:dyDescent="0.25">
      <c r="A223" s="273"/>
      <c r="B223" s="389"/>
      <c r="C223" s="382"/>
      <c r="D223" s="150" t="s">
        <v>87</v>
      </c>
      <c r="E223" s="216"/>
      <c r="F223" s="115">
        <f t="shared" si="48"/>
        <v>0</v>
      </c>
      <c r="G223" s="216">
        <v>0</v>
      </c>
      <c r="H223" s="216">
        <v>0</v>
      </c>
      <c r="I223" s="289">
        <v>0</v>
      </c>
      <c r="J223" s="289"/>
      <c r="K223" s="289"/>
      <c r="L223" s="289"/>
      <c r="M223" s="289"/>
      <c r="N223" s="216">
        <v>0</v>
      </c>
      <c r="O223" s="216">
        <v>0</v>
      </c>
      <c r="P223" s="321"/>
    </row>
    <row r="224" spans="1:21" s="39" customFormat="1" ht="29.45" customHeight="1" x14ac:dyDescent="0.25">
      <c r="A224" s="273"/>
      <c r="B224" s="296" t="s">
        <v>178</v>
      </c>
      <c r="C224" s="278" t="s">
        <v>116</v>
      </c>
      <c r="D224" s="284" t="s">
        <v>116</v>
      </c>
      <c r="E224" s="215"/>
      <c r="F224" s="285" t="s">
        <v>117</v>
      </c>
      <c r="G224" s="212" t="s">
        <v>228</v>
      </c>
      <c r="H224" s="212" t="s">
        <v>229</v>
      </c>
      <c r="I224" s="277" t="s">
        <v>123</v>
      </c>
      <c r="J224" s="281" t="s">
        <v>118</v>
      </c>
      <c r="K224" s="281"/>
      <c r="L224" s="281"/>
      <c r="M224" s="281"/>
      <c r="N224" s="212" t="s">
        <v>124</v>
      </c>
      <c r="O224" s="212" t="s">
        <v>125</v>
      </c>
      <c r="P224" s="257" t="s">
        <v>116</v>
      </c>
      <c r="Q224" s="40"/>
    </row>
    <row r="225" spans="1:21" s="39" customFormat="1" ht="30" customHeight="1" x14ac:dyDescent="0.25">
      <c r="A225" s="273"/>
      <c r="B225" s="296"/>
      <c r="C225" s="278"/>
      <c r="D225" s="284"/>
      <c r="E225" s="215"/>
      <c r="F225" s="285"/>
      <c r="G225" s="215"/>
      <c r="H225" s="215"/>
      <c r="I225" s="277"/>
      <c r="J225" s="215" t="s">
        <v>119</v>
      </c>
      <c r="K225" s="215" t="s">
        <v>120</v>
      </c>
      <c r="L225" s="215" t="s">
        <v>121</v>
      </c>
      <c r="M225" s="215" t="s">
        <v>122</v>
      </c>
      <c r="N225" s="215"/>
      <c r="O225" s="215"/>
      <c r="P225" s="257"/>
      <c r="Q225" s="40"/>
    </row>
    <row r="226" spans="1:21" s="39" customFormat="1" ht="37.9" customHeight="1" x14ac:dyDescent="0.25">
      <c r="A226" s="273"/>
      <c r="B226" s="296"/>
      <c r="C226" s="278"/>
      <c r="D226" s="284"/>
      <c r="E226" s="215"/>
      <c r="F226" s="116">
        <v>100</v>
      </c>
      <c r="G226" s="106">
        <v>100</v>
      </c>
      <c r="H226" s="106">
        <v>100</v>
      </c>
      <c r="I226" s="106">
        <v>100</v>
      </c>
      <c r="J226" s="106">
        <v>100</v>
      </c>
      <c r="K226" s="106">
        <v>100</v>
      </c>
      <c r="L226" s="106">
        <v>100</v>
      </c>
      <c r="M226" s="106">
        <v>100</v>
      </c>
      <c r="N226" s="106">
        <v>100</v>
      </c>
      <c r="O226" s="106">
        <v>100</v>
      </c>
      <c r="P226" s="257"/>
      <c r="Q226" s="40"/>
    </row>
    <row r="227" spans="1:21" s="9" customFormat="1" ht="36" customHeight="1" x14ac:dyDescent="0.25">
      <c r="A227" s="291" t="s">
        <v>258</v>
      </c>
      <c r="B227" s="389" t="s">
        <v>202</v>
      </c>
      <c r="C227" s="382" t="s">
        <v>198</v>
      </c>
      <c r="D227" s="150" t="s">
        <v>40</v>
      </c>
      <c r="E227" s="249"/>
      <c r="F227" s="115">
        <f t="shared" ref="F227:F230" si="58">SUM(G227:O227)</f>
        <v>0</v>
      </c>
      <c r="G227" s="216">
        <v>0</v>
      </c>
      <c r="H227" s="216">
        <v>0</v>
      </c>
      <c r="I227" s="289">
        <v>0</v>
      </c>
      <c r="J227" s="289"/>
      <c r="K227" s="289"/>
      <c r="L227" s="289"/>
      <c r="M227" s="289"/>
      <c r="N227" s="216">
        <v>0</v>
      </c>
      <c r="O227" s="216">
        <v>0</v>
      </c>
      <c r="P227" s="321" t="s">
        <v>3</v>
      </c>
      <c r="T227" s="44"/>
      <c r="U227" s="44"/>
    </row>
    <row r="228" spans="1:21" s="9" customFormat="1" ht="36" customHeight="1" x14ac:dyDescent="0.25">
      <c r="A228" s="252"/>
      <c r="B228" s="389"/>
      <c r="C228" s="382"/>
      <c r="D228" s="150" t="s">
        <v>1</v>
      </c>
      <c r="E228" s="249"/>
      <c r="F228" s="115">
        <f t="shared" si="58"/>
        <v>121317</v>
      </c>
      <c r="G228" s="216">
        <v>0</v>
      </c>
      <c r="H228" s="216">
        <v>27842</v>
      </c>
      <c r="I228" s="288">
        <v>32101</v>
      </c>
      <c r="J228" s="288"/>
      <c r="K228" s="288"/>
      <c r="L228" s="288"/>
      <c r="M228" s="288"/>
      <c r="N228" s="216">
        <v>30687</v>
      </c>
      <c r="O228" s="216">
        <v>30687</v>
      </c>
      <c r="P228" s="321"/>
      <c r="T228" s="44"/>
      <c r="U228" s="44"/>
    </row>
    <row r="229" spans="1:21" s="39" customFormat="1" ht="57.75" customHeight="1" x14ac:dyDescent="0.25">
      <c r="A229" s="252"/>
      <c r="B229" s="389"/>
      <c r="C229" s="382"/>
      <c r="D229" s="150" t="s">
        <v>47</v>
      </c>
      <c r="E229" s="216">
        <v>9428.6200000000008</v>
      </c>
      <c r="F229" s="115">
        <f t="shared" si="58"/>
        <v>0</v>
      </c>
      <c r="G229" s="216">
        <v>0</v>
      </c>
      <c r="H229" s="216">
        <v>0</v>
      </c>
      <c r="I229" s="289">
        <v>0</v>
      </c>
      <c r="J229" s="289"/>
      <c r="K229" s="289"/>
      <c r="L229" s="289"/>
      <c r="M229" s="289"/>
      <c r="N229" s="216">
        <v>0</v>
      </c>
      <c r="O229" s="216">
        <v>0</v>
      </c>
      <c r="P229" s="321"/>
    </row>
    <row r="230" spans="1:21" s="39" customFormat="1" ht="33.75" customHeight="1" x14ac:dyDescent="0.25">
      <c r="A230" s="252"/>
      <c r="B230" s="389"/>
      <c r="C230" s="382"/>
      <c r="D230" s="150" t="s">
        <v>87</v>
      </c>
      <c r="E230" s="216"/>
      <c r="F230" s="115">
        <f t="shared" si="58"/>
        <v>0</v>
      </c>
      <c r="G230" s="216">
        <v>0</v>
      </c>
      <c r="H230" s="216">
        <v>0</v>
      </c>
      <c r="I230" s="289">
        <v>0</v>
      </c>
      <c r="J230" s="289"/>
      <c r="K230" s="289"/>
      <c r="L230" s="289"/>
      <c r="M230" s="289"/>
      <c r="N230" s="216">
        <v>0</v>
      </c>
      <c r="O230" s="216">
        <v>0</v>
      </c>
      <c r="P230" s="321"/>
    </row>
    <row r="231" spans="1:21" s="39" customFormat="1" ht="46.15" customHeight="1" x14ac:dyDescent="0.25">
      <c r="A231" s="252"/>
      <c r="B231" s="296" t="s">
        <v>204</v>
      </c>
      <c r="C231" s="278" t="s">
        <v>116</v>
      </c>
      <c r="D231" s="284" t="s">
        <v>116</v>
      </c>
      <c r="E231" s="215"/>
      <c r="F231" s="285" t="s">
        <v>117</v>
      </c>
      <c r="G231" s="212" t="s">
        <v>228</v>
      </c>
      <c r="H231" s="212" t="s">
        <v>229</v>
      </c>
      <c r="I231" s="277" t="s">
        <v>123</v>
      </c>
      <c r="J231" s="281" t="s">
        <v>118</v>
      </c>
      <c r="K231" s="281"/>
      <c r="L231" s="281"/>
      <c r="M231" s="281"/>
      <c r="N231" s="212" t="s">
        <v>124</v>
      </c>
      <c r="O231" s="212" t="s">
        <v>125</v>
      </c>
      <c r="P231" s="257" t="s">
        <v>116</v>
      </c>
      <c r="Q231" s="40"/>
    </row>
    <row r="232" spans="1:21" s="39" customFormat="1" ht="41.25" customHeight="1" x14ac:dyDescent="0.25">
      <c r="A232" s="252"/>
      <c r="B232" s="296"/>
      <c r="C232" s="278"/>
      <c r="D232" s="284"/>
      <c r="E232" s="215"/>
      <c r="F232" s="285"/>
      <c r="G232" s="215"/>
      <c r="H232" s="215"/>
      <c r="I232" s="277"/>
      <c r="J232" s="215" t="s">
        <v>119</v>
      </c>
      <c r="K232" s="215" t="s">
        <v>120</v>
      </c>
      <c r="L232" s="215" t="s">
        <v>121</v>
      </c>
      <c r="M232" s="215" t="s">
        <v>122</v>
      </c>
      <c r="N232" s="215"/>
      <c r="O232" s="215"/>
      <c r="P232" s="257"/>
      <c r="Q232" s="40"/>
    </row>
    <row r="233" spans="1:21" s="39" customFormat="1" ht="48" customHeight="1" x14ac:dyDescent="0.25">
      <c r="A233" s="253"/>
      <c r="B233" s="296"/>
      <c r="C233" s="278"/>
      <c r="D233" s="284"/>
      <c r="E233" s="215"/>
      <c r="F233" s="116">
        <v>100</v>
      </c>
      <c r="G233" s="106">
        <v>0</v>
      </c>
      <c r="H233" s="106">
        <v>0</v>
      </c>
      <c r="I233" s="106">
        <v>100</v>
      </c>
      <c r="J233" s="106">
        <v>0</v>
      </c>
      <c r="K233" s="106">
        <v>100</v>
      </c>
      <c r="L233" s="106">
        <v>100</v>
      </c>
      <c r="M233" s="106">
        <v>100</v>
      </c>
      <c r="N233" s="106">
        <v>100</v>
      </c>
      <c r="O233" s="106">
        <v>100</v>
      </c>
      <c r="P233" s="257"/>
      <c r="Q233" s="40"/>
    </row>
    <row r="234" spans="1:21" s="163" customFormat="1" ht="18.75" hidden="1" customHeight="1" x14ac:dyDescent="0.25">
      <c r="A234" s="387" t="s">
        <v>9</v>
      </c>
      <c r="B234" s="380" t="s">
        <v>186</v>
      </c>
      <c r="C234" s="380" t="s">
        <v>86</v>
      </c>
      <c r="D234" s="167" t="s">
        <v>2</v>
      </c>
      <c r="E234" s="233">
        <f>E237</f>
        <v>9428.6200000000008</v>
      </c>
      <c r="F234" s="115">
        <f t="shared" ref="F234:F242" si="59">SUM(G234:O234)</f>
        <v>0</v>
      </c>
      <c r="G234" s="233">
        <f t="shared" ref="G234:H234" si="60">G235+G236+G237+G238</f>
        <v>0</v>
      </c>
      <c r="H234" s="233">
        <f t="shared" si="60"/>
        <v>0</v>
      </c>
      <c r="I234" s="322">
        <f>I235+I236+I237+I238</f>
        <v>0</v>
      </c>
      <c r="J234" s="322"/>
      <c r="K234" s="322"/>
      <c r="L234" s="322"/>
      <c r="M234" s="322"/>
      <c r="N234" s="233">
        <f t="shared" ref="N234:O234" si="61">N235+N236+N237+N238</f>
        <v>0</v>
      </c>
      <c r="O234" s="233">
        <f t="shared" si="61"/>
        <v>0</v>
      </c>
      <c r="P234" s="310"/>
      <c r="T234" s="166"/>
      <c r="U234" s="166"/>
    </row>
    <row r="235" spans="1:21" s="163" customFormat="1" ht="36" hidden="1" customHeight="1" x14ac:dyDescent="0.25">
      <c r="A235" s="387"/>
      <c r="B235" s="380"/>
      <c r="C235" s="380"/>
      <c r="D235" s="167" t="s">
        <v>40</v>
      </c>
      <c r="E235" s="233"/>
      <c r="F235" s="115">
        <f t="shared" si="59"/>
        <v>0</v>
      </c>
      <c r="G235" s="230">
        <f t="shared" ref="G235:H235" si="62">G239</f>
        <v>0</v>
      </c>
      <c r="H235" s="230">
        <f t="shared" si="62"/>
        <v>0</v>
      </c>
      <c r="I235" s="315">
        <f>I239</f>
        <v>0</v>
      </c>
      <c r="J235" s="315"/>
      <c r="K235" s="315"/>
      <c r="L235" s="315"/>
      <c r="M235" s="315"/>
      <c r="N235" s="230">
        <f t="shared" ref="N235:O235" si="63">N239</f>
        <v>0</v>
      </c>
      <c r="O235" s="230">
        <f t="shared" si="63"/>
        <v>0</v>
      </c>
      <c r="P235" s="310"/>
      <c r="T235" s="166"/>
      <c r="U235" s="166"/>
    </row>
    <row r="236" spans="1:21" s="163" customFormat="1" ht="34.5" hidden="1" x14ac:dyDescent="0.25">
      <c r="A236" s="387"/>
      <c r="B236" s="380"/>
      <c r="C236" s="380"/>
      <c r="D236" s="167" t="s">
        <v>1</v>
      </c>
      <c r="E236" s="233"/>
      <c r="F236" s="115">
        <f t="shared" si="59"/>
        <v>0</v>
      </c>
      <c r="G236" s="230">
        <f t="shared" ref="G236:H236" si="64">G240</f>
        <v>0</v>
      </c>
      <c r="H236" s="230">
        <f t="shared" si="64"/>
        <v>0</v>
      </c>
      <c r="I236" s="315">
        <f>I240</f>
        <v>0</v>
      </c>
      <c r="J236" s="315"/>
      <c r="K236" s="315"/>
      <c r="L236" s="315"/>
      <c r="M236" s="315"/>
      <c r="N236" s="230">
        <f t="shared" ref="N236:O236" si="65">N240</f>
        <v>0</v>
      </c>
      <c r="O236" s="230">
        <f t="shared" si="65"/>
        <v>0</v>
      </c>
      <c r="P236" s="310"/>
      <c r="T236" s="166"/>
      <c r="U236" s="166"/>
    </row>
    <row r="237" spans="1:21" s="163" customFormat="1" ht="51.75" hidden="1" x14ac:dyDescent="0.25">
      <c r="A237" s="387"/>
      <c r="B237" s="380"/>
      <c r="C237" s="380"/>
      <c r="D237" s="167" t="s">
        <v>47</v>
      </c>
      <c r="E237" s="229">
        <f>E241</f>
        <v>9428.6200000000008</v>
      </c>
      <c r="F237" s="115">
        <f t="shared" si="59"/>
        <v>0</v>
      </c>
      <c r="G237" s="229">
        <f t="shared" ref="G237:H237" si="66">G241</f>
        <v>0</v>
      </c>
      <c r="H237" s="229">
        <f t="shared" si="66"/>
        <v>0</v>
      </c>
      <c r="I237" s="314">
        <f>I241</f>
        <v>0</v>
      </c>
      <c r="J237" s="314"/>
      <c r="K237" s="314"/>
      <c r="L237" s="314"/>
      <c r="M237" s="314"/>
      <c r="N237" s="229">
        <f t="shared" ref="N237:O237" si="67">N241</f>
        <v>0</v>
      </c>
      <c r="O237" s="229">
        <f t="shared" si="67"/>
        <v>0</v>
      </c>
      <c r="P237" s="310"/>
      <c r="T237" s="166"/>
      <c r="U237" s="166"/>
    </row>
    <row r="238" spans="1:21" s="163" customFormat="1" ht="34.5" hidden="1" x14ac:dyDescent="0.25">
      <c r="A238" s="387"/>
      <c r="B238" s="380"/>
      <c r="C238" s="380"/>
      <c r="D238" s="167" t="s">
        <v>87</v>
      </c>
      <c r="E238" s="229"/>
      <c r="F238" s="115">
        <f t="shared" si="59"/>
        <v>0</v>
      </c>
      <c r="G238" s="229">
        <f t="shared" ref="G238:H238" si="68">G242</f>
        <v>0</v>
      </c>
      <c r="H238" s="229">
        <f t="shared" si="68"/>
        <v>0</v>
      </c>
      <c r="I238" s="314">
        <f>I242</f>
        <v>0</v>
      </c>
      <c r="J238" s="314"/>
      <c r="K238" s="314"/>
      <c r="L238" s="314"/>
      <c r="M238" s="314"/>
      <c r="N238" s="229">
        <f t="shared" ref="N238:O238" si="69">N242</f>
        <v>0</v>
      </c>
      <c r="O238" s="229">
        <f t="shared" si="69"/>
        <v>0</v>
      </c>
      <c r="P238" s="310"/>
      <c r="T238" s="166"/>
      <c r="U238" s="166"/>
    </row>
    <row r="239" spans="1:21" s="163" customFormat="1" ht="36" hidden="1" customHeight="1" x14ac:dyDescent="0.25">
      <c r="A239" s="275" t="s">
        <v>52</v>
      </c>
      <c r="B239" s="390" t="s">
        <v>187</v>
      </c>
      <c r="C239" s="380" t="s">
        <v>86</v>
      </c>
      <c r="D239" s="162" t="s">
        <v>40</v>
      </c>
      <c r="E239" s="229"/>
      <c r="F239" s="115">
        <f t="shared" si="59"/>
        <v>0</v>
      </c>
      <c r="G239" s="225">
        <v>0</v>
      </c>
      <c r="H239" s="225">
        <v>0</v>
      </c>
      <c r="I239" s="302">
        <v>0</v>
      </c>
      <c r="J239" s="302"/>
      <c r="K239" s="302"/>
      <c r="L239" s="302"/>
      <c r="M239" s="302"/>
      <c r="N239" s="225">
        <v>0</v>
      </c>
      <c r="O239" s="225">
        <v>0</v>
      </c>
      <c r="P239" s="313" t="s">
        <v>3</v>
      </c>
      <c r="T239" s="166"/>
      <c r="U239" s="166"/>
    </row>
    <row r="240" spans="1:21" s="163" customFormat="1" ht="34.5" hidden="1" x14ac:dyDescent="0.25">
      <c r="A240" s="275"/>
      <c r="B240" s="390"/>
      <c r="C240" s="380"/>
      <c r="D240" s="162" t="s">
        <v>1</v>
      </c>
      <c r="E240" s="229"/>
      <c r="F240" s="115">
        <f t="shared" si="59"/>
        <v>0</v>
      </c>
      <c r="G240" s="225">
        <v>0</v>
      </c>
      <c r="H240" s="225">
        <v>0</v>
      </c>
      <c r="I240" s="302">
        <v>0</v>
      </c>
      <c r="J240" s="302"/>
      <c r="K240" s="302"/>
      <c r="L240" s="302"/>
      <c r="M240" s="302"/>
      <c r="N240" s="225">
        <v>0</v>
      </c>
      <c r="O240" s="225">
        <v>0</v>
      </c>
      <c r="P240" s="313"/>
      <c r="T240" s="166"/>
      <c r="U240" s="166"/>
    </row>
    <row r="241" spans="1:21" s="163" customFormat="1" ht="51.75" hidden="1" x14ac:dyDescent="0.25">
      <c r="A241" s="275"/>
      <c r="B241" s="390"/>
      <c r="C241" s="380"/>
      <c r="D241" s="162" t="s">
        <v>47</v>
      </c>
      <c r="E241" s="225">
        <v>9428.6200000000008</v>
      </c>
      <c r="F241" s="115">
        <f t="shared" si="59"/>
        <v>0</v>
      </c>
      <c r="G241" s="225">
        <v>0</v>
      </c>
      <c r="H241" s="225">
        <v>0</v>
      </c>
      <c r="I241" s="302">
        <v>0</v>
      </c>
      <c r="J241" s="302"/>
      <c r="K241" s="302"/>
      <c r="L241" s="302"/>
      <c r="M241" s="302"/>
      <c r="N241" s="225">
        <v>0</v>
      </c>
      <c r="O241" s="225">
        <v>0</v>
      </c>
      <c r="P241" s="313"/>
    </row>
    <row r="242" spans="1:21" s="163" customFormat="1" ht="34.5" hidden="1" x14ac:dyDescent="0.25">
      <c r="A242" s="275"/>
      <c r="B242" s="390"/>
      <c r="C242" s="380"/>
      <c r="D242" s="162" t="s">
        <v>87</v>
      </c>
      <c r="E242" s="225"/>
      <c r="F242" s="115">
        <f t="shared" si="59"/>
        <v>0</v>
      </c>
      <c r="G242" s="225">
        <v>0</v>
      </c>
      <c r="H242" s="225">
        <v>0</v>
      </c>
      <c r="I242" s="302">
        <v>0</v>
      </c>
      <c r="J242" s="302"/>
      <c r="K242" s="302"/>
      <c r="L242" s="302"/>
      <c r="M242" s="302"/>
      <c r="N242" s="225">
        <v>0</v>
      </c>
      <c r="O242" s="225">
        <v>0</v>
      </c>
      <c r="P242" s="313"/>
    </row>
    <row r="243" spans="1:21" s="163" customFormat="1" ht="22.5" hidden="1" customHeight="1" x14ac:dyDescent="0.25">
      <c r="A243" s="275"/>
      <c r="B243" s="391" t="s">
        <v>188</v>
      </c>
      <c r="C243" s="381" t="s">
        <v>116</v>
      </c>
      <c r="D243" s="383" t="s">
        <v>116</v>
      </c>
      <c r="E243" s="243"/>
      <c r="F243" s="285" t="s">
        <v>117</v>
      </c>
      <c r="G243" s="242" t="s">
        <v>228</v>
      </c>
      <c r="H243" s="242" t="s">
        <v>229</v>
      </c>
      <c r="I243" s="316" t="s">
        <v>123</v>
      </c>
      <c r="J243" s="317" t="s">
        <v>118</v>
      </c>
      <c r="K243" s="317"/>
      <c r="L243" s="317"/>
      <c r="M243" s="317"/>
      <c r="N243" s="242" t="s">
        <v>124</v>
      </c>
      <c r="O243" s="242" t="s">
        <v>125</v>
      </c>
      <c r="P243" s="311" t="s">
        <v>116</v>
      </c>
      <c r="Q243" s="164"/>
    </row>
    <row r="244" spans="1:21" s="163" customFormat="1" ht="24.75" hidden="1" customHeight="1" x14ac:dyDescent="0.25">
      <c r="A244" s="275"/>
      <c r="B244" s="391"/>
      <c r="C244" s="381"/>
      <c r="D244" s="383"/>
      <c r="E244" s="243"/>
      <c r="F244" s="285"/>
      <c r="G244" s="243"/>
      <c r="H244" s="243"/>
      <c r="I244" s="316"/>
      <c r="J244" s="243" t="s">
        <v>119</v>
      </c>
      <c r="K244" s="243" t="s">
        <v>120</v>
      </c>
      <c r="L244" s="243" t="s">
        <v>121</v>
      </c>
      <c r="M244" s="243" t="s">
        <v>122</v>
      </c>
      <c r="N244" s="243"/>
      <c r="O244" s="243"/>
      <c r="P244" s="311"/>
      <c r="Q244" s="164"/>
    </row>
    <row r="245" spans="1:21" s="163" customFormat="1" ht="16.5" hidden="1" customHeight="1" x14ac:dyDescent="0.25">
      <c r="A245" s="275"/>
      <c r="B245" s="391"/>
      <c r="C245" s="381"/>
      <c r="D245" s="383"/>
      <c r="E245" s="243"/>
      <c r="F245" s="116">
        <v>0</v>
      </c>
      <c r="G245" s="165">
        <v>0</v>
      </c>
      <c r="H245" s="165">
        <v>0</v>
      </c>
      <c r="I245" s="165">
        <v>0</v>
      </c>
      <c r="J245" s="165">
        <v>0</v>
      </c>
      <c r="K245" s="165">
        <v>0</v>
      </c>
      <c r="L245" s="165">
        <v>0</v>
      </c>
      <c r="M245" s="165">
        <v>0</v>
      </c>
      <c r="N245" s="165">
        <v>0</v>
      </c>
      <c r="O245" s="165">
        <v>0</v>
      </c>
      <c r="P245" s="311"/>
      <c r="Q245" s="164"/>
    </row>
    <row r="246" spans="1:21" s="9" customFormat="1" ht="27.75" customHeight="1" x14ac:dyDescent="0.25">
      <c r="A246" s="272" t="s">
        <v>37</v>
      </c>
      <c r="B246" s="371" t="s">
        <v>98</v>
      </c>
      <c r="C246" s="371" t="s">
        <v>45</v>
      </c>
      <c r="D246" s="151" t="s">
        <v>2</v>
      </c>
      <c r="E246" s="232">
        <f>E249</f>
        <v>0</v>
      </c>
      <c r="F246" s="115">
        <f t="shared" ref="F246:F254" si="70">SUM(G246:O246)</f>
        <v>147396.42741</v>
      </c>
      <c r="G246" s="232">
        <f t="shared" ref="G246:H246" si="71">G247+G248+G249+G250</f>
        <v>147396.42741</v>
      </c>
      <c r="H246" s="232">
        <f t="shared" si="71"/>
        <v>0</v>
      </c>
      <c r="I246" s="320">
        <f>I247+I248+I249+I250</f>
        <v>0</v>
      </c>
      <c r="J246" s="320"/>
      <c r="K246" s="320"/>
      <c r="L246" s="320"/>
      <c r="M246" s="320"/>
      <c r="N246" s="232">
        <f t="shared" ref="N246:O246" si="72">N247+N248+N249+N250</f>
        <v>0</v>
      </c>
      <c r="O246" s="232">
        <f t="shared" si="72"/>
        <v>0</v>
      </c>
      <c r="P246" s="303"/>
      <c r="T246" s="44"/>
      <c r="U246" s="44"/>
    </row>
    <row r="247" spans="1:21" s="9" customFormat="1" ht="32.25" customHeight="1" x14ac:dyDescent="0.25">
      <c r="A247" s="272"/>
      <c r="B247" s="371"/>
      <c r="C247" s="371"/>
      <c r="D247" s="151" t="s">
        <v>40</v>
      </c>
      <c r="E247" s="232"/>
      <c r="F247" s="115">
        <f t="shared" si="70"/>
        <v>0</v>
      </c>
      <c r="G247" s="220">
        <f t="shared" ref="G247:H247" si="73">G251</f>
        <v>0</v>
      </c>
      <c r="H247" s="220">
        <f t="shared" si="73"/>
        <v>0</v>
      </c>
      <c r="I247" s="293">
        <f>I251</f>
        <v>0</v>
      </c>
      <c r="J247" s="293"/>
      <c r="K247" s="293"/>
      <c r="L247" s="293"/>
      <c r="M247" s="293"/>
      <c r="N247" s="220">
        <f t="shared" ref="N247:O247" si="74">N251</f>
        <v>0</v>
      </c>
      <c r="O247" s="220">
        <f t="shared" si="74"/>
        <v>0</v>
      </c>
      <c r="P247" s="303"/>
      <c r="T247" s="44"/>
      <c r="U247" s="44"/>
    </row>
    <row r="248" spans="1:21" s="9" customFormat="1" ht="34.5" x14ac:dyDescent="0.25">
      <c r="A248" s="272"/>
      <c r="B248" s="371"/>
      <c r="C248" s="371"/>
      <c r="D248" s="151" t="s">
        <v>1</v>
      </c>
      <c r="E248" s="232"/>
      <c r="F248" s="115">
        <f t="shared" si="70"/>
        <v>61976.218000000001</v>
      </c>
      <c r="G248" s="220">
        <f>G252</f>
        <v>61976.218000000001</v>
      </c>
      <c r="H248" s="220">
        <f>H252</f>
        <v>0</v>
      </c>
      <c r="I248" s="293">
        <f t="shared" ref="I248:I249" si="75">I252</f>
        <v>0</v>
      </c>
      <c r="J248" s="293"/>
      <c r="K248" s="293"/>
      <c r="L248" s="293"/>
      <c r="M248" s="293"/>
      <c r="N248" s="220">
        <f t="shared" ref="N248:O248" si="76">N252</f>
        <v>0</v>
      </c>
      <c r="O248" s="220">
        <f t="shared" si="76"/>
        <v>0</v>
      </c>
      <c r="P248" s="303"/>
      <c r="T248" s="44"/>
      <c r="U248" s="44"/>
    </row>
    <row r="249" spans="1:21" s="9" customFormat="1" ht="51.75" x14ac:dyDescent="0.25">
      <c r="A249" s="272"/>
      <c r="B249" s="371"/>
      <c r="C249" s="371"/>
      <c r="D249" s="151" t="s">
        <v>47</v>
      </c>
      <c r="E249" s="228">
        <f>E252</f>
        <v>0</v>
      </c>
      <c r="F249" s="115">
        <f t="shared" si="70"/>
        <v>85420.209409999996</v>
      </c>
      <c r="G249" s="220">
        <f>G253</f>
        <v>85420.209409999996</v>
      </c>
      <c r="H249" s="220">
        <f>H253</f>
        <v>0</v>
      </c>
      <c r="I249" s="293">
        <f t="shared" si="75"/>
        <v>0</v>
      </c>
      <c r="J249" s="293"/>
      <c r="K249" s="293"/>
      <c r="L249" s="293"/>
      <c r="M249" s="293"/>
      <c r="N249" s="228">
        <f t="shared" ref="N249:O249" si="77">N253</f>
        <v>0</v>
      </c>
      <c r="O249" s="228">
        <f t="shared" si="77"/>
        <v>0</v>
      </c>
      <c r="P249" s="303"/>
      <c r="T249" s="44"/>
      <c r="U249" s="44"/>
    </row>
    <row r="250" spans="1:21" s="9" customFormat="1" ht="33" customHeight="1" x14ac:dyDescent="0.25">
      <c r="A250" s="272"/>
      <c r="B250" s="371"/>
      <c r="C250" s="371"/>
      <c r="D250" s="151" t="s">
        <v>87</v>
      </c>
      <c r="E250" s="228"/>
      <c r="F250" s="115">
        <f t="shared" si="70"/>
        <v>0</v>
      </c>
      <c r="G250" s="228">
        <f t="shared" ref="G250:H250" si="78">G254</f>
        <v>0</v>
      </c>
      <c r="H250" s="228">
        <f t="shared" si="78"/>
        <v>0</v>
      </c>
      <c r="I250" s="312">
        <f>I254</f>
        <v>0</v>
      </c>
      <c r="J250" s="312"/>
      <c r="K250" s="312"/>
      <c r="L250" s="312"/>
      <c r="M250" s="312"/>
      <c r="N250" s="228">
        <f t="shared" ref="N250:O250" si="79">N254</f>
        <v>0</v>
      </c>
      <c r="O250" s="228">
        <f t="shared" si="79"/>
        <v>0</v>
      </c>
      <c r="P250" s="303"/>
      <c r="T250" s="44"/>
      <c r="U250" s="44"/>
    </row>
    <row r="251" spans="1:21" s="9" customFormat="1" ht="40.5" customHeight="1" x14ac:dyDescent="0.25">
      <c r="A251" s="260" t="s">
        <v>51</v>
      </c>
      <c r="B251" s="283" t="s">
        <v>99</v>
      </c>
      <c r="C251" s="282" t="s">
        <v>45</v>
      </c>
      <c r="D251" s="152" t="s">
        <v>40</v>
      </c>
      <c r="E251" s="249"/>
      <c r="F251" s="115">
        <f t="shared" si="70"/>
        <v>0</v>
      </c>
      <c r="G251" s="216">
        <v>0</v>
      </c>
      <c r="H251" s="216">
        <v>0</v>
      </c>
      <c r="I251" s="289">
        <v>0</v>
      </c>
      <c r="J251" s="289"/>
      <c r="K251" s="289"/>
      <c r="L251" s="289"/>
      <c r="M251" s="289"/>
      <c r="N251" s="216">
        <v>0</v>
      </c>
      <c r="O251" s="216">
        <v>0</v>
      </c>
      <c r="P251" s="257" t="s">
        <v>3</v>
      </c>
      <c r="T251" s="44"/>
      <c r="U251" s="44"/>
    </row>
    <row r="252" spans="1:21" s="39" customFormat="1" ht="34.5" x14ac:dyDescent="0.25">
      <c r="A252" s="261"/>
      <c r="B252" s="283"/>
      <c r="C252" s="282"/>
      <c r="D252" s="148" t="s">
        <v>1</v>
      </c>
      <c r="E252" s="221">
        <v>0</v>
      </c>
      <c r="F252" s="115">
        <f t="shared" si="70"/>
        <v>61976.218000000001</v>
      </c>
      <c r="G252" s="221">
        <v>61976.218000000001</v>
      </c>
      <c r="H252" s="221">
        <v>0</v>
      </c>
      <c r="I252" s="294">
        <f>114716.441-114716.441</f>
        <v>0</v>
      </c>
      <c r="J252" s="294"/>
      <c r="K252" s="294"/>
      <c r="L252" s="294"/>
      <c r="M252" s="294"/>
      <c r="N252" s="221">
        <v>0</v>
      </c>
      <c r="O252" s="221">
        <v>0</v>
      </c>
      <c r="P252" s="257"/>
    </row>
    <row r="253" spans="1:21" s="39" customFormat="1" ht="51.75" x14ac:dyDescent="0.25">
      <c r="A253" s="261"/>
      <c r="B253" s="283"/>
      <c r="C253" s="282"/>
      <c r="D253" s="148" t="s">
        <v>47</v>
      </c>
      <c r="E253" s="221">
        <v>0</v>
      </c>
      <c r="F253" s="115">
        <f t="shared" si="70"/>
        <v>85420.209409999996</v>
      </c>
      <c r="G253" s="221">
        <v>85420.209409999996</v>
      </c>
      <c r="H253" s="221">
        <v>0</v>
      </c>
      <c r="I253" s="294">
        <f>69830.1+42839.82134-112669.92134</f>
        <v>0</v>
      </c>
      <c r="J253" s="294"/>
      <c r="K253" s="294"/>
      <c r="L253" s="294"/>
      <c r="M253" s="294"/>
      <c r="N253" s="221">
        <v>0</v>
      </c>
      <c r="O253" s="221">
        <v>0</v>
      </c>
      <c r="P253" s="257"/>
      <c r="Q253" s="40"/>
    </row>
    <row r="254" spans="1:21" s="39" customFormat="1" ht="34.5" x14ac:dyDescent="0.25">
      <c r="A254" s="261"/>
      <c r="B254" s="283"/>
      <c r="C254" s="282"/>
      <c r="D254" s="148" t="s">
        <v>87</v>
      </c>
      <c r="E254" s="221"/>
      <c r="F254" s="115">
        <f t="shared" si="70"/>
        <v>0</v>
      </c>
      <c r="G254" s="221">
        <v>0</v>
      </c>
      <c r="H254" s="221">
        <v>0</v>
      </c>
      <c r="I254" s="294">
        <v>0</v>
      </c>
      <c r="J254" s="294"/>
      <c r="K254" s="294"/>
      <c r="L254" s="294"/>
      <c r="M254" s="294"/>
      <c r="N254" s="221">
        <v>0</v>
      </c>
      <c r="O254" s="221">
        <v>0</v>
      </c>
      <c r="P254" s="257"/>
      <c r="Q254" s="40"/>
    </row>
    <row r="255" spans="1:21" s="39" customFormat="1" ht="24" customHeight="1" x14ac:dyDescent="0.25">
      <c r="A255" s="261"/>
      <c r="B255" s="296" t="s">
        <v>160</v>
      </c>
      <c r="C255" s="278" t="s">
        <v>116</v>
      </c>
      <c r="D255" s="284" t="s">
        <v>116</v>
      </c>
      <c r="E255" s="215"/>
      <c r="F255" s="285" t="s">
        <v>117</v>
      </c>
      <c r="G255" s="212" t="s">
        <v>228</v>
      </c>
      <c r="H255" s="212" t="s">
        <v>229</v>
      </c>
      <c r="I255" s="277" t="s">
        <v>123</v>
      </c>
      <c r="J255" s="281" t="s">
        <v>118</v>
      </c>
      <c r="K255" s="281"/>
      <c r="L255" s="281"/>
      <c r="M255" s="281"/>
      <c r="N255" s="212" t="s">
        <v>124</v>
      </c>
      <c r="O255" s="212" t="s">
        <v>125</v>
      </c>
      <c r="P255" s="257" t="s">
        <v>116</v>
      </c>
      <c r="Q255" s="40"/>
    </row>
    <row r="256" spans="1:21" s="39" customFormat="1" ht="24" customHeight="1" x14ac:dyDescent="0.25">
      <c r="A256" s="261"/>
      <c r="B256" s="296"/>
      <c r="C256" s="278"/>
      <c r="D256" s="284"/>
      <c r="E256" s="215"/>
      <c r="F256" s="285"/>
      <c r="G256" s="215"/>
      <c r="H256" s="215"/>
      <c r="I256" s="277"/>
      <c r="J256" s="215" t="s">
        <v>119</v>
      </c>
      <c r="K256" s="215" t="s">
        <v>120</v>
      </c>
      <c r="L256" s="215" t="s">
        <v>121</v>
      </c>
      <c r="M256" s="215" t="s">
        <v>122</v>
      </c>
      <c r="N256" s="215"/>
      <c r="O256" s="215"/>
      <c r="P256" s="257"/>
      <c r="Q256" s="40"/>
    </row>
    <row r="257" spans="1:21" s="39" customFormat="1" ht="21.75" customHeight="1" x14ac:dyDescent="0.25">
      <c r="A257" s="262"/>
      <c r="B257" s="296"/>
      <c r="C257" s="278"/>
      <c r="D257" s="284"/>
      <c r="E257" s="215"/>
      <c r="F257" s="116">
        <v>0</v>
      </c>
      <c r="G257" s="106">
        <v>0</v>
      </c>
      <c r="H257" s="106" t="s">
        <v>254</v>
      </c>
      <c r="I257" s="106" t="s">
        <v>254</v>
      </c>
      <c r="J257" s="106" t="s">
        <v>254</v>
      </c>
      <c r="K257" s="106" t="s">
        <v>254</v>
      </c>
      <c r="L257" s="106" t="s">
        <v>254</v>
      </c>
      <c r="M257" s="106" t="s">
        <v>254</v>
      </c>
      <c r="N257" s="106" t="s">
        <v>254</v>
      </c>
      <c r="O257" s="106" t="s">
        <v>254</v>
      </c>
      <c r="P257" s="257"/>
      <c r="Q257" s="40"/>
    </row>
    <row r="258" spans="1:21" s="9" customFormat="1" ht="29.25" customHeight="1" x14ac:dyDescent="0.25">
      <c r="A258" s="274" t="s">
        <v>9</v>
      </c>
      <c r="B258" s="342" t="s">
        <v>80</v>
      </c>
      <c r="C258" s="342" t="s">
        <v>45</v>
      </c>
      <c r="D258" s="146" t="s">
        <v>2</v>
      </c>
      <c r="E258" s="227">
        <f>E260+E261</f>
        <v>0</v>
      </c>
      <c r="F258" s="115">
        <f t="shared" ref="F258:F266" si="80">SUM(G258:O258)</f>
        <v>806006.23083000001</v>
      </c>
      <c r="G258" s="227">
        <f t="shared" ref="G258:H258" si="81">G259+G260+G261+G262</f>
        <v>806006.23083000001</v>
      </c>
      <c r="H258" s="227">
        <f t="shared" si="81"/>
        <v>0</v>
      </c>
      <c r="I258" s="308">
        <f>I259+I260+I261+I262</f>
        <v>0</v>
      </c>
      <c r="J258" s="308"/>
      <c r="K258" s="308"/>
      <c r="L258" s="308"/>
      <c r="M258" s="308"/>
      <c r="N258" s="227">
        <f t="shared" ref="N258:O258" si="82">N259+N260+N261+N262</f>
        <v>0</v>
      </c>
      <c r="O258" s="227">
        <f t="shared" si="82"/>
        <v>0</v>
      </c>
      <c r="P258" s="304"/>
      <c r="T258" s="44"/>
      <c r="U258" s="44"/>
    </row>
    <row r="259" spans="1:21" s="9" customFormat="1" ht="32.25" customHeight="1" x14ac:dyDescent="0.25">
      <c r="A259" s="274"/>
      <c r="B259" s="342"/>
      <c r="C259" s="342"/>
      <c r="D259" s="146" t="s">
        <v>40</v>
      </c>
      <c r="E259" s="227"/>
      <c r="F259" s="115">
        <f t="shared" si="80"/>
        <v>58761.3</v>
      </c>
      <c r="G259" s="211">
        <f>G263+G273+G280+G287+G294</f>
        <v>58761.3</v>
      </c>
      <c r="H259" s="211">
        <f>H263+H273+H280+H287+H294</f>
        <v>0</v>
      </c>
      <c r="I259" s="276">
        <f>I263+I273+I280+I287+I294</f>
        <v>0</v>
      </c>
      <c r="J259" s="276"/>
      <c r="K259" s="276"/>
      <c r="L259" s="276"/>
      <c r="M259" s="276"/>
      <c r="N259" s="211">
        <f>N263+N273+N280+N287+N294</f>
        <v>0</v>
      </c>
      <c r="O259" s="211">
        <f>O263+O273+O280+O287+O294</f>
        <v>0</v>
      </c>
      <c r="P259" s="304"/>
      <c r="T259" s="44"/>
      <c r="U259" s="44"/>
    </row>
    <row r="260" spans="1:21" s="9" customFormat="1" ht="39.75" customHeight="1" x14ac:dyDescent="0.25">
      <c r="A260" s="274"/>
      <c r="B260" s="342"/>
      <c r="C260" s="342"/>
      <c r="D260" s="146" t="s">
        <v>1</v>
      </c>
      <c r="E260" s="211">
        <f>E264</f>
        <v>0</v>
      </c>
      <c r="F260" s="115">
        <f t="shared" si="80"/>
        <v>408038.41587999999</v>
      </c>
      <c r="G260" s="211">
        <f t="shared" ref="G260:I260" si="83">G264+G274+G281+G288+G295</f>
        <v>408038.41587999999</v>
      </c>
      <c r="H260" s="211">
        <f t="shared" si="83"/>
        <v>0</v>
      </c>
      <c r="I260" s="276">
        <f t="shared" si="83"/>
        <v>0</v>
      </c>
      <c r="J260" s="276"/>
      <c r="K260" s="276"/>
      <c r="L260" s="276"/>
      <c r="M260" s="276"/>
      <c r="N260" s="211">
        <f t="shared" ref="N260:O260" si="84">N264+N274+N281+N288+N295</f>
        <v>0</v>
      </c>
      <c r="O260" s="211">
        <f t="shared" si="84"/>
        <v>0</v>
      </c>
      <c r="P260" s="304"/>
      <c r="T260" s="44"/>
      <c r="U260" s="44"/>
    </row>
    <row r="261" spans="1:21" s="9" customFormat="1" ht="46.5" customHeight="1" x14ac:dyDescent="0.25">
      <c r="A261" s="274"/>
      <c r="B261" s="342"/>
      <c r="C261" s="342"/>
      <c r="D261" s="146" t="s">
        <v>48</v>
      </c>
      <c r="E261" s="211">
        <f>E265</f>
        <v>0</v>
      </c>
      <c r="F261" s="115">
        <f t="shared" si="80"/>
        <v>339206.51494999998</v>
      </c>
      <c r="G261" s="211">
        <f>G265+G275+G282+G289+G296+G303</f>
        <v>339206.51494999998</v>
      </c>
      <c r="H261" s="211">
        <f t="shared" ref="G261:I262" si="85">H265+H275+H282+H289+H296</f>
        <v>0</v>
      </c>
      <c r="I261" s="276">
        <f t="shared" si="85"/>
        <v>0</v>
      </c>
      <c r="J261" s="276"/>
      <c r="K261" s="276"/>
      <c r="L261" s="276"/>
      <c r="M261" s="276"/>
      <c r="N261" s="211">
        <f t="shared" ref="N261:O261" si="86">N265+N275+N282+N289+N296</f>
        <v>0</v>
      </c>
      <c r="O261" s="211">
        <f t="shared" si="86"/>
        <v>0</v>
      </c>
      <c r="P261" s="304"/>
      <c r="T261" s="44"/>
      <c r="U261" s="44"/>
    </row>
    <row r="262" spans="1:21" s="9" customFormat="1" ht="34.5" x14ac:dyDescent="0.25">
      <c r="A262" s="274"/>
      <c r="B262" s="342"/>
      <c r="C262" s="342"/>
      <c r="D262" s="146" t="s">
        <v>87</v>
      </c>
      <c r="E262" s="211"/>
      <c r="F262" s="115">
        <f t="shared" si="80"/>
        <v>0</v>
      </c>
      <c r="G262" s="211">
        <f t="shared" si="85"/>
        <v>0</v>
      </c>
      <c r="H262" s="211">
        <f t="shared" si="85"/>
        <v>0</v>
      </c>
      <c r="I262" s="276">
        <f t="shared" si="85"/>
        <v>0</v>
      </c>
      <c r="J262" s="276"/>
      <c r="K262" s="276"/>
      <c r="L262" s="276"/>
      <c r="M262" s="276"/>
      <c r="N262" s="211">
        <f t="shared" ref="N262:O262" si="87">N266+N276+N283+N290+N297</f>
        <v>0</v>
      </c>
      <c r="O262" s="211">
        <f t="shared" si="87"/>
        <v>0</v>
      </c>
      <c r="P262" s="304"/>
      <c r="T262" s="44"/>
      <c r="U262" s="44"/>
    </row>
    <row r="263" spans="1:21" s="39" customFormat="1" ht="36.75" customHeight="1" x14ac:dyDescent="0.25">
      <c r="A263" s="254" t="s">
        <v>52</v>
      </c>
      <c r="B263" s="341" t="s">
        <v>136</v>
      </c>
      <c r="C263" s="286" t="s">
        <v>45</v>
      </c>
      <c r="D263" s="149" t="s">
        <v>40</v>
      </c>
      <c r="E263" s="244"/>
      <c r="F263" s="115">
        <f t="shared" si="80"/>
        <v>54593.9</v>
      </c>
      <c r="G263" s="217">
        <v>54593.9</v>
      </c>
      <c r="H263" s="217">
        <v>0</v>
      </c>
      <c r="I263" s="290">
        <v>0</v>
      </c>
      <c r="J263" s="290"/>
      <c r="K263" s="290"/>
      <c r="L263" s="290"/>
      <c r="M263" s="290"/>
      <c r="N263" s="217">
        <v>0</v>
      </c>
      <c r="O263" s="217">
        <v>0</v>
      </c>
      <c r="P263" s="301" t="s">
        <v>90</v>
      </c>
    </row>
    <row r="264" spans="1:21" s="39" customFormat="1" ht="34.5" x14ac:dyDescent="0.25">
      <c r="A264" s="255"/>
      <c r="B264" s="341"/>
      <c r="C264" s="286"/>
      <c r="D264" s="149" t="s">
        <v>1</v>
      </c>
      <c r="E264" s="214">
        <v>0</v>
      </c>
      <c r="F264" s="115">
        <f t="shared" si="80"/>
        <v>326667.27737999998</v>
      </c>
      <c r="G264" s="214">
        <v>326667.27737999998</v>
      </c>
      <c r="H264" s="214">
        <v>0</v>
      </c>
      <c r="I264" s="280">
        <f>513435.04025-513435.04025</f>
        <v>0</v>
      </c>
      <c r="J264" s="280"/>
      <c r="K264" s="280"/>
      <c r="L264" s="280"/>
      <c r="M264" s="280"/>
      <c r="N264" s="214">
        <f>508568.72-508568.72</f>
        <v>0</v>
      </c>
      <c r="O264" s="214">
        <v>0</v>
      </c>
      <c r="P264" s="301"/>
    </row>
    <row r="265" spans="1:21" s="39" customFormat="1" ht="51.75" x14ac:dyDescent="0.25">
      <c r="A265" s="255"/>
      <c r="B265" s="341"/>
      <c r="C265" s="286"/>
      <c r="D265" s="149" t="s">
        <v>48</v>
      </c>
      <c r="E265" s="214">
        <v>0</v>
      </c>
      <c r="F265" s="115">
        <f t="shared" si="80"/>
        <v>156526.48230999999</v>
      </c>
      <c r="G265" s="214">
        <v>156526.48230999999</v>
      </c>
      <c r="H265" s="214">
        <v>0</v>
      </c>
      <c r="I265" s="280">
        <f>67451.08779+13947.78634-81398.87413</f>
        <v>0</v>
      </c>
      <c r="J265" s="280"/>
      <c r="K265" s="280"/>
      <c r="L265" s="280"/>
      <c r="M265" s="280"/>
      <c r="N265" s="214">
        <f>56507.64-56507.64</f>
        <v>0</v>
      </c>
      <c r="O265" s="214">
        <v>0</v>
      </c>
      <c r="P265" s="301"/>
    </row>
    <row r="266" spans="1:21" s="39" customFormat="1" ht="34.5" x14ac:dyDescent="0.25">
      <c r="A266" s="255"/>
      <c r="B266" s="341"/>
      <c r="C266" s="286"/>
      <c r="D266" s="149" t="s">
        <v>87</v>
      </c>
      <c r="E266" s="214"/>
      <c r="F266" s="115">
        <f t="shared" si="80"/>
        <v>0</v>
      </c>
      <c r="G266" s="214">
        <v>0</v>
      </c>
      <c r="H266" s="214">
        <v>0</v>
      </c>
      <c r="I266" s="280">
        <v>0</v>
      </c>
      <c r="J266" s="280"/>
      <c r="K266" s="280"/>
      <c r="L266" s="280"/>
      <c r="M266" s="280"/>
      <c r="N266" s="214">
        <v>0</v>
      </c>
      <c r="O266" s="214">
        <v>0</v>
      </c>
      <c r="P266" s="301"/>
    </row>
    <row r="267" spans="1:21" s="39" customFormat="1" ht="33" customHeight="1" x14ac:dyDescent="0.25">
      <c r="A267" s="255"/>
      <c r="B267" s="296" t="s">
        <v>161</v>
      </c>
      <c r="C267" s="278" t="s">
        <v>116</v>
      </c>
      <c r="D267" s="284" t="s">
        <v>116</v>
      </c>
      <c r="E267" s="215"/>
      <c r="F267" s="285" t="s">
        <v>117</v>
      </c>
      <c r="G267" s="212" t="s">
        <v>228</v>
      </c>
      <c r="H267" s="212" t="s">
        <v>229</v>
      </c>
      <c r="I267" s="277" t="s">
        <v>123</v>
      </c>
      <c r="J267" s="281" t="s">
        <v>118</v>
      </c>
      <c r="K267" s="281"/>
      <c r="L267" s="281"/>
      <c r="M267" s="281"/>
      <c r="N267" s="212" t="s">
        <v>124</v>
      </c>
      <c r="O267" s="212" t="s">
        <v>125</v>
      </c>
      <c r="P267" s="257" t="s">
        <v>116</v>
      </c>
      <c r="Q267" s="40"/>
    </row>
    <row r="268" spans="1:21" s="39" customFormat="1" ht="24" customHeight="1" x14ac:dyDescent="0.25">
      <c r="A268" s="255"/>
      <c r="B268" s="296"/>
      <c r="C268" s="278"/>
      <c r="D268" s="284"/>
      <c r="E268" s="215"/>
      <c r="F268" s="285"/>
      <c r="G268" s="215"/>
      <c r="H268" s="215"/>
      <c r="I268" s="277"/>
      <c r="J268" s="215" t="s">
        <v>119</v>
      </c>
      <c r="K268" s="215" t="s">
        <v>120</v>
      </c>
      <c r="L268" s="215" t="s">
        <v>121</v>
      </c>
      <c r="M268" s="215" t="s">
        <v>122</v>
      </c>
      <c r="N268" s="215"/>
      <c r="O268" s="215"/>
      <c r="P268" s="257"/>
      <c r="Q268" s="40"/>
    </row>
    <row r="269" spans="1:21" s="39" customFormat="1" ht="18.75" customHeight="1" x14ac:dyDescent="0.25">
      <c r="A269" s="256"/>
      <c r="B269" s="296"/>
      <c r="C269" s="278"/>
      <c r="D269" s="284"/>
      <c r="E269" s="215"/>
      <c r="F269" s="116">
        <f>I269+H269+G269+N269+O269</f>
        <v>1</v>
      </c>
      <c r="G269" s="106">
        <v>1</v>
      </c>
      <c r="H269" s="106">
        <v>0</v>
      </c>
      <c r="I269" s="106">
        <v>0</v>
      </c>
      <c r="J269" s="106">
        <v>0</v>
      </c>
      <c r="K269" s="106">
        <v>0</v>
      </c>
      <c r="L269" s="106">
        <v>0</v>
      </c>
      <c r="M269" s="106">
        <v>0</v>
      </c>
      <c r="N269" s="106">
        <v>0</v>
      </c>
      <c r="O269" s="106">
        <v>0</v>
      </c>
      <c r="P269" s="257"/>
      <c r="Q269" s="40"/>
    </row>
    <row r="270" spans="1:21" s="173" customFormat="1" ht="24" hidden="1" customHeight="1" x14ac:dyDescent="0.25">
      <c r="A270" s="186"/>
      <c r="B270" s="296" t="s">
        <v>205</v>
      </c>
      <c r="C270" s="278" t="s">
        <v>116</v>
      </c>
      <c r="D270" s="284" t="s">
        <v>116</v>
      </c>
      <c r="E270" s="215"/>
      <c r="F270" s="285" t="s">
        <v>117</v>
      </c>
      <c r="G270" s="212" t="s">
        <v>228</v>
      </c>
      <c r="H270" s="212" t="s">
        <v>229</v>
      </c>
      <c r="I270" s="277" t="s">
        <v>123</v>
      </c>
      <c r="J270" s="281" t="s">
        <v>118</v>
      </c>
      <c r="K270" s="281"/>
      <c r="L270" s="281"/>
      <c r="M270" s="281"/>
      <c r="N270" s="212" t="s">
        <v>124</v>
      </c>
      <c r="O270" s="212" t="s">
        <v>125</v>
      </c>
      <c r="P270" s="257" t="s">
        <v>116</v>
      </c>
      <c r="Q270" s="172"/>
    </row>
    <row r="271" spans="1:21" s="173" customFormat="1" ht="24" hidden="1" customHeight="1" x14ac:dyDescent="0.25">
      <c r="A271" s="186"/>
      <c r="B271" s="296"/>
      <c r="C271" s="278"/>
      <c r="D271" s="284"/>
      <c r="E271" s="215"/>
      <c r="F271" s="285"/>
      <c r="G271" s="215"/>
      <c r="H271" s="215"/>
      <c r="I271" s="277"/>
      <c r="J271" s="215" t="s">
        <v>119</v>
      </c>
      <c r="K271" s="215" t="s">
        <v>120</v>
      </c>
      <c r="L271" s="215" t="s">
        <v>121</v>
      </c>
      <c r="M271" s="215" t="s">
        <v>122</v>
      </c>
      <c r="N271" s="215"/>
      <c r="O271" s="215"/>
      <c r="P271" s="257"/>
      <c r="Q271" s="172"/>
    </row>
    <row r="272" spans="1:21" s="173" customFormat="1" ht="24" hidden="1" customHeight="1" x14ac:dyDescent="0.25">
      <c r="A272" s="186"/>
      <c r="B272" s="296"/>
      <c r="C272" s="278"/>
      <c r="D272" s="284"/>
      <c r="E272" s="215"/>
      <c r="F272" s="116">
        <f>I272+H272+G272+N272+O272</f>
        <v>0</v>
      </c>
      <c r="G272" s="106">
        <v>0</v>
      </c>
      <c r="H272" s="106">
        <v>0</v>
      </c>
      <c r="I272" s="106">
        <v>0</v>
      </c>
      <c r="J272" s="106">
        <v>0</v>
      </c>
      <c r="K272" s="106">
        <v>0</v>
      </c>
      <c r="L272" s="106">
        <v>0</v>
      </c>
      <c r="M272" s="106">
        <v>0</v>
      </c>
      <c r="N272" s="106">
        <v>0</v>
      </c>
      <c r="O272" s="106">
        <v>0</v>
      </c>
      <c r="P272" s="257"/>
      <c r="Q272" s="172"/>
    </row>
    <row r="273" spans="1:17" s="39" customFormat="1" ht="42" customHeight="1" x14ac:dyDescent="0.25">
      <c r="A273" s="254" t="s">
        <v>259</v>
      </c>
      <c r="B273" s="341" t="s">
        <v>208</v>
      </c>
      <c r="C273" s="286" t="s">
        <v>45</v>
      </c>
      <c r="D273" s="149" t="s">
        <v>40</v>
      </c>
      <c r="E273" s="214"/>
      <c r="F273" s="115">
        <f t="shared" ref="F273:F275" si="88">SUM(G273:O273)</f>
        <v>4167.3999999999996</v>
      </c>
      <c r="G273" s="214">
        <v>4167.3999999999996</v>
      </c>
      <c r="H273" s="214">
        <v>0</v>
      </c>
      <c r="I273" s="280">
        <v>0</v>
      </c>
      <c r="J273" s="280"/>
      <c r="K273" s="280"/>
      <c r="L273" s="280"/>
      <c r="M273" s="280"/>
      <c r="N273" s="214">
        <v>0</v>
      </c>
      <c r="O273" s="214">
        <v>0</v>
      </c>
      <c r="P273" s="301" t="s">
        <v>3</v>
      </c>
    </row>
    <row r="274" spans="1:17" s="39" customFormat="1" ht="34.5" x14ac:dyDescent="0.25">
      <c r="A274" s="255"/>
      <c r="B274" s="341"/>
      <c r="C274" s="286"/>
      <c r="D274" s="149" t="s">
        <v>1</v>
      </c>
      <c r="E274" s="214">
        <v>0</v>
      </c>
      <c r="F274" s="115">
        <f t="shared" si="88"/>
        <v>30721.122500000001</v>
      </c>
      <c r="G274" s="214">
        <v>30721.122500000001</v>
      </c>
      <c r="H274" s="214">
        <v>0</v>
      </c>
      <c r="I274" s="280">
        <f>45033.19-0.007-45033.183</f>
        <v>0</v>
      </c>
      <c r="J274" s="280"/>
      <c r="K274" s="280"/>
      <c r="L274" s="280"/>
      <c r="M274" s="280"/>
      <c r="N274" s="214">
        <f>39400.88-39400.88</f>
        <v>0</v>
      </c>
      <c r="O274" s="214">
        <v>0</v>
      </c>
      <c r="P274" s="301"/>
    </row>
    <row r="275" spans="1:17" s="39" customFormat="1" ht="57.75" customHeight="1" x14ac:dyDescent="0.25">
      <c r="A275" s="255"/>
      <c r="B275" s="341"/>
      <c r="C275" s="286"/>
      <c r="D275" s="149" t="s">
        <v>48</v>
      </c>
      <c r="E275" s="214">
        <v>0</v>
      </c>
      <c r="F275" s="115">
        <f t="shared" si="88"/>
        <v>58144.980499999998</v>
      </c>
      <c r="G275" s="214">
        <v>58144.980499999998</v>
      </c>
      <c r="H275" s="214">
        <v>0</v>
      </c>
      <c r="I275" s="280">
        <f>20837.23+8930.11611-29767.34611</f>
        <v>0</v>
      </c>
      <c r="J275" s="280"/>
      <c r="K275" s="280"/>
      <c r="L275" s="280"/>
      <c r="M275" s="280"/>
      <c r="N275" s="214">
        <f>4377.88-4377.88</f>
        <v>0</v>
      </c>
      <c r="O275" s="214">
        <v>0</v>
      </c>
      <c r="P275" s="301"/>
    </row>
    <row r="276" spans="1:17" s="39" customFormat="1" ht="34.5" x14ac:dyDescent="0.25">
      <c r="A276" s="256"/>
      <c r="B276" s="341"/>
      <c r="C276" s="286"/>
      <c r="D276" s="149" t="s">
        <v>87</v>
      </c>
      <c r="E276" s="214"/>
      <c r="F276" s="115">
        <f>SUM(H276:O276)</f>
        <v>0</v>
      </c>
      <c r="G276" s="214">
        <v>0</v>
      </c>
      <c r="H276" s="214">
        <v>0</v>
      </c>
      <c r="I276" s="280">
        <v>0</v>
      </c>
      <c r="J276" s="280"/>
      <c r="K276" s="280"/>
      <c r="L276" s="280"/>
      <c r="M276" s="280"/>
      <c r="N276" s="214">
        <v>0</v>
      </c>
      <c r="O276" s="214">
        <v>0</v>
      </c>
      <c r="P276" s="301"/>
    </row>
    <row r="277" spans="1:17" s="39" customFormat="1" ht="24" customHeight="1" x14ac:dyDescent="0.25">
      <c r="A277" s="254"/>
      <c r="B277" s="296" t="s">
        <v>162</v>
      </c>
      <c r="C277" s="278" t="s">
        <v>116</v>
      </c>
      <c r="D277" s="284" t="s">
        <v>116</v>
      </c>
      <c r="E277" s="215"/>
      <c r="F277" s="285" t="s">
        <v>117</v>
      </c>
      <c r="G277" s="212" t="s">
        <v>228</v>
      </c>
      <c r="H277" s="212" t="s">
        <v>229</v>
      </c>
      <c r="I277" s="277" t="s">
        <v>123</v>
      </c>
      <c r="J277" s="281" t="s">
        <v>118</v>
      </c>
      <c r="K277" s="281"/>
      <c r="L277" s="281"/>
      <c r="M277" s="281"/>
      <c r="N277" s="212" t="s">
        <v>124</v>
      </c>
      <c r="O277" s="212" t="s">
        <v>125</v>
      </c>
      <c r="P277" s="257" t="s">
        <v>116</v>
      </c>
      <c r="Q277" s="40"/>
    </row>
    <row r="278" spans="1:17" s="39" customFormat="1" ht="24" customHeight="1" x14ac:dyDescent="0.25">
      <c r="A278" s="255"/>
      <c r="B278" s="296"/>
      <c r="C278" s="278"/>
      <c r="D278" s="284"/>
      <c r="E278" s="215"/>
      <c r="F278" s="285"/>
      <c r="G278" s="215"/>
      <c r="H278" s="215"/>
      <c r="I278" s="277"/>
      <c r="J278" s="215" t="s">
        <v>119</v>
      </c>
      <c r="K278" s="215" t="s">
        <v>120</v>
      </c>
      <c r="L278" s="215" t="s">
        <v>121</v>
      </c>
      <c r="M278" s="215" t="s">
        <v>122</v>
      </c>
      <c r="N278" s="215"/>
      <c r="O278" s="215"/>
      <c r="P278" s="257"/>
      <c r="Q278" s="40"/>
    </row>
    <row r="279" spans="1:17" s="39" customFormat="1" ht="21.75" customHeight="1" x14ac:dyDescent="0.25">
      <c r="A279" s="256"/>
      <c r="B279" s="296"/>
      <c r="C279" s="278"/>
      <c r="D279" s="284"/>
      <c r="E279" s="215"/>
      <c r="F279" s="116">
        <f>I279+H279+G279+N279+O279</f>
        <v>1</v>
      </c>
      <c r="G279" s="106">
        <v>1</v>
      </c>
      <c r="H279" s="106">
        <v>0</v>
      </c>
      <c r="I279" s="106">
        <v>0</v>
      </c>
      <c r="J279" s="106">
        <v>0</v>
      </c>
      <c r="K279" s="106">
        <v>0</v>
      </c>
      <c r="L279" s="106">
        <v>0</v>
      </c>
      <c r="M279" s="106">
        <v>0</v>
      </c>
      <c r="N279" s="106">
        <v>0</v>
      </c>
      <c r="O279" s="106">
        <v>0</v>
      </c>
      <c r="P279" s="257"/>
      <c r="Q279" s="40"/>
    </row>
    <row r="280" spans="1:17" s="39" customFormat="1" ht="40.5" customHeight="1" x14ac:dyDescent="0.25">
      <c r="A280" s="269" t="s">
        <v>260</v>
      </c>
      <c r="B280" s="341" t="s">
        <v>100</v>
      </c>
      <c r="C280" s="286" t="s">
        <v>45</v>
      </c>
      <c r="D280" s="149" t="s">
        <v>40</v>
      </c>
      <c r="E280" s="214"/>
      <c r="F280" s="115">
        <f t="shared" ref="F280:F282" si="89">SUM(G280:O280)</f>
        <v>0</v>
      </c>
      <c r="G280" s="214">
        <v>0</v>
      </c>
      <c r="H280" s="214">
        <v>0</v>
      </c>
      <c r="I280" s="280">
        <v>0</v>
      </c>
      <c r="J280" s="280"/>
      <c r="K280" s="280"/>
      <c r="L280" s="280"/>
      <c r="M280" s="280"/>
      <c r="N280" s="214">
        <v>0</v>
      </c>
      <c r="O280" s="214">
        <v>0</v>
      </c>
      <c r="P280" s="301" t="s">
        <v>3</v>
      </c>
    </row>
    <row r="281" spans="1:17" s="39" customFormat="1" ht="34.5" x14ac:dyDescent="0.25">
      <c r="A281" s="269"/>
      <c r="B281" s="341"/>
      <c r="C281" s="286"/>
      <c r="D281" s="149" t="s">
        <v>1</v>
      </c>
      <c r="E281" s="214">
        <v>0</v>
      </c>
      <c r="F281" s="115">
        <f t="shared" si="89"/>
        <v>38367.31</v>
      </c>
      <c r="G281" s="214">
        <v>38367.31</v>
      </c>
      <c r="H281" s="214">
        <v>0</v>
      </c>
      <c r="I281" s="280">
        <f>30404.68-0.006-30404.674</f>
        <v>0</v>
      </c>
      <c r="J281" s="280"/>
      <c r="K281" s="280"/>
      <c r="L281" s="280"/>
      <c r="M281" s="280"/>
      <c r="N281" s="214">
        <f>38297.91-38297.91</f>
        <v>0</v>
      </c>
      <c r="O281" s="214">
        <v>0</v>
      </c>
      <c r="P281" s="301"/>
    </row>
    <row r="282" spans="1:17" s="39" customFormat="1" ht="51.75" x14ac:dyDescent="0.25">
      <c r="A282" s="269"/>
      <c r="B282" s="341"/>
      <c r="C282" s="286"/>
      <c r="D282" s="149" t="s">
        <v>48</v>
      </c>
      <c r="E282" s="214">
        <v>0</v>
      </c>
      <c r="F282" s="115">
        <f t="shared" si="89"/>
        <v>4263.0379999999996</v>
      </c>
      <c r="G282" s="214">
        <v>4263.0379999999996</v>
      </c>
      <c r="H282" s="214">
        <v>0</v>
      </c>
      <c r="I282" s="280">
        <f>3378.3-3378.3</f>
        <v>0</v>
      </c>
      <c r="J282" s="280"/>
      <c r="K282" s="280"/>
      <c r="L282" s="280"/>
      <c r="M282" s="280"/>
      <c r="N282" s="214">
        <f>4255.33-4255.33</f>
        <v>0</v>
      </c>
      <c r="O282" s="214">
        <v>0</v>
      </c>
      <c r="P282" s="301"/>
    </row>
    <row r="283" spans="1:17" s="39" customFormat="1" ht="34.5" x14ac:dyDescent="0.25">
      <c r="A283" s="269"/>
      <c r="B283" s="341"/>
      <c r="C283" s="286"/>
      <c r="D283" s="149" t="s">
        <v>87</v>
      </c>
      <c r="E283" s="214"/>
      <c r="F283" s="115">
        <f>SUM(H283:O283)</f>
        <v>0</v>
      </c>
      <c r="G283" s="214">
        <v>0</v>
      </c>
      <c r="H283" s="214">
        <v>0</v>
      </c>
      <c r="I283" s="280">
        <v>0</v>
      </c>
      <c r="J283" s="280"/>
      <c r="K283" s="280"/>
      <c r="L283" s="280"/>
      <c r="M283" s="280"/>
      <c r="N283" s="214">
        <v>0</v>
      </c>
      <c r="O283" s="214">
        <v>0</v>
      </c>
      <c r="P283" s="301"/>
    </row>
    <row r="284" spans="1:17" s="39" customFormat="1" ht="24" customHeight="1" x14ac:dyDescent="0.25">
      <c r="A284" s="269"/>
      <c r="B284" s="296" t="s">
        <v>163</v>
      </c>
      <c r="C284" s="278" t="s">
        <v>116</v>
      </c>
      <c r="D284" s="284" t="s">
        <v>116</v>
      </c>
      <c r="E284" s="215"/>
      <c r="F284" s="285" t="s">
        <v>117</v>
      </c>
      <c r="G284" s="212" t="s">
        <v>228</v>
      </c>
      <c r="H284" s="212" t="s">
        <v>229</v>
      </c>
      <c r="I284" s="277" t="s">
        <v>123</v>
      </c>
      <c r="J284" s="281" t="s">
        <v>118</v>
      </c>
      <c r="K284" s="281"/>
      <c r="L284" s="281"/>
      <c r="M284" s="281"/>
      <c r="N284" s="212" t="s">
        <v>124</v>
      </c>
      <c r="O284" s="212" t="s">
        <v>125</v>
      </c>
      <c r="P284" s="257" t="s">
        <v>116</v>
      </c>
      <c r="Q284" s="40"/>
    </row>
    <row r="285" spans="1:17" s="39" customFormat="1" ht="21.75" customHeight="1" x14ac:dyDescent="0.25">
      <c r="A285" s="269"/>
      <c r="B285" s="296"/>
      <c r="C285" s="278"/>
      <c r="D285" s="284"/>
      <c r="E285" s="215"/>
      <c r="F285" s="285"/>
      <c r="G285" s="215"/>
      <c r="H285" s="215"/>
      <c r="I285" s="277"/>
      <c r="J285" s="215" t="s">
        <v>119</v>
      </c>
      <c r="K285" s="215" t="s">
        <v>120</v>
      </c>
      <c r="L285" s="215" t="s">
        <v>121</v>
      </c>
      <c r="M285" s="215" t="s">
        <v>122</v>
      </c>
      <c r="N285" s="215"/>
      <c r="O285" s="215"/>
      <c r="P285" s="257"/>
      <c r="Q285" s="40"/>
    </row>
    <row r="286" spans="1:17" s="39" customFormat="1" ht="19.899999999999999" customHeight="1" x14ac:dyDescent="0.25">
      <c r="A286" s="269"/>
      <c r="B286" s="296"/>
      <c r="C286" s="278"/>
      <c r="D286" s="284"/>
      <c r="E286" s="215"/>
      <c r="F286" s="116">
        <f>I286+H286+G286+N286</f>
        <v>1</v>
      </c>
      <c r="G286" s="106">
        <v>1</v>
      </c>
      <c r="H286" s="106">
        <v>0</v>
      </c>
      <c r="I286" s="106">
        <v>0</v>
      </c>
      <c r="J286" s="106">
        <v>0</v>
      </c>
      <c r="K286" s="106">
        <v>0</v>
      </c>
      <c r="L286" s="106">
        <v>0</v>
      </c>
      <c r="M286" s="106">
        <v>0</v>
      </c>
      <c r="N286" s="106">
        <v>0</v>
      </c>
      <c r="O286" s="106">
        <v>0</v>
      </c>
      <c r="P286" s="257"/>
      <c r="Q286" s="40"/>
    </row>
    <row r="287" spans="1:17" s="39" customFormat="1" ht="36.75" customHeight="1" x14ac:dyDescent="0.25">
      <c r="A287" s="269" t="s">
        <v>261</v>
      </c>
      <c r="B287" s="341" t="s">
        <v>101</v>
      </c>
      <c r="C287" s="286" t="s">
        <v>45</v>
      </c>
      <c r="D287" s="149" t="s">
        <v>40</v>
      </c>
      <c r="E287" s="214"/>
      <c r="F287" s="115">
        <f t="shared" ref="F287:F289" si="90">SUM(G287:O287)</f>
        <v>0</v>
      </c>
      <c r="G287" s="214">
        <v>0</v>
      </c>
      <c r="H287" s="214">
        <v>0</v>
      </c>
      <c r="I287" s="280">
        <v>0</v>
      </c>
      <c r="J287" s="280"/>
      <c r="K287" s="280"/>
      <c r="L287" s="280"/>
      <c r="M287" s="280"/>
      <c r="N287" s="214">
        <v>0</v>
      </c>
      <c r="O287" s="214">
        <v>0</v>
      </c>
      <c r="P287" s="301" t="s">
        <v>3</v>
      </c>
    </row>
    <row r="288" spans="1:17" s="39" customFormat="1" ht="30.75" customHeight="1" x14ac:dyDescent="0.25">
      <c r="A288" s="269"/>
      <c r="B288" s="341"/>
      <c r="C288" s="286"/>
      <c r="D288" s="149" t="s">
        <v>1</v>
      </c>
      <c r="E288" s="214">
        <v>0</v>
      </c>
      <c r="F288" s="115">
        <f t="shared" si="90"/>
        <v>12282.706</v>
      </c>
      <c r="G288" s="214">
        <v>12282.706</v>
      </c>
      <c r="H288" s="214">
        <v>0</v>
      </c>
      <c r="I288" s="280">
        <f>47052.14-0.005-47052.135</f>
        <v>0</v>
      </c>
      <c r="J288" s="280"/>
      <c r="K288" s="280"/>
      <c r="L288" s="280"/>
      <c r="M288" s="280"/>
      <c r="N288" s="214">
        <f>18000-18000</f>
        <v>0</v>
      </c>
      <c r="O288" s="214">
        <v>0</v>
      </c>
      <c r="P288" s="301"/>
    </row>
    <row r="289" spans="1:17" s="39" customFormat="1" ht="57.75" customHeight="1" x14ac:dyDescent="0.25">
      <c r="A289" s="269"/>
      <c r="B289" s="341"/>
      <c r="C289" s="286"/>
      <c r="D289" s="149" t="s">
        <v>48</v>
      </c>
      <c r="E289" s="214">
        <v>0</v>
      </c>
      <c r="F289" s="115">
        <f t="shared" si="90"/>
        <v>73705.050189999994</v>
      </c>
      <c r="G289" s="214">
        <v>73705.050189999994</v>
      </c>
      <c r="H289" s="214">
        <v>0</v>
      </c>
      <c r="I289" s="280">
        <f>25683.5+6941.93543-32625.43543</f>
        <v>0</v>
      </c>
      <c r="J289" s="280"/>
      <c r="K289" s="280"/>
      <c r="L289" s="280"/>
      <c r="M289" s="280"/>
      <c r="N289" s="214">
        <f>2000-2000</f>
        <v>0</v>
      </c>
      <c r="O289" s="214">
        <v>0</v>
      </c>
      <c r="P289" s="301"/>
    </row>
    <row r="290" spans="1:17" s="39" customFormat="1" ht="34.5" x14ac:dyDescent="0.25">
      <c r="A290" s="269"/>
      <c r="B290" s="341"/>
      <c r="C290" s="286"/>
      <c r="D290" s="149" t="s">
        <v>87</v>
      </c>
      <c r="E290" s="214"/>
      <c r="F290" s="115">
        <f>SUM(H290:O290)</f>
        <v>0</v>
      </c>
      <c r="G290" s="214">
        <v>0</v>
      </c>
      <c r="H290" s="214">
        <v>0</v>
      </c>
      <c r="I290" s="280">
        <v>0</v>
      </c>
      <c r="J290" s="280"/>
      <c r="K290" s="280"/>
      <c r="L290" s="280"/>
      <c r="M290" s="280"/>
      <c r="N290" s="214">
        <v>0</v>
      </c>
      <c r="O290" s="214">
        <v>0</v>
      </c>
      <c r="P290" s="301"/>
    </row>
    <row r="291" spans="1:17" s="39" customFormat="1" ht="24" customHeight="1" x14ac:dyDescent="0.25">
      <c r="A291" s="269"/>
      <c r="B291" s="296" t="s">
        <v>183</v>
      </c>
      <c r="C291" s="278" t="s">
        <v>116</v>
      </c>
      <c r="D291" s="284" t="s">
        <v>116</v>
      </c>
      <c r="E291" s="215"/>
      <c r="F291" s="285" t="s">
        <v>117</v>
      </c>
      <c r="G291" s="212" t="s">
        <v>228</v>
      </c>
      <c r="H291" s="212" t="s">
        <v>229</v>
      </c>
      <c r="I291" s="277" t="s">
        <v>123</v>
      </c>
      <c r="J291" s="281" t="s">
        <v>118</v>
      </c>
      <c r="K291" s="281"/>
      <c r="L291" s="281"/>
      <c r="M291" s="281"/>
      <c r="N291" s="212" t="s">
        <v>124</v>
      </c>
      <c r="O291" s="212" t="s">
        <v>125</v>
      </c>
      <c r="P291" s="257" t="s">
        <v>116</v>
      </c>
      <c r="Q291" s="40"/>
    </row>
    <row r="292" spans="1:17" s="39" customFormat="1" ht="18.75" customHeight="1" x14ac:dyDescent="0.25">
      <c r="A292" s="269"/>
      <c r="B292" s="296"/>
      <c r="C292" s="278"/>
      <c r="D292" s="284"/>
      <c r="E292" s="215"/>
      <c r="F292" s="285"/>
      <c r="G292" s="215"/>
      <c r="H292" s="215"/>
      <c r="I292" s="277"/>
      <c r="J292" s="215" t="s">
        <v>119</v>
      </c>
      <c r="K292" s="215" t="s">
        <v>120</v>
      </c>
      <c r="L292" s="215" t="s">
        <v>121</v>
      </c>
      <c r="M292" s="215" t="s">
        <v>122</v>
      </c>
      <c r="N292" s="215"/>
      <c r="O292" s="215"/>
      <c r="P292" s="257"/>
      <c r="Q292" s="40"/>
    </row>
    <row r="293" spans="1:17" s="39" customFormat="1" ht="16.5" customHeight="1" x14ac:dyDescent="0.25">
      <c r="A293" s="269"/>
      <c r="B293" s="296"/>
      <c r="C293" s="278"/>
      <c r="D293" s="284"/>
      <c r="E293" s="215"/>
      <c r="F293" s="116">
        <f>I293+H293+G293+N293+O293</f>
        <v>1</v>
      </c>
      <c r="G293" s="106">
        <v>1</v>
      </c>
      <c r="H293" s="106">
        <v>0</v>
      </c>
      <c r="I293" s="106">
        <v>0</v>
      </c>
      <c r="J293" s="106">
        <v>0</v>
      </c>
      <c r="K293" s="106">
        <v>0</v>
      </c>
      <c r="L293" s="106">
        <v>0</v>
      </c>
      <c r="M293" s="106">
        <v>0</v>
      </c>
      <c r="N293" s="106">
        <v>0</v>
      </c>
      <c r="O293" s="106">
        <v>0</v>
      </c>
      <c r="P293" s="257"/>
      <c r="Q293" s="40"/>
    </row>
    <row r="294" spans="1:17" s="39" customFormat="1" ht="37.5" customHeight="1" x14ac:dyDescent="0.25">
      <c r="A294" s="269" t="s">
        <v>262</v>
      </c>
      <c r="B294" s="341" t="s">
        <v>102</v>
      </c>
      <c r="C294" s="286" t="s">
        <v>45</v>
      </c>
      <c r="D294" s="149" t="s">
        <v>40</v>
      </c>
      <c r="E294" s="214"/>
      <c r="F294" s="115">
        <f t="shared" ref="F294:F295" si="91">SUM(G294:O294)</f>
        <v>0</v>
      </c>
      <c r="G294" s="214">
        <v>0</v>
      </c>
      <c r="H294" s="214">
        <v>0</v>
      </c>
      <c r="I294" s="280">
        <v>0</v>
      </c>
      <c r="J294" s="280"/>
      <c r="K294" s="280"/>
      <c r="L294" s="280"/>
      <c r="M294" s="280"/>
      <c r="N294" s="214">
        <v>0</v>
      </c>
      <c r="O294" s="214">
        <v>0</v>
      </c>
      <c r="P294" s="301" t="s">
        <v>3</v>
      </c>
    </row>
    <row r="295" spans="1:17" s="39" customFormat="1" ht="37.5" customHeight="1" x14ac:dyDescent="0.25">
      <c r="A295" s="269"/>
      <c r="B295" s="341"/>
      <c r="C295" s="286"/>
      <c r="D295" s="149" t="s">
        <v>1</v>
      </c>
      <c r="E295" s="214">
        <v>0</v>
      </c>
      <c r="F295" s="115">
        <f t="shared" si="91"/>
        <v>0</v>
      </c>
      <c r="G295" s="214">
        <v>0</v>
      </c>
      <c r="H295" s="214">
        <v>0</v>
      </c>
      <c r="I295" s="280">
        <v>0</v>
      </c>
      <c r="J295" s="280"/>
      <c r="K295" s="280"/>
      <c r="L295" s="280"/>
      <c r="M295" s="280"/>
      <c r="N295" s="214">
        <v>0</v>
      </c>
      <c r="O295" s="214">
        <v>0</v>
      </c>
      <c r="P295" s="301"/>
    </row>
    <row r="296" spans="1:17" s="39" customFormat="1" ht="51.75" x14ac:dyDescent="0.25">
      <c r="A296" s="269"/>
      <c r="B296" s="341"/>
      <c r="C296" s="286"/>
      <c r="D296" s="149" t="s">
        <v>48</v>
      </c>
      <c r="E296" s="214">
        <v>0</v>
      </c>
      <c r="F296" s="115">
        <f>SUM(G296:O296)</f>
        <v>2375.0113900000001</v>
      </c>
      <c r="G296" s="214">
        <v>2375.0113900000001</v>
      </c>
      <c r="H296" s="214">
        <v>0</v>
      </c>
      <c r="I296" s="280">
        <v>0</v>
      </c>
      <c r="J296" s="280"/>
      <c r="K296" s="280"/>
      <c r="L296" s="280"/>
      <c r="M296" s="280"/>
      <c r="N296" s="214">
        <v>0</v>
      </c>
      <c r="O296" s="214">
        <v>0</v>
      </c>
      <c r="P296" s="301"/>
    </row>
    <row r="297" spans="1:17" s="39" customFormat="1" ht="34.5" x14ac:dyDescent="0.25">
      <c r="A297" s="269"/>
      <c r="B297" s="341"/>
      <c r="C297" s="286"/>
      <c r="D297" s="149" t="s">
        <v>87</v>
      </c>
      <c r="E297" s="214"/>
      <c r="F297" s="115">
        <f t="shared" ref="F297" si="92">SUM(G297:O297)</f>
        <v>0</v>
      </c>
      <c r="G297" s="214">
        <v>0</v>
      </c>
      <c r="H297" s="214">
        <v>0</v>
      </c>
      <c r="I297" s="280">
        <v>0</v>
      </c>
      <c r="J297" s="280"/>
      <c r="K297" s="280"/>
      <c r="L297" s="280"/>
      <c r="M297" s="280"/>
      <c r="N297" s="214">
        <v>0</v>
      </c>
      <c r="O297" s="214">
        <v>0</v>
      </c>
      <c r="P297" s="301"/>
    </row>
    <row r="298" spans="1:17" s="39" customFormat="1" ht="25.5" customHeight="1" x14ac:dyDescent="0.25">
      <c r="A298" s="269"/>
      <c r="B298" s="296" t="s">
        <v>164</v>
      </c>
      <c r="C298" s="278" t="s">
        <v>116</v>
      </c>
      <c r="D298" s="284" t="s">
        <v>116</v>
      </c>
      <c r="E298" s="215"/>
      <c r="F298" s="285" t="s">
        <v>117</v>
      </c>
      <c r="G298" s="212" t="s">
        <v>228</v>
      </c>
      <c r="H298" s="212" t="s">
        <v>229</v>
      </c>
      <c r="I298" s="277" t="s">
        <v>123</v>
      </c>
      <c r="J298" s="281" t="s">
        <v>118</v>
      </c>
      <c r="K298" s="281"/>
      <c r="L298" s="281"/>
      <c r="M298" s="281"/>
      <c r="N298" s="212" t="s">
        <v>124</v>
      </c>
      <c r="O298" s="212" t="s">
        <v>125</v>
      </c>
      <c r="P298" s="257" t="s">
        <v>116</v>
      </c>
      <c r="Q298" s="40"/>
    </row>
    <row r="299" spans="1:17" s="39" customFormat="1" ht="20.25" customHeight="1" x14ac:dyDescent="0.25">
      <c r="A299" s="269"/>
      <c r="B299" s="296"/>
      <c r="C299" s="278"/>
      <c r="D299" s="284"/>
      <c r="E299" s="215"/>
      <c r="F299" s="285"/>
      <c r="G299" s="215"/>
      <c r="H299" s="215"/>
      <c r="I299" s="277"/>
      <c r="J299" s="215" t="s">
        <v>119</v>
      </c>
      <c r="K299" s="215" t="s">
        <v>120</v>
      </c>
      <c r="L299" s="215" t="s">
        <v>121</v>
      </c>
      <c r="M299" s="215" t="s">
        <v>122</v>
      </c>
      <c r="N299" s="215"/>
      <c r="O299" s="215"/>
      <c r="P299" s="257"/>
      <c r="Q299" s="40"/>
    </row>
    <row r="300" spans="1:17" s="39" customFormat="1" ht="22.9" customHeight="1" x14ac:dyDescent="0.25">
      <c r="A300" s="269"/>
      <c r="B300" s="296"/>
      <c r="C300" s="278"/>
      <c r="D300" s="284"/>
      <c r="E300" s="215"/>
      <c r="F300" s="116">
        <f>I300+H300+G300+N300+O300</f>
        <v>1</v>
      </c>
      <c r="G300" s="106">
        <v>1</v>
      </c>
      <c r="H300" s="106">
        <v>0</v>
      </c>
      <c r="I300" s="106">
        <v>0</v>
      </c>
      <c r="J300" s="106">
        <v>0</v>
      </c>
      <c r="K300" s="106">
        <v>0</v>
      </c>
      <c r="L300" s="106">
        <v>0</v>
      </c>
      <c r="M300" s="106">
        <v>0</v>
      </c>
      <c r="N300" s="106">
        <v>0</v>
      </c>
      <c r="O300" s="106">
        <v>0</v>
      </c>
      <c r="P300" s="257"/>
      <c r="Q300" s="40"/>
    </row>
    <row r="301" spans="1:17" s="39" customFormat="1" ht="36.75" customHeight="1" x14ac:dyDescent="0.25">
      <c r="A301" s="269" t="s">
        <v>263</v>
      </c>
      <c r="B301" s="341" t="s">
        <v>147</v>
      </c>
      <c r="C301" s="286" t="s">
        <v>45</v>
      </c>
      <c r="D301" s="149" t="s">
        <v>40</v>
      </c>
      <c r="E301" s="214"/>
      <c r="F301" s="115">
        <f t="shared" ref="F301:F303" si="93">SUM(G301:O301)</f>
        <v>0</v>
      </c>
      <c r="G301" s="214">
        <v>0</v>
      </c>
      <c r="H301" s="214">
        <v>0</v>
      </c>
      <c r="I301" s="280">
        <v>0</v>
      </c>
      <c r="J301" s="280"/>
      <c r="K301" s="280"/>
      <c r="L301" s="280"/>
      <c r="M301" s="280"/>
      <c r="N301" s="214">
        <v>0</v>
      </c>
      <c r="O301" s="214">
        <v>0</v>
      </c>
      <c r="P301" s="301" t="s">
        <v>3</v>
      </c>
    </row>
    <row r="302" spans="1:17" s="39" customFormat="1" ht="34.5" x14ac:dyDescent="0.25">
      <c r="A302" s="269"/>
      <c r="B302" s="341"/>
      <c r="C302" s="286"/>
      <c r="D302" s="149" t="s">
        <v>1</v>
      </c>
      <c r="E302" s="214">
        <v>0</v>
      </c>
      <c r="F302" s="115">
        <f t="shared" si="93"/>
        <v>0</v>
      </c>
      <c r="G302" s="214">
        <v>0</v>
      </c>
      <c r="H302" s="214">
        <v>0</v>
      </c>
      <c r="I302" s="280">
        <f>72165.6-72165.6</f>
        <v>0</v>
      </c>
      <c r="J302" s="280"/>
      <c r="K302" s="280"/>
      <c r="L302" s="280"/>
      <c r="M302" s="280"/>
      <c r="N302" s="214">
        <v>0</v>
      </c>
      <c r="O302" s="214">
        <v>0</v>
      </c>
      <c r="P302" s="301"/>
    </row>
    <row r="303" spans="1:17" s="39" customFormat="1" ht="51.75" x14ac:dyDescent="0.25">
      <c r="A303" s="269"/>
      <c r="B303" s="341"/>
      <c r="C303" s="286"/>
      <c r="D303" s="149" t="s">
        <v>48</v>
      </c>
      <c r="E303" s="214">
        <v>0</v>
      </c>
      <c r="F303" s="115">
        <f t="shared" si="93"/>
        <v>44191.952559999998</v>
      </c>
      <c r="G303" s="214">
        <v>44191.952559999998</v>
      </c>
      <c r="H303" s="214">
        <v>0</v>
      </c>
      <c r="I303" s="280">
        <f>8018.4-8018.4</f>
        <v>0</v>
      </c>
      <c r="J303" s="280"/>
      <c r="K303" s="280"/>
      <c r="L303" s="280"/>
      <c r="M303" s="280"/>
      <c r="N303" s="214">
        <v>0</v>
      </c>
      <c r="O303" s="214">
        <v>0</v>
      </c>
      <c r="P303" s="301"/>
    </row>
    <row r="304" spans="1:17" s="39" customFormat="1" ht="33" customHeight="1" x14ac:dyDescent="0.25">
      <c r="A304" s="269"/>
      <c r="B304" s="341"/>
      <c r="C304" s="286"/>
      <c r="D304" s="149" t="s">
        <v>87</v>
      </c>
      <c r="E304" s="214"/>
      <c r="F304" s="115">
        <f>SUM(H304:O304)</f>
        <v>0</v>
      </c>
      <c r="G304" s="214">
        <v>0</v>
      </c>
      <c r="H304" s="214">
        <v>0</v>
      </c>
      <c r="I304" s="280">
        <v>0</v>
      </c>
      <c r="J304" s="280"/>
      <c r="K304" s="280"/>
      <c r="L304" s="280"/>
      <c r="M304" s="280"/>
      <c r="N304" s="214">
        <v>0</v>
      </c>
      <c r="O304" s="214">
        <v>0</v>
      </c>
      <c r="P304" s="301"/>
    </row>
    <row r="305" spans="1:21" s="39" customFormat="1" ht="24" customHeight="1" x14ac:dyDescent="0.25">
      <c r="A305" s="269"/>
      <c r="B305" s="296" t="s">
        <v>165</v>
      </c>
      <c r="C305" s="278" t="s">
        <v>116</v>
      </c>
      <c r="D305" s="284" t="s">
        <v>116</v>
      </c>
      <c r="E305" s="215"/>
      <c r="F305" s="285" t="s">
        <v>117</v>
      </c>
      <c r="G305" s="212" t="s">
        <v>228</v>
      </c>
      <c r="H305" s="212" t="s">
        <v>229</v>
      </c>
      <c r="I305" s="277" t="s">
        <v>123</v>
      </c>
      <c r="J305" s="281" t="s">
        <v>118</v>
      </c>
      <c r="K305" s="281"/>
      <c r="L305" s="281"/>
      <c r="M305" s="281"/>
      <c r="N305" s="212" t="s">
        <v>124</v>
      </c>
      <c r="O305" s="212" t="s">
        <v>125</v>
      </c>
      <c r="P305" s="257" t="s">
        <v>116</v>
      </c>
      <c r="Q305" s="40"/>
    </row>
    <row r="306" spans="1:21" s="39" customFormat="1" ht="19.5" customHeight="1" x14ac:dyDescent="0.25">
      <c r="A306" s="269"/>
      <c r="B306" s="296"/>
      <c r="C306" s="278"/>
      <c r="D306" s="284"/>
      <c r="E306" s="215"/>
      <c r="F306" s="285"/>
      <c r="G306" s="215"/>
      <c r="H306" s="215"/>
      <c r="I306" s="277"/>
      <c r="J306" s="215" t="s">
        <v>119</v>
      </c>
      <c r="K306" s="215" t="s">
        <v>120</v>
      </c>
      <c r="L306" s="215" t="s">
        <v>121</v>
      </c>
      <c r="M306" s="215" t="s">
        <v>122</v>
      </c>
      <c r="N306" s="215"/>
      <c r="O306" s="215"/>
      <c r="P306" s="257"/>
      <c r="Q306" s="40"/>
    </row>
    <row r="307" spans="1:21" s="39" customFormat="1" ht="20.25" customHeight="1" x14ac:dyDescent="0.25">
      <c r="A307" s="269"/>
      <c r="B307" s="296"/>
      <c r="C307" s="278"/>
      <c r="D307" s="284"/>
      <c r="E307" s="215"/>
      <c r="F307" s="116">
        <f>I307+H307+G307+N307+O307</f>
        <v>1</v>
      </c>
      <c r="G307" s="106">
        <v>1</v>
      </c>
      <c r="H307" s="106">
        <v>0</v>
      </c>
      <c r="I307" s="106">
        <v>0</v>
      </c>
      <c r="J307" s="106">
        <v>0</v>
      </c>
      <c r="K307" s="106">
        <v>0</v>
      </c>
      <c r="L307" s="106">
        <v>0</v>
      </c>
      <c r="M307" s="106">
        <v>0</v>
      </c>
      <c r="N307" s="106">
        <v>0</v>
      </c>
      <c r="O307" s="106">
        <v>0</v>
      </c>
      <c r="P307" s="257"/>
      <c r="Q307" s="40"/>
    </row>
    <row r="308" spans="1:21" s="9" customFormat="1" ht="18.75" customHeight="1" x14ac:dyDescent="0.25">
      <c r="A308" s="272" t="s">
        <v>35</v>
      </c>
      <c r="B308" s="371" t="s">
        <v>112</v>
      </c>
      <c r="C308" s="371" t="s">
        <v>45</v>
      </c>
      <c r="D308" s="146" t="s">
        <v>2</v>
      </c>
      <c r="E308" s="232">
        <f>E311</f>
        <v>0</v>
      </c>
      <c r="F308" s="115">
        <f t="shared" ref="F308:F316" si="94">SUM(G308:O308)</f>
        <v>3053.4900000000002</v>
      </c>
      <c r="G308" s="232">
        <f t="shared" ref="G308:H308" si="95">G309+G310+G311+G312</f>
        <v>3053.4900000000002</v>
      </c>
      <c r="H308" s="232">
        <f t="shared" si="95"/>
        <v>0</v>
      </c>
      <c r="I308" s="320">
        <f>I309+I310+I311+I312</f>
        <v>0</v>
      </c>
      <c r="J308" s="320"/>
      <c r="K308" s="320"/>
      <c r="L308" s="320"/>
      <c r="M308" s="320"/>
      <c r="N308" s="232">
        <f t="shared" ref="N308:O308" si="96">N309+N310+N311+N312</f>
        <v>0</v>
      </c>
      <c r="O308" s="232">
        <f t="shared" si="96"/>
        <v>0</v>
      </c>
      <c r="P308" s="303"/>
      <c r="T308" s="44"/>
      <c r="U308" s="44"/>
    </row>
    <row r="309" spans="1:21" s="9" customFormat="1" ht="36" customHeight="1" x14ac:dyDescent="0.25">
      <c r="A309" s="272"/>
      <c r="B309" s="371"/>
      <c r="C309" s="371"/>
      <c r="D309" s="151" t="s">
        <v>40</v>
      </c>
      <c r="E309" s="232"/>
      <c r="F309" s="115">
        <f t="shared" si="94"/>
        <v>0</v>
      </c>
      <c r="G309" s="220">
        <f t="shared" ref="G309:H309" si="97">G313</f>
        <v>0</v>
      </c>
      <c r="H309" s="220">
        <f t="shared" si="97"/>
        <v>0</v>
      </c>
      <c r="I309" s="293">
        <f>I313</f>
        <v>0</v>
      </c>
      <c r="J309" s="293"/>
      <c r="K309" s="293"/>
      <c r="L309" s="293"/>
      <c r="M309" s="293"/>
      <c r="N309" s="220">
        <f t="shared" ref="N309:O309" si="98">N313</f>
        <v>0</v>
      </c>
      <c r="O309" s="220">
        <f t="shared" si="98"/>
        <v>0</v>
      </c>
      <c r="P309" s="303"/>
      <c r="T309" s="44"/>
      <c r="U309" s="44"/>
    </row>
    <row r="310" spans="1:21" s="9" customFormat="1" ht="37.5" customHeight="1" x14ac:dyDescent="0.25">
      <c r="A310" s="272"/>
      <c r="B310" s="371"/>
      <c r="C310" s="371"/>
      <c r="D310" s="151" t="s">
        <v>1</v>
      </c>
      <c r="E310" s="232"/>
      <c r="F310" s="115">
        <f t="shared" si="94"/>
        <v>2775.9</v>
      </c>
      <c r="G310" s="220">
        <f t="shared" ref="G310:H310" si="99">G314</f>
        <v>2775.9</v>
      </c>
      <c r="H310" s="220">
        <f t="shared" si="99"/>
        <v>0</v>
      </c>
      <c r="I310" s="293">
        <f>I314</f>
        <v>0</v>
      </c>
      <c r="J310" s="293"/>
      <c r="K310" s="293"/>
      <c r="L310" s="293"/>
      <c r="M310" s="293"/>
      <c r="N310" s="220">
        <f t="shared" ref="N310:O310" si="100">N314</f>
        <v>0</v>
      </c>
      <c r="O310" s="220">
        <f t="shared" si="100"/>
        <v>0</v>
      </c>
      <c r="P310" s="303"/>
      <c r="T310" s="44"/>
      <c r="U310" s="44"/>
    </row>
    <row r="311" spans="1:21" s="9" customFormat="1" ht="51.75" x14ac:dyDescent="0.25">
      <c r="A311" s="272"/>
      <c r="B311" s="371"/>
      <c r="C311" s="371"/>
      <c r="D311" s="151" t="s">
        <v>47</v>
      </c>
      <c r="E311" s="228">
        <f>E314</f>
        <v>0</v>
      </c>
      <c r="F311" s="115">
        <f t="shared" si="94"/>
        <v>277.58999999999997</v>
      </c>
      <c r="G311" s="228">
        <f t="shared" ref="G311:H311" si="101">G315</f>
        <v>277.58999999999997</v>
      </c>
      <c r="H311" s="228">
        <f t="shared" si="101"/>
        <v>0</v>
      </c>
      <c r="I311" s="312">
        <f>I315</f>
        <v>0</v>
      </c>
      <c r="J311" s="312"/>
      <c r="K311" s="312"/>
      <c r="L311" s="312"/>
      <c r="M311" s="312"/>
      <c r="N311" s="228">
        <f t="shared" ref="N311:O311" si="102">N315</f>
        <v>0</v>
      </c>
      <c r="O311" s="228">
        <f t="shared" si="102"/>
        <v>0</v>
      </c>
      <c r="P311" s="303"/>
      <c r="T311" s="44"/>
      <c r="U311" s="44"/>
    </row>
    <row r="312" spans="1:21" s="9" customFormat="1" ht="37.5" customHeight="1" x14ac:dyDescent="0.25">
      <c r="A312" s="272"/>
      <c r="B312" s="371"/>
      <c r="C312" s="371"/>
      <c r="D312" s="151" t="s">
        <v>87</v>
      </c>
      <c r="E312" s="228"/>
      <c r="F312" s="115">
        <f t="shared" si="94"/>
        <v>0</v>
      </c>
      <c r="G312" s="228">
        <f t="shared" ref="G312:H312" si="103">G316</f>
        <v>0</v>
      </c>
      <c r="H312" s="228">
        <f t="shared" si="103"/>
        <v>0</v>
      </c>
      <c r="I312" s="312">
        <f>I316</f>
        <v>0</v>
      </c>
      <c r="J312" s="312"/>
      <c r="K312" s="312"/>
      <c r="L312" s="312"/>
      <c r="M312" s="312"/>
      <c r="N312" s="228">
        <f t="shared" ref="N312:O312" si="104">N316</f>
        <v>0</v>
      </c>
      <c r="O312" s="228">
        <f t="shared" si="104"/>
        <v>0</v>
      </c>
      <c r="P312" s="303"/>
      <c r="T312" s="44"/>
      <c r="U312" s="44"/>
    </row>
    <row r="313" spans="1:21" s="9" customFormat="1" ht="37.5" customHeight="1" x14ac:dyDescent="0.25">
      <c r="A313" s="260" t="s">
        <v>57</v>
      </c>
      <c r="B313" s="283" t="s">
        <v>103</v>
      </c>
      <c r="C313" s="282" t="s">
        <v>45</v>
      </c>
      <c r="D313" s="152" t="s">
        <v>40</v>
      </c>
      <c r="E313" s="249"/>
      <c r="F313" s="115">
        <f t="shared" si="94"/>
        <v>0</v>
      </c>
      <c r="G313" s="216">
        <v>0</v>
      </c>
      <c r="H313" s="216">
        <v>0</v>
      </c>
      <c r="I313" s="289">
        <v>0</v>
      </c>
      <c r="J313" s="289"/>
      <c r="K313" s="289"/>
      <c r="L313" s="289"/>
      <c r="M313" s="289"/>
      <c r="N313" s="216">
        <v>0</v>
      </c>
      <c r="O313" s="216">
        <v>0</v>
      </c>
      <c r="P313" s="257" t="s">
        <v>3</v>
      </c>
      <c r="T313" s="44"/>
      <c r="U313" s="44"/>
    </row>
    <row r="314" spans="1:21" s="39" customFormat="1" ht="37.5" customHeight="1" x14ac:dyDescent="0.25">
      <c r="A314" s="261"/>
      <c r="B314" s="283"/>
      <c r="C314" s="282"/>
      <c r="D314" s="148" t="s">
        <v>1</v>
      </c>
      <c r="E314" s="221">
        <v>0</v>
      </c>
      <c r="F314" s="115">
        <f t="shared" si="94"/>
        <v>2775.9</v>
      </c>
      <c r="G314" s="221">
        <v>2775.9</v>
      </c>
      <c r="H314" s="221">
        <v>0</v>
      </c>
      <c r="I314" s="294">
        <v>0</v>
      </c>
      <c r="J314" s="294"/>
      <c r="K314" s="294"/>
      <c r="L314" s="294"/>
      <c r="M314" s="294"/>
      <c r="N314" s="221">
        <v>0</v>
      </c>
      <c r="O314" s="221">
        <v>0</v>
      </c>
      <c r="P314" s="257"/>
    </row>
    <row r="315" spans="1:21" s="39" customFormat="1" ht="56.25" customHeight="1" x14ac:dyDescent="0.25">
      <c r="A315" s="261"/>
      <c r="B315" s="283"/>
      <c r="C315" s="282"/>
      <c r="D315" s="148" t="s">
        <v>47</v>
      </c>
      <c r="E315" s="221">
        <v>0</v>
      </c>
      <c r="F315" s="115">
        <f t="shared" si="94"/>
        <v>277.58999999999997</v>
      </c>
      <c r="G315" s="221">
        <v>277.58999999999997</v>
      </c>
      <c r="H315" s="221">
        <v>0</v>
      </c>
      <c r="I315" s="294">
        <v>0</v>
      </c>
      <c r="J315" s="294"/>
      <c r="K315" s="294"/>
      <c r="L315" s="294"/>
      <c r="M315" s="294"/>
      <c r="N315" s="221">
        <v>0</v>
      </c>
      <c r="O315" s="221">
        <v>0</v>
      </c>
      <c r="P315" s="257"/>
      <c r="Q315" s="40"/>
    </row>
    <row r="316" spans="1:21" s="39" customFormat="1" ht="37.5" customHeight="1" x14ac:dyDescent="0.25">
      <c r="A316" s="261"/>
      <c r="B316" s="283"/>
      <c r="C316" s="282"/>
      <c r="D316" s="148" t="s">
        <v>87</v>
      </c>
      <c r="E316" s="221"/>
      <c r="F316" s="115">
        <f t="shared" si="94"/>
        <v>0</v>
      </c>
      <c r="G316" s="221">
        <v>0</v>
      </c>
      <c r="H316" s="221">
        <v>0</v>
      </c>
      <c r="I316" s="294">
        <v>0</v>
      </c>
      <c r="J316" s="294"/>
      <c r="K316" s="294"/>
      <c r="L316" s="294"/>
      <c r="M316" s="294"/>
      <c r="N316" s="221">
        <v>0</v>
      </c>
      <c r="O316" s="221">
        <v>0</v>
      </c>
      <c r="P316" s="257"/>
      <c r="Q316" s="40"/>
    </row>
    <row r="317" spans="1:21" s="39" customFormat="1" ht="32.450000000000003" customHeight="1" x14ac:dyDescent="0.25">
      <c r="A317" s="261"/>
      <c r="B317" s="287" t="s">
        <v>166</v>
      </c>
      <c r="C317" s="278" t="s">
        <v>116</v>
      </c>
      <c r="D317" s="284" t="s">
        <v>116</v>
      </c>
      <c r="E317" s="215"/>
      <c r="F317" s="285" t="s">
        <v>117</v>
      </c>
      <c r="G317" s="212" t="s">
        <v>228</v>
      </c>
      <c r="H317" s="212" t="s">
        <v>229</v>
      </c>
      <c r="I317" s="277" t="s">
        <v>123</v>
      </c>
      <c r="J317" s="281" t="s">
        <v>118</v>
      </c>
      <c r="K317" s="281"/>
      <c r="L317" s="281"/>
      <c r="M317" s="281"/>
      <c r="N317" s="212" t="s">
        <v>124</v>
      </c>
      <c r="O317" s="212" t="s">
        <v>125</v>
      </c>
      <c r="P317" s="257" t="s">
        <v>116</v>
      </c>
      <c r="Q317" s="40"/>
    </row>
    <row r="318" spans="1:21" s="39" customFormat="1" ht="30.6" customHeight="1" x14ac:dyDescent="0.25">
      <c r="A318" s="261"/>
      <c r="B318" s="287"/>
      <c r="C318" s="278"/>
      <c r="D318" s="284"/>
      <c r="E318" s="215"/>
      <c r="F318" s="285"/>
      <c r="G318" s="215"/>
      <c r="H318" s="215"/>
      <c r="I318" s="277"/>
      <c r="J318" s="215" t="s">
        <v>119</v>
      </c>
      <c r="K318" s="215" t="s">
        <v>120</v>
      </c>
      <c r="L318" s="215" t="s">
        <v>121</v>
      </c>
      <c r="M318" s="215" t="s">
        <v>122</v>
      </c>
      <c r="N318" s="215"/>
      <c r="O318" s="215"/>
      <c r="P318" s="257"/>
      <c r="Q318" s="40"/>
    </row>
    <row r="319" spans="1:21" s="39" customFormat="1" ht="60.75" customHeight="1" x14ac:dyDescent="0.25">
      <c r="A319" s="262"/>
      <c r="B319" s="287"/>
      <c r="C319" s="278"/>
      <c r="D319" s="284"/>
      <c r="E319" s="215"/>
      <c r="F319" s="116">
        <f>H319+G319+I319+N319+O319</f>
        <v>1</v>
      </c>
      <c r="G319" s="106">
        <v>1</v>
      </c>
      <c r="H319" s="106">
        <v>0</v>
      </c>
      <c r="I319" s="106">
        <v>0</v>
      </c>
      <c r="J319" s="106">
        <v>0</v>
      </c>
      <c r="K319" s="106">
        <v>0</v>
      </c>
      <c r="L319" s="106">
        <v>0</v>
      </c>
      <c r="M319" s="106">
        <v>0</v>
      </c>
      <c r="N319" s="106">
        <v>0</v>
      </c>
      <c r="O319" s="106">
        <v>0</v>
      </c>
      <c r="P319" s="257"/>
      <c r="Q319" s="40"/>
    </row>
    <row r="320" spans="1:21" s="9" customFormat="1" ht="18.75" customHeight="1" x14ac:dyDescent="0.25">
      <c r="A320" s="274" t="s">
        <v>10</v>
      </c>
      <c r="B320" s="342" t="s">
        <v>149</v>
      </c>
      <c r="C320" s="342" t="s">
        <v>244</v>
      </c>
      <c r="D320" s="146" t="s">
        <v>2</v>
      </c>
      <c r="E320" s="227" t="e">
        <f>E322+E323+E321</f>
        <v>#REF!</v>
      </c>
      <c r="F320" s="115">
        <f t="shared" ref="F320:F328" si="105">SUM(G320:O320)</f>
        <v>20520.5</v>
      </c>
      <c r="G320" s="227">
        <f t="shared" ref="G320:H320" si="106">G321+G322+G323+G324</f>
        <v>9771.2999999999993</v>
      </c>
      <c r="H320" s="227">
        <f t="shared" si="106"/>
        <v>10749.2</v>
      </c>
      <c r="I320" s="308">
        <f>I321+I322+I323+I324</f>
        <v>0</v>
      </c>
      <c r="J320" s="308"/>
      <c r="K320" s="308"/>
      <c r="L320" s="308"/>
      <c r="M320" s="308"/>
      <c r="N320" s="227">
        <f t="shared" ref="N320:O320" si="107">N321+N322+N323+N324</f>
        <v>0</v>
      </c>
      <c r="O320" s="227">
        <f t="shared" si="107"/>
        <v>0</v>
      </c>
      <c r="P320" s="304"/>
      <c r="Q320" s="99"/>
      <c r="R320" s="99"/>
      <c r="S320" s="99"/>
      <c r="T320" s="44"/>
      <c r="U320" s="44"/>
    </row>
    <row r="321" spans="1:21" s="9" customFormat="1" ht="36.75" customHeight="1" x14ac:dyDescent="0.25">
      <c r="A321" s="274"/>
      <c r="B321" s="342"/>
      <c r="C321" s="342"/>
      <c r="D321" s="146" t="s">
        <v>40</v>
      </c>
      <c r="E321" s="211">
        <f>E435</f>
        <v>0</v>
      </c>
      <c r="F321" s="115">
        <f t="shared" si="105"/>
        <v>15390.374980000001</v>
      </c>
      <c r="G321" s="211">
        <f t="shared" ref="G321:H321" si="108">G325</f>
        <v>7328.47498</v>
      </c>
      <c r="H321" s="211">
        <f t="shared" si="108"/>
        <v>8061.9</v>
      </c>
      <c r="I321" s="276">
        <f>I325</f>
        <v>0</v>
      </c>
      <c r="J321" s="276"/>
      <c r="K321" s="276"/>
      <c r="L321" s="276"/>
      <c r="M321" s="276"/>
      <c r="N321" s="211">
        <f t="shared" ref="N321:O324" si="109">N325</f>
        <v>0</v>
      </c>
      <c r="O321" s="211">
        <f t="shared" si="109"/>
        <v>0</v>
      </c>
      <c r="P321" s="304"/>
      <c r="Q321" s="99"/>
      <c r="R321" s="99"/>
      <c r="S321" s="99"/>
      <c r="T321" s="44"/>
      <c r="U321" s="44"/>
    </row>
    <row r="322" spans="1:21" s="9" customFormat="1" ht="39.75" customHeight="1" x14ac:dyDescent="0.25">
      <c r="A322" s="274"/>
      <c r="B322" s="342"/>
      <c r="C322" s="342"/>
      <c r="D322" s="146" t="s">
        <v>1</v>
      </c>
      <c r="E322" s="211" t="e">
        <f>#REF!+E325+E326+#REF!+#REF!+#REF!+E436+E441</f>
        <v>#REF!</v>
      </c>
      <c r="F322" s="115">
        <f t="shared" si="105"/>
        <v>5130.1250200000004</v>
      </c>
      <c r="G322" s="211">
        <f t="shared" ref="G322:H322" si="110">G326</f>
        <v>2442.8250200000002</v>
      </c>
      <c r="H322" s="211">
        <f t="shared" si="110"/>
        <v>2687.3</v>
      </c>
      <c r="I322" s="276">
        <f>I326</f>
        <v>0</v>
      </c>
      <c r="J322" s="276"/>
      <c r="K322" s="276"/>
      <c r="L322" s="276"/>
      <c r="M322" s="276"/>
      <c r="N322" s="211">
        <f t="shared" si="109"/>
        <v>0</v>
      </c>
      <c r="O322" s="211">
        <f t="shared" si="109"/>
        <v>0</v>
      </c>
      <c r="P322" s="304"/>
      <c r="Q322" s="99"/>
      <c r="R322" s="99"/>
      <c r="S322" s="99"/>
      <c r="T322" s="44"/>
      <c r="U322" s="44"/>
    </row>
    <row r="323" spans="1:21" s="9" customFormat="1" ht="51.75" x14ac:dyDescent="0.25">
      <c r="A323" s="274"/>
      <c r="B323" s="342"/>
      <c r="C323" s="342"/>
      <c r="D323" s="146" t="s">
        <v>48</v>
      </c>
      <c r="E323" s="211" t="e">
        <f>#REF!+E420+#REF!+#REF!+#REF!+E437+E443</f>
        <v>#REF!</v>
      </c>
      <c r="F323" s="115">
        <f t="shared" si="105"/>
        <v>0</v>
      </c>
      <c r="G323" s="211">
        <f t="shared" ref="G323:H323" si="111">G327</f>
        <v>0</v>
      </c>
      <c r="H323" s="211">
        <f t="shared" si="111"/>
        <v>0</v>
      </c>
      <c r="I323" s="276">
        <f>I327</f>
        <v>0</v>
      </c>
      <c r="J323" s="276"/>
      <c r="K323" s="276"/>
      <c r="L323" s="276"/>
      <c r="M323" s="276"/>
      <c r="N323" s="211">
        <f t="shared" si="109"/>
        <v>0</v>
      </c>
      <c r="O323" s="211">
        <f t="shared" si="109"/>
        <v>0</v>
      </c>
      <c r="P323" s="304"/>
      <c r="Q323" s="99"/>
      <c r="R323" s="99"/>
      <c r="S323" s="99"/>
      <c r="T323" s="44"/>
      <c r="U323" s="44"/>
    </row>
    <row r="324" spans="1:21" s="9" customFormat="1" ht="34.5" x14ac:dyDescent="0.25">
      <c r="A324" s="274"/>
      <c r="B324" s="342"/>
      <c r="C324" s="342"/>
      <c r="D324" s="146" t="s">
        <v>87</v>
      </c>
      <c r="E324" s="211"/>
      <c r="F324" s="115">
        <f t="shared" si="105"/>
        <v>0</v>
      </c>
      <c r="G324" s="211">
        <f t="shared" ref="G324:H324" si="112">G328</f>
        <v>0</v>
      </c>
      <c r="H324" s="211">
        <f t="shared" si="112"/>
        <v>0</v>
      </c>
      <c r="I324" s="276">
        <f>I328</f>
        <v>0</v>
      </c>
      <c r="J324" s="276"/>
      <c r="K324" s="276"/>
      <c r="L324" s="276"/>
      <c r="M324" s="276"/>
      <c r="N324" s="211">
        <f t="shared" si="109"/>
        <v>0</v>
      </c>
      <c r="O324" s="211">
        <f t="shared" si="109"/>
        <v>0</v>
      </c>
      <c r="P324" s="304"/>
      <c r="Q324" s="99"/>
      <c r="R324" s="99"/>
      <c r="S324" s="99"/>
      <c r="T324" s="44"/>
      <c r="U324" s="44"/>
    </row>
    <row r="325" spans="1:21" s="39" customFormat="1" ht="68.45" customHeight="1" x14ac:dyDescent="0.25">
      <c r="A325" s="269" t="s">
        <v>58</v>
      </c>
      <c r="B325" s="366" t="s">
        <v>148</v>
      </c>
      <c r="C325" s="286" t="s">
        <v>244</v>
      </c>
      <c r="D325" s="150" t="s">
        <v>40</v>
      </c>
      <c r="E325" s="217">
        <v>200475</v>
      </c>
      <c r="F325" s="115">
        <f t="shared" si="105"/>
        <v>15390.374980000001</v>
      </c>
      <c r="G325" s="217">
        <v>7328.47498</v>
      </c>
      <c r="H325" s="217">
        <v>8061.9</v>
      </c>
      <c r="I325" s="290">
        <v>0</v>
      </c>
      <c r="J325" s="290"/>
      <c r="K325" s="290"/>
      <c r="L325" s="290"/>
      <c r="M325" s="290"/>
      <c r="N325" s="217">
        <v>0</v>
      </c>
      <c r="O325" s="217">
        <v>0</v>
      </c>
      <c r="P325" s="300" t="s">
        <v>3</v>
      </c>
      <c r="Q325" s="98"/>
      <c r="R325" s="98"/>
      <c r="S325" s="98"/>
    </row>
    <row r="326" spans="1:21" s="39" customFormat="1" ht="99.75" customHeight="1" x14ac:dyDescent="0.25">
      <c r="A326" s="269"/>
      <c r="B326" s="366"/>
      <c r="C326" s="286"/>
      <c r="D326" s="150" t="s">
        <v>1</v>
      </c>
      <c r="E326" s="217">
        <v>93</v>
      </c>
      <c r="F326" s="115">
        <f t="shared" si="105"/>
        <v>5130.1250200000004</v>
      </c>
      <c r="G326" s="217">
        <v>2442.8250200000002</v>
      </c>
      <c r="H326" s="217">
        <v>2687.3</v>
      </c>
      <c r="I326" s="290">
        <v>0</v>
      </c>
      <c r="J326" s="290"/>
      <c r="K326" s="290"/>
      <c r="L326" s="290"/>
      <c r="M326" s="290"/>
      <c r="N326" s="217">
        <v>0</v>
      </c>
      <c r="O326" s="217">
        <v>0</v>
      </c>
      <c r="P326" s="300"/>
      <c r="Q326" s="98"/>
      <c r="R326" s="98"/>
      <c r="S326" s="98"/>
    </row>
    <row r="327" spans="1:21" s="39" customFormat="1" ht="78" customHeight="1" x14ac:dyDescent="0.25">
      <c r="A327" s="269"/>
      <c r="B327" s="366"/>
      <c r="C327" s="286"/>
      <c r="D327" s="150" t="s">
        <v>47</v>
      </c>
      <c r="E327" s="217"/>
      <c r="F327" s="115">
        <f t="shared" si="105"/>
        <v>0</v>
      </c>
      <c r="G327" s="217">
        <v>0</v>
      </c>
      <c r="H327" s="217">
        <v>0</v>
      </c>
      <c r="I327" s="290">
        <v>0</v>
      </c>
      <c r="J327" s="290"/>
      <c r="K327" s="290"/>
      <c r="L327" s="290"/>
      <c r="M327" s="290"/>
      <c r="N327" s="217">
        <v>0</v>
      </c>
      <c r="O327" s="217">
        <v>0</v>
      </c>
      <c r="P327" s="300"/>
      <c r="Q327" s="98"/>
      <c r="R327" s="98"/>
      <c r="S327" s="98"/>
    </row>
    <row r="328" spans="1:21" s="39" customFormat="1" ht="77.25" customHeight="1" x14ac:dyDescent="0.25">
      <c r="A328" s="269"/>
      <c r="B328" s="366"/>
      <c r="C328" s="286"/>
      <c r="D328" s="150" t="s">
        <v>87</v>
      </c>
      <c r="E328" s="217"/>
      <c r="F328" s="115">
        <f t="shared" si="105"/>
        <v>0</v>
      </c>
      <c r="G328" s="217">
        <v>0</v>
      </c>
      <c r="H328" s="217">
        <v>0</v>
      </c>
      <c r="I328" s="290">
        <v>0</v>
      </c>
      <c r="J328" s="290"/>
      <c r="K328" s="290"/>
      <c r="L328" s="290"/>
      <c r="M328" s="290"/>
      <c r="N328" s="217">
        <v>0</v>
      </c>
      <c r="O328" s="217">
        <v>0</v>
      </c>
      <c r="P328" s="300"/>
      <c r="Q328" s="98"/>
      <c r="R328" s="98"/>
      <c r="S328" s="98"/>
    </row>
    <row r="329" spans="1:21" s="39" customFormat="1" ht="31.5" customHeight="1" x14ac:dyDescent="0.25">
      <c r="A329" s="269"/>
      <c r="B329" s="296" t="s">
        <v>206</v>
      </c>
      <c r="C329" s="278" t="s">
        <v>116</v>
      </c>
      <c r="D329" s="284" t="s">
        <v>116</v>
      </c>
      <c r="E329" s="215"/>
      <c r="F329" s="285" t="s">
        <v>117</v>
      </c>
      <c r="G329" s="212" t="s">
        <v>228</v>
      </c>
      <c r="H329" s="212" t="s">
        <v>229</v>
      </c>
      <c r="I329" s="277" t="s">
        <v>123</v>
      </c>
      <c r="J329" s="281" t="s">
        <v>118</v>
      </c>
      <c r="K329" s="281"/>
      <c r="L329" s="281"/>
      <c r="M329" s="281"/>
      <c r="N329" s="212" t="s">
        <v>124</v>
      </c>
      <c r="O329" s="212" t="s">
        <v>125</v>
      </c>
      <c r="P329" s="257" t="s">
        <v>116</v>
      </c>
      <c r="Q329" s="40"/>
    </row>
    <row r="330" spans="1:21" s="39" customFormat="1" ht="29.25" customHeight="1" x14ac:dyDescent="0.25">
      <c r="A330" s="269"/>
      <c r="B330" s="296"/>
      <c r="C330" s="278"/>
      <c r="D330" s="284"/>
      <c r="E330" s="215"/>
      <c r="F330" s="285"/>
      <c r="G330" s="215"/>
      <c r="H330" s="215"/>
      <c r="I330" s="277"/>
      <c r="J330" s="215" t="s">
        <v>119</v>
      </c>
      <c r="K330" s="215" t="s">
        <v>120</v>
      </c>
      <c r="L330" s="215" t="s">
        <v>121</v>
      </c>
      <c r="M330" s="215" t="s">
        <v>122</v>
      </c>
      <c r="N330" s="215"/>
      <c r="O330" s="215"/>
      <c r="P330" s="257"/>
      <c r="Q330" s="40"/>
    </row>
    <row r="331" spans="1:21" s="39" customFormat="1" ht="28.5" customHeight="1" x14ac:dyDescent="0.25">
      <c r="A331" s="269"/>
      <c r="B331" s="296"/>
      <c r="C331" s="278"/>
      <c r="D331" s="284"/>
      <c r="E331" s="215"/>
      <c r="F331" s="116">
        <v>23</v>
      </c>
      <c r="G331" s="106">
        <v>23</v>
      </c>
      <c r="H331" s="106">
        <v>23</v>
      </c>
      <c r="I331" s="106">
        <v>0</v>
      </c>
      <c r="J331" s="106">
        <v>0</v>
      </c>
      <c r="K331" s="106">
        <v>0</v>
      </c>
      <c r="L331" s="106">
        <v>0</v>
      </c>
      <c r="M331" s="106">
        <v>0</v>
      </c>
      <c r="N331" s="106">
        <v>0</v>
      </c>
      <c r="O331" s="106">
        <v>0</v>
      </c>
      <c r="P331" s="257"/>
      <c r="Q331" s="40"/>
    </row>
    <row r="332" spans="1:21" s="9" customFormat="1" ht="18.75" customHeight="1" x14ac:dyDescent="0.25">
      <c r="A332" s="274" t="s">
        <v>36</v>
      </c>
      <c r="B332" s="342" t="s">
        <v>225</v>
      </c>
      <c r="C332" s="342" t="s">
        <v>244</v>
      </c>
      <c r="D332" s="146" t="s">
        <v>2</v>
      </c>
      <c r="E332" s="227" t="e">
        <f>E333+E334+E335</f>
        <v>#REF!</v>
      </c>
      <c r="F332" s="115">
        <f t="shared" ref="F332:F339" si="113">SUM(G332:O332)</f>
        <v>31080.206989999999</v>
      </c>
      <c r="G332" s="227">
        <f>G333+G334+G335+G336</f>
        <v>15328.57841</v>
      </c>
      <c r="H332" s="227">
        <f>H333+H334+H335+H336</f>
        <v>15751.628580000001</v>
      </c>
      <c r="I332" s="308">
        <f>I333+I334+I335+I336</f>
        <v>0</v>
      </c>
      <c r="J332" s="308"/>
      <c r="K332" s="308"/>
      <c r="L332" s="308"/>
      <c r="M332" s="308"/>
      <c r="N332" s="227">
        <f t="shared" ref="N332:O332" si="114">N333+N334+N335+N336</f>
        <v>0</v>
      </c>
      <c r="O332" s="227">
        <f t="shared" si="114"/>
        <v>0</v>
      </c>
      <c r="P332" s="304"/>
      <c r="T332" s="44"/>
      <c r="U332" s="44"/>
    </row>
    <row r="333" spans="1:21" s="9" customFormat="1" ht="37.5" customHeight="1" x14ac:dyDescent="0.25">
      <c r="A333" s="274"/>
      <c r="B333" s="342"/>
      <c r="C333" s="342"/>
      <c r="D333" s="146" t="s">
        <v>40</v>
      </c>
      <c r="E333" s="211" t="e">
        <f>#REF!+E351</f>
        <v>#REF!</v>
      </c>
      <c r="F333" s="115">
        <f t="shared" si="113"/>
        <v>18351.37095</v>
      </c>
      <c r="G333" s="211">
        <f>G337+G344+G351</f>
        <v>7557.4963900000002</v>
      </c>
      <c r="H333" s="211">
        <f>H337+H344+H351</f>
        <v>10793.87456</v>
      </c>
      <c r="I333" s="276">
        <f>I337+I344+I351</f>
        <v>0</v>
      </c>
      <c r="J333" s="276"/>
      <c r="K333" s="276"/>
      <c r="L333" s="276"/>
      <c r="M333" s="276"/>
      <c r="N333" s="211">
        <f>N337+N344+N351</f>
        <v>0</v>
      </c>
      <c r="O333" s="211">
        <f>O337+O344+O351</f>
        <v>0</v>
      </c>
      <c r="P333" s="304"/>
      <c r="T333" s="44"/>
      <c r="U333" s="44"/>
    </row>
    <row r="334" spans="1:21" s="9" customFormat="1" ht="39.75" customHeight="1" x14ac:dyDescent="0.25">
      <c r="A334" s="274"/>
      <c r="B334" s="342"/>
      <c r="C334" s="342"/>
      <c r="D334" s="146" t="s">
        <v>1</v>
      </c>
      <c r="E334" s="211" t="e">
        <f>#REF!+E352+E345+#REF!+#REF!</f>
        <v>#REF!</v>
      </c>
      <c r="F334" s="115">
        <f t="shared" si="113"/>
        <v>6117.1236699999999</v>
      </c>
      <c r="G334" s="211">
        <f>G338+G345+G352</f>
        <v>2519.1654699999999</v>
      </c>
      <c r="H334" s="211">
        <f>H338+H345+H352</f>
        <v>3597.9582</v>
      </c>
      <c r="I334" s="276">
        <f t="shared" ref="I334:I336" si="115">I338+I345+I352</f>
        <v>0</v>
      </c>
      <c r="J334" s="276"/>
      <c r="K334" s="276"/>
      <c r="L334" s="276"/>
      <c r="M334" s="276"/>
      <c r="N334" s="211">
        <f t="shared" ref="N334:O334" si="116">N338+N345+N352</f>
        <v>0</v>
      </c>
      <c r="O334" s="211">
        <f t="shared" si="116"/>
        <v>0</v>
      </c>
      <c r="P334" s="304"/>
      <c r="T334" s="44"/>
      <c r="U334" s="44"/>
    </row>
    <row r="335" spans="1:21" s="9" customFormat="1" ht="58.5" customHeight="1" x14ac:dyDescent="0.25">
      <c r="A335" s="274"/>
      <c r="B335" s="342"/>
      <c r="C335" s="342"/>
      <c r="D335" s="146" t="s">
        <v>48</v>
      </c>
      <c r="E335" s="211" t="e">
        <f>#REF!+E353+E346+#REF!+#REF!+#REF!</f>
        <v>#REF!</v>
      </c>
      <c r="F335" s="115">
        <f t="shared" si="113"/>
        <v>6611.7123699999993</v>
      </c>
      <c r="G335" s="211">
        <f t="shared" ref="G335:H335" si="117">G339+G346+G353</f>
        <v>5251.9165499999999</v>
      </c>
      <c r="H335" s="211">
        <f t="shared" si="117"/>
        <v>1359.7958199999998</v>
      </c>
      <c r="I335" s="276">
        <f t="shared" si="115"/>
        <v>0</v>
      </c>
      <c r="J335" s="276"/>
      <c r="K335" s="276"/>
      <c r="L335" s="276"/>
      <c r="M335" s="276"/>
      <c r="N335" s="211">
        <f t="shared" ref="N335:O335" si="118">N339+N346+N353</f>
        <v>0</v>
      </c>
      <c r="O335" s="211">
        <f t="shared" si="118"/>
        <v>0</v>
      </c>
      <c r="P335" s="304"/>
      <c r="T335" s="44"/>
      <c r="U335" s="44"/>
    </row>
    <row r="336" spans="1:21" s="9" customFormat="1" ht="34.5" x14ac:dyDescent="0.25">
      <c r="A336" s="274"/>
      <c r="B336" s="342"/>
      <c r="C336" s="342"/>
      <c r="D336" s="146" t="s">
        <v>87</v>
      </c>
      <c r="E336" s="211"/>
      <c r="F336" s="115">
        <f t="shared" si="113"/>
        <v>0</v>
      </c>
      <c r="G336" s="211">
        <f t="shared" ref="G336:H336" si="119">G340+G347+G354</f>
        <v>0</v>
      </c>
      <c r="H336" s="211">
        <f t="shared" si="119"/>
        <v>0</v>
      </c>
      <c r="I336" s="276">
        <f t="shared" si="115"/>
        <v>0</v>
      </c>
      <c r="J336" s="276"/>
      <c r="K336" s="276"/>
      <c r="L336" s="276"/>
      <c r="M336" s="276"/>
      <c r="N336" s="211">
        <f t="shared" ref="N336:O336" si="120">N340+N347+N354</f>
        <v>0</v>
      </c>
      <c r="O336" s="211">
        <f t="shared" si="120"/>
        <v>0</v>
      </c>
      <c r="P336" s="304"/>
      <c r="T336" s="44"/>
      <c r="U336" s="44"/>
    </row>
    <row r="337" spans="1:17" s="39" customFormat="1" ht="49.9" customHeight="1" x14ac:dyDescent="0.25">
      <c r="A337" s="254" t="s">
        <v>54</v>
      </c>
      <c r="B337" s="341" t="s">
        <v>142</v>
      </c>
      <c r="C337" s="286" t="s">
        <v>244</v>
      </c>
      <c r="D337" s="149" t="s">
        <v>40</v>
      </c>
      <c r="E337" s="217">
        <v>2407.6675399999999</v>
      </c>
      <c r="F337" s="115">
        <f t="shared" si="113"/>
        <v>8995.4685600000012</v>
      </c>
      <c r="G337" s="217">
        <v>7557.4963900000002</v>
      </c>
      <c r="H337" s="217">
        <v>1437.97217</v>
      </c>
      <c r="I337" s="290">
        <v>0</v>
      </c>
      <c r="J337" s="290"/>
      <c r="K337" s="290"/>
      <c r="L337" s="290"/>
      <c r="M337" s="290"/>
      <c r="N337" s="217">
        <v>0</v>
      </c>
      <c r="O337" s="217">
        <v>0</v>
      </c>
      <c r="P337" s="300" t="s">
        <v>3</v>
      </c>
    </row>
    <row r="338" spans="1:17" s="39" customFormat="1" ht="34.5" x14ac:dyDescent="0.25">
      <c r="A338" s="255"/>
      <c r="B338" s="341"/>
      <c r="C338" s="286"/>
      <c r="D338" s="149" t="s">
        <v>1</v>
      </c>
      <c r="E338" s="217">
        <v>802.55584999999996</v>
      </c>
      <c r="F338" s="115">
        <f t="shared" si="113"/>
        <v>2998.4895299999998</v>
      </c>
      <c r="G338" s="217">
        <v>2519.1654699999999</v>
      </c>
      <c r="H338" s="217">
        <v>479.32405999999997</v>
      </c>
      <c r="I338" s="290">
        <v>0</v>
      </c>
      <c r="J338" s="290"/>
      <c r="K338" s="290"/>
      <c r="L338" s="290"/>
      <c r="M338" s="290"/>
      <c r="N338" s="217">
        <v>0</v>
      </c>
      <c r="O338" s="217">
        <v>0</v>
      </c>
      <c r="P338" s="300"/>
    </row>
    <row r="339" spans="1:17" s="39" customFormat="1" ht="51.75" x14ac:dyDescent="0.25">
      <c r="A339" s="255"/>
      <c r="B339" s="341"/>
      <c r="C339" s="286"/>
      <c r="D339" s="149" t="s">
        <v>49</v>
      </c>
      <c r="E339" s="217">
        <v>80.255589999999998</v>
      </c>
      <c r="F339" s="115">
        <f t="shared" si="113"/>
        <v>299.84895</v>
      </c>
      <c r="G339" s="217">
        <v>251.91655</v>
      </c>
      <c r="H339" s="217">
        <v>47.932400000000001</v>
      </c>
      <c r="I339" s="290">
        <v>0</v>
      </c>
      <c r="J339" s="290"/>
      <c r="K339" s="290"/>
      <c r="L339" s="290"/>
      <c r="M339" s="290"/>
      <c r="N339" s="217">
        <v>0</v>
      </c>
      <c r="O339" s="217">
        <v>0</v>
      </c>
      <c r="P339" s="300"/>
    </row>
    <row r="340" spans="1:17" s="39" customFormat="1" ht="34.5" x14ac:dyDescent="0.25">
      <c r="A340" s="255"/>
      <c r="B340" s="341"/>
      <c r="C340" s="286"/>
      <c r="D340" s="149" t="s">
        <v>87</v>
      </c>
      <c r="E340" s="217"/>
      <c r="F340" s="115">
        <f t="shared" ref="F340" si="121">SUM(H340:O340)</f>
        <v>0</v>
      </c>
      <c r="G340" s="217">
        <v>0</v>
      </c>
      <c r="H340" s="217">
        <v>0</v>
      </c>
      <c r="I340" s="290">
        <v>0</v>
      </c>
      <c r="J340" s="290"/>
      <c r="K340" s="290"/>
      <c r="L340" s="290"/>
      <c r="M340" s="290"/>
      <c r="N340" s="217">
        <v>0</v>
      </c>
      <c r="O340" s="217">
        <v>0</v>
      </c>
      <c r="P340" s="300"/>
    </row>
    <row r="341" spans="1:17" s="39" customFormat="1" ht="32.25" customHeight="1" x14ac:dyDescent="0.25">
      <c r="A341" s="255"/>
      <c r="B341" s="296" t="s">
        <v>167</v>
      </c>
      <c r="C341" s="278" t="s">
        <v>116</v>
      </c>
      <c r="D341" s="284" t="s">
        <v>116</v>
      </c>
      <c r="E341" s="215"/>
      <c r="F341" s="285" t="s">
        <v>117</v>
      </c>
      <c r="G341" s="212" t="s">
        <v>228</v>
      </c>
      <c r="H341" s="212" t="s">
        <v>229</v>
      </c>
      <c r="I341" s="277" t="s">
        <v>123</v>
      </c>
      <c r="J341" s="281" t="s">
        <v>118</v>
      </c>
      <c r="K341" s="281"/>
      <c r="L341" s="281"/>
      <c r="M341" s="281"/>
      <c r="N341" s="212" t="s">
        <v>124</v>
      </c>
      <c r="O341" s="212" t="s">
        <v>125</v>
      </c>
      <c r="P341" s="257" t="s">
        <v>116</v>
      </c>
      <c r="Q341" s="40"/>
    </row>
    <row r="342" spans="1:17" s="39" customFormat="1" ht="27" customHeight="1" x14ac:dyDescent="0.25">
      <c r="A342" s="255"/>
      <c r="B342" s="296"/>
      <c r="C342" s="278"/>
      <c r="D342" s="284"/>
      <c r="E342" s="215"/>
      <c r="F342" s="285"/>
      <c r="G342" s="215"/>
      <c r="H342" s="215"/>
      <c r="I342" s="277"/>
      <c r="J342" s="215" t="s">
        <v>119</v>
      </c>
      <c r="K342" s="215" t="s">
        <v>120</v>
      </c>
      <c r="L342" s="215" t="s">
        <v>121</v>
      </c>
      <c r="M342" s="215" t="s">
        <v>122</v>
      </c>
      <c r="N342" s="215"/>
      <c r="O342" s="215"/>
      <c r="P342" s="257"/>
      <c r="Q342" s="40"/>
    </row>
    <row r="343" spans="1:17" s="39" customFormat="1" ht="23.25" customHeight="1" x14ac:dyDescent="0.25">
      <c r="A343" s="256"/>
      <c r="B343" s="296"/>
      <c r="C343" s="278"/>
      <c r="D343" s="284"/>
      <c r="E343" s="215"/>
      <c r="F343" s="116">
        <f>I343+H343+G343+N343+O343</f>
        <v>8</v>
      </c>
      <c r="G343" s="106">
        <v>5</v>
      </c>
      <c r="H343" s="106">
        <v>3</v>
      </c>
      <c r="I343" s="106">
        <v>0</v>
      </c>
      <c r="J343" s="106">
        <v>0</v>
      </c>
      <c r="K343" s="106">
        <v>0</v>
      </c>
      <c r="L343" s="106">
        <v>0</v>
      </c>
      <c r="M343" s="106">
        <v>0</v>
      </c>
      <c r="N343" s="106">
        <v>0</v>
      </c>
      <c r="O343" s="106">
        <v>0</v>
      </c>
      <c r="P343" s="257"/>
      <c r="Q343" s="40"/>
    </row>
    <row r="344" spans="1:17" s="39" customFormat="1" ht="44.25" customHeight="1" x14ac:dyDescent="0.25">
      <c r="A344" s="269" t="s">
        <v>264</v>
      </c>
      <c r="B344" s="341" t="s">
        <v>104</v>
      </c>
      <c r="C344" s="286" t="s">
        <v>244</v>
      </c>
      <c r="D344" s="149" t="s">
        <v>40</v>
      </c>
      <c r="E344" s="217"/>
      <c r="F344" s="115">
        <f t="shared" ref="F344:F347" si="122">SUM(G344:O344)</f>
        <v>0</v>
      </c>
      <c r="G344" s="217">
        <v>0</v>
      </c>
      <c r="H344" s="217">
        <v>0</v>
      </c>
      <c r="I344" s="290">
        <v>0</v>
      </c>
      <c r="J344" s="290"/>
      <c r="K344" s="290"/>
      <c r="L344" s="290"/>
      <c r="M344" s="290"/>
      <c r="N344" s="217">
        <v>0</v>
      </c>
      <c r="O344" s="217">
        <v>0</v>
      </c>
      <c r="P344" s="301" t="s">
        <v>3</v>
      </c>
    </row>
    <row r="345" spans="1:17" s="39" customFormat="1" ht="34.5" x14ac:dyDescent="0.25">
      <c r="A345" s="269"/>
      <c r="B345" s="341"/>
      <c r="C345" s="286"/>
      <c r="D345" s="149" t="s">
        <v>1</v>
      </c>
      <c r="E345" s="214">
        <v>497</v>
      </c>
      <c r="F345" s="115">
        <f t="shared" si="122"/>
        <v>0</v>
      </c>
      <c r="G345" s="214">
        <v>0</v>
      </c>
      <c r="H345" s="214">
        <v>0</v>
      </c>
      <c r="I345" s="280">
        <v>0</v>
      </c>
      <c r="J345" s="280"/>
      <c r="K345" s="280"/>
      <c r="L345" s="280"/>
      <c r="M345" s="280"/>
      <c r="N345" s="214">
        <v>0</v>
      </c>
      <c r="O345" s="214">
        <v>0</v>
      </c>
      <c r="P345" s="301"/>
    </row>
    <row r="346" spans="1:17" s="39" customFormat="1" ht="58.5" customHeight="1" x14ac:dyDescent="0.25">
      <c r="A346" s="269"/>
      <c r="B346" s="341"/>
      <c r="C346" s="286"/>
      <c r="D346" s="149" t="s">
        <v>49</v>
      </c>
      <c r="E346" s="214">
        <v>1488.3896299999999</v>
      </c>
      <c r="F346" s="115">
        <f t="shared" si="122"/>
        <v>6000</v>
      </c>
      <c r="G346" s="214">
        <v>5000</v>
      </c>
      <c r="H346" s="214">
        <v>1000</v>
      </c>
      <c r="I346" s="280">
        <v>0</v>
      </c>
      <c r="J346" s="280"/>
      <c r="K346" s="280"/>
      <c r="L346" s="280"/>
      <c r="M346" s="280"/>
      <c r="N346" s="214">
        <v>0</v>
      </c>
      <c r="O346" s="214">
        <v>0</v>
      </c>
      <c r="P346" s="301"/>
    </row>
    <row r="347" spans="1:17" s="39" customFormat="1" ht="34.5" customHeight="1" x14ac:dyDescent="0.25">
      <c r="A347" s="269"/>
      <c r="B347" s="341"/>
      <c r="C347" s="286"/>
      <c r="D347" s="149" t="s">
        <v>87</v>
      </c>
      <c r="E347" s="214"/>
      <c r="F347" s="115">
        <f t="shared" si="122"/>
        <v>0</v>
      </c>
      <c r="G347" s="214">
        <v>0</v>
      </c>
      <c r="H347" s="214">
        <v>0</v>
      </c>
      <c r="I347" s="280">
        <v>0</v>
      </c>
      <c r="J347" s="280"/>
      <c r="K347" s="280"/>
      <c r="L347" s="280"/>
      <c r="M347" s="280"/>
      <c r="N347" s="214">
        <v>0</v>
      </c>
      <c r="O347" s="214">
        <v>0</v>
      </c>
      <c r="P347" s="301"/>
    </row>
    <row r="348" spans="1:17" s="39" customFormat="1" ht="32.450000000000003" customHeight="1" x14ac:dyDescent="0.25">
      <c r="A348" s="269"/>
      <c r="B348" s="296" t="s">
        <v>168</v>
      </c>
      <c r="C348" s="278" t="s">
        <v>116</v>
      </c>
      <c r="D348" s="284" t="s">
        <v>116</v>
      </c>
      <c r="E348" s="215"/>
      <c r="F348" s="285" t="s">
        <v>117</v>
      </c>
      <c r="G348" s="212" t="s">
        <v>228</v>
      </c>
      <c r="H348" s="212" t="s">
        <v>229</v>
      </c>
      <c r="I348" s="277" t="s">
        <v>123</v>
      </c>
      <c r="J348" s="281" t="s">
        <v>118</v>
      </c>
      <c r="K348" s="281"/>
      <c r="L348" s="281"/>
      <c r="M348" s="281"/>
      <c r="N348" s="212" t="s">
        <v>124</v>
      </c>
      <c r="O348" s="212" t="s">
        <v>125</v>
      </c>
      <c r="P348" s="257" t="s">
        <v>116</v>
      </c>
      <c r="Q348" s="40"/>
    </row>
    <row r="349" spans="1:17" s="39" customFormat="1" ht="34.5" customHeight="1" x14ac:dyDescent="0.25">
      <c r="A349" s="269"/>
      <c r="B349" s="296"/>
      <c r="C349" s="278"/>
      <c r="D349" s="284"/>
      <c r="E349" s="215"/>
      <c r="F349" s="285"/>
      <c r="G349" s="215"/>
      <c r="H349" s="215"/>
      <c r="I349" s="277"/>
      <c r="J349" s="215" t="s">
        <v>119</v>
      </c>
      <c r="K349" s="215" t="s">
        <v>120</v>
      </c>
      <c r="L349" s="215" t="s">
        <v>121</v>
      </c>
      <c r="M349" s="215" t="s">
        <v>122</v>
      </c>
      <c r="N349" s="215"/>
      <c r="O349" s="215"/>
      <c r="P349" s="257"/>
      <c r="Q349" s="40"/>
    </row>
    <row r="350" spans="1:17" s="39" customFormat="1" ht="22.5" customHeight="1" x14ac:dyDescent="0.25">
      <c r="A350" s="269"/>
      <c r="B350" s="296"/>
      <c r="C350" s="278"/>
      <c r="D350" s="284"/>
      <c r="E350" s="215"/>
      <c r="F350" s="116">
        <f>I350+H350+G350+N350+O350</f>
        <v>8</v>
      </c>
      <c r="G350" s="106">
        <v>5</v>
      </c>
      <c r="H350" s="106">
        <v>3</v>
      </c>
      <c r="I350" s="106">
        <v>0</v>
      </c>
      <c r="J350" s="106">
        <v>0</v>
      </c>
      <c r="K350" s="106">
        <v>0</v>
      </c>
      <c r="L350" s="106">
        <v>0</v>
      </c>
      <c r="M350" s="106">
        <v>0</v>
      </c>
      <c r="N350" s="106">
        <v>0</v>
      </c>
      <c r="O350" s="106">
        <v>0</v>
      </c>
      <c r="P350" s="257"/>
      <c r="Q350" s="40"/>
    </row>
    <row r="351" spans="1:17" s="39" customFormat="1" ht="34.5" x14ac:dyDescent="0.25">
      <c r="A351" s="269" t="s">
        <v>265</v>
      </c>
      <c r="B351" s="341" t="s">
        <v>137</v>
      </c>
      <c r="C351" s="286" t="s">
        <v>46</v>
      </c>
      <c r="D351" s="149" t="s">
        <v>40</v>
      </c>
      <c r="E351" s="217">
        <v>3107.4</v>
      </c>
      <c r="F351" s="115">
        <f t="shared" ref="F351:F354" si="123">SUM(G351:O351)</f>
        <v>9355.9023899999993</v>
      </c>
      <c r="G351" s="217">
        <v>0</v>
      </c>
      <c r="H351" s="217">
        <v>9355.9023899999993</v>
      </c>
      <c r="I351" s="290">
        <v>0</v>
      </c>
      <c r="J351" s="290"/>
      <c r="K351" s="290"/>
      <c r="L351" s="290"/>
      <c r="M351" s="290"/>
      <c r="N351" s="217">
        <v>0</v>
      </c>
      <c r="O351" s="217">
        <v>0</v>
      </c>
      <c r="P351" s="300" t="s">
        <v>3</v>
      </c>
    </row>
    <row r="352" spans="1:17" s="39" customFormat="1" ht="34.5" x14ac:dyDescent="0.25">
      <c r="A352" s="269"/>
      <c r="B352" s="341"/>
      <c r="C352" s="286"/>
      <c r="D352" s="149" t="s">
        <v>1</v>
      </c>
      <c r="E352" s="217">
        <v>1035.8</v>
      </c>
      <c r="F352" s="115">
        <f t="shared" si="123"/>
        <v>3118.6341400000001</v>
      </c>
      <c r="G352" s="217">
        <v>0</v>
      </c>
      <c r="H352" s="217">
        <v>3118.6341400000001</v>
      </c>
      <c r="I352" s="290">
        <v>0</v>
      </c>
      <c r="J352" s="290"/>
      <c r="K352" s="290"/>
      <c r="L352" s="290"/>
      <c r="M352" s="290"/>
      <c r="N352" s="217">
        <v>0</v>
      </c>
      <c r="O352" s="217">
        <v>0</v>
      </c>
      <c r="P352" s="300"/>
    </row>
    <row r="353" spans="1:20" s="39" customFormat="1" ht="51.75" x14ac:dyDescent="0.25">
      <c r="A353" s="269"/>
      <c r="B353" s="341"/>
      <c r="C353" s="286"/>
      <c r="D353" s="149" t="s">
        <v>49</v>
      </c>
      <c r="E353" s="217">
        <v>103.58</v>
      </c>
      <c r="F353" s="115">
        <f t="shared" si="123"/>
        <v>311.86342000000002</v>
      </c>
      <c r="G353" s="217">
        <v>0</v>
      </c>
      <c r="H353" s="217">
        <v>311.86342000000002</v>
      </c>
      <c r="I353" s="290">
        <v>0</v>
      </c>
      <c r="J353" s="290"/>
      <c r="K353" s="290"/>
      <c r="L353" s="290"/>
      <c r="M353" s="290"/>
      <c r="N353" s="217">
        <v>0</v>
      </c>
      <c r="O353" s="217">
        <v>0</v>
      </c>
      <c r="P353" s="300"/>
    </row>
    <row r="354" spans="1:20" s="39" customFormat="1" ht="34.5" x14ac:dyDescent="0.25">
      <c r="A354" s="269"/>
      <c r="B354" s="341"/>
      <c r="C354" s="286"/>
      <c r="D354" s="149" t="s">
        <v>87</v>
      </c>
      <c r="E354" s="217"/>
      <c r="F354" s="115">
        <f t="shared" si="123"/>
        <v>0</v>
      </c>
      <c r="G354" s="217">
        <v>0</v>
      </c>
      <c r="H354" s="217">
        <v>0</v>
      </c>
      <c r="I354" s="290">
        <v>0</v>
      </c>
      <c r="J354" s="290"/>
      <c r="K354" s="290"/>
      <c r="L354" s="290"/>
      <c r="M354" s="290"/>
      <c r="N354" s="217">
        <v>0</v>
      </c>
      <c r="O354" s="217">
        <v>0</v>
      </c>
      <c r="P354" s="300"/>
    </row>
    <row r="355" spans="1:20" s="39" customFormat="1" ht="33" customHeight="1" x14ac:dyDescent="0.25">
      <c r="A355" s="269"/>
      <c r="B355" s="296" t="s">
        <v>169</v>
      </c>
      <c r="C355" s="278" t="s">
        <v>116</v>
      </c>
      <c r="D355" s="284" t="s">
        <v>116</v>
      </c>
      <c r="E355" s="215"/>
      <c r="F355" s="285" t="s">
        <v>117</v>
      </c>
      <c r="G355" s="212" t="s">
        <v>228</v>
      </c>
      <c r="H355" s="212" t="s">
        <v>229</v>
      </c>
      <c r="I355" s="277" t="s">
        <v>123</v>
      </c>
      <c r="J355" s="281" t="s">
        <v>118</v>
      </c>
      <c r="K355" s="281"/>
      <c r="L355" s="281"/>
      <c r="M355" s="281"/>
      <c r="N355" s="212" t="s">
        <v>124</v>
      </c>
      <c r="O355" s="212" t="s">
        <v>125</v>
      </c>
      <c r="P355" s="257" t="s">
        <v>116</v>
      </c>
      <c r="Q355" s="40"/>
    </row>
    <row r="356" spans="1:20" s="39" customFormat="1" ht="25.9" customHeight="1" x14ac:dyDescent="0.25">
      <c r="A356" s="269"/>
      <c r="B356" s="296"/>
      <c r="C356" s="278"/>
      <c r="D356" s="284"/>
      <c r="E356" s="215"/>
      <c r="F356" s="285"/>
      <c r="G356" s="215"/>
      <c r="H356" s="215"/>
      <c r="I356" s="277"/>
      <c r="J356" s="215" t="s">
        <v>119</v>
      </c>
      <c r="K356" s="215" t="s">
        <v>120</v>
      </c>
      <c r="L356" s="215" t="s">
        <v>121</v>
      </c>
      <c r="M356" s="215" t="s">
        <v>122</v>
      </c>
      <c r="N356" s="215"/>
      <c r="O356" s="215"/>
      <c r="P356" s="257"/>
      <c r="Q356" s="40"/>
    </row>
    <row r="357" spans="1:20" s="39" customFormat="1" ht="33" customHeight="1" x14ac:dyDescent="0.25">
      <c r="A357" s="269"/>
      <c r="B357" s="296"/>
      <c r="C357" s="278"/>
      <c r="D357" s="284"/>
      <c r="E357" s="215"/>
      <c r="F357" s="116">
        <f>I357+H357+G357+N357+O357</f>
        <v>3</v>
      </c>
      <c r="G357" s="106">
        <v>0</v>
      </c>
      <c r="H357" s="106">
        <v>3</v>
      </c>
      <c r="I357" s="106">
        <v>0</v>
      </c>
      <c r="J357" s="106">
        <v>0</v>
      </c>
      <c r="K357" s="106">
        <v>0</v>
      </c>
      <c r="L357" s="106">
        <v>0</v>
      </c>
      <c r="M357" s="106">
        <v>0</v>
      </c>
      <c r="N357" s="106">
        <v>0</v>
      </c>
      <c r="O357" s="106">
        <v>0</v>
      </c>
      <c r="P357" s="257"/>
      <c r="Q357" s="40"/>
    </row>
    <row r="358" spans="1:20" s="9" customFormat="1" ht="18.75" customHeight="1" x14ac:dyDescent="0.25">
      <c r="A358" s="267" t="s">
        <v>11</v>
      </c>
      <c r="B358" s="336" t="s">
        <v>226</v>
      </c>
      <c r="C358" s="299" t="s">
        <v>244</v>
      </c>
      <c r="D358" s="153" t="s">
        <v>2</v>
      </c>
      <c r="E358" s="222" t="e">
        <f>E360+E361+E359</f>
        <v>#REF!</v>
      </c>
      <c r="F358" s="115">
        <f t="shared" ref="F358:F366" si="124">SUM(G358:O358)</f>
        <v>132135</v>
      </c>
      <c r="G358" s="222">
        <f t="shared" ref="G358:H358" si="125">G359+G360+G361+G362</f>
        <v>69708</v>
      </c>
      <c r="H358" s="222">
        <f t="shared" si="125"/>
        <v>62427</v>
      </c>
      <c r="I358" s="292">
        <f>I359+I360+I361+I362</f>
        <v>0</v>
      </c>
      <c r="J358" s="292"/>
      <c r="K358" s="292"/>
      <c r="L358" s="292"/>
      <c r="M358" s="292"/>
      <c r="N358" s="222">
        <f t="shared" ref="N358:O358" si="126">N359+N360+N361+N362</f>
        <v>0</v>
      </c>
      <c r="O358" s="222">
        <f t="shared" si="126"/>
        <v>0</v>
      </c>
      <c r="P358" s="295"/>
      <c r="T358" s="44"/>
    </row>
    <row r="359" spans="1:20" s="9" customFormat="1" ht="39" customHeight="1" x14ac:dyDescent="0.25">
      <c r="A359" s="267"/>
      <c r="B359" s="336"/>
      <c r="C359" s="299"/>
      <c r="D359" s="154" t="s">
        <v>40</v>
      </c>
      <c r="E359" s="213" t="e">
        <f>E408</f>
        <v>#REF!</v>
      </c>
      <c r="F359" s="115">
        <f t="shared" si="124"/>
        <v>0</v>
      </c>
      <c r="G359" s="213">
        <f>G363</f>
        <v>0</v>
      </c>
      <c r="H359" s="213">
        <f>H363</f>
        <v>0</v>
      </c>
      <c r="I359" s="279">
        <f>I363</f>
        <v>0</v>
      </c>
      <c r="J359" s="279"/>
      <c r="K359" s="279"/>
      <c r="L359" s="279"/>
      <c r="M359" s="279"/>
      <c r="N359" s="213">
        <f>N363</f>
        <v>0</v>
      </c>
      <c r="O359" s="213">
        <f>O363</f>
        <v>0</v>
      </c>
      <c r="P359" s="295"/>
      <c r="T359" s="44"/>
    </row>
    <row r="360" spans="1:20" s="9" customFormat="1" ht="36.75" customHeight="1" x14ac:dyDescent="0.25">
      <c r="A360" s="267"/>
      <c r="B360" s="336"/>
      <c r="C360" s="299"/>
      <c r="D360" s="154" t="s">
        <v>1</v>
      </c>
      <c r="E360" s="213" t="e">
        <f>E364+E409</f>
        <v>#REF!</v>
      </c>
      <c r="F360" s="115">
        <f t="shared" si="124"/>
        <v>81615</v>
      </c>
      <c r="G360" s="213">
        <f t="shared" ref="G360:I360" si="127">G364</f>
        <v>42661</v>
      </c>
      <c r="H360" s="213">
        <f t="shared" si="127"/>
        <v>38954</v>
      </c>
      <c r="I360" s="279">
        <f t="shared" si="127"/>
        <v>0</v>
      </c>
      <c r="J360" s="279"/>
      <c r="K360" s="279"/>
      <c r="L360" s="279"/>
      <c r="M360" s="279"/>
      <c r="N360" s="213">
        <f t="shared" ref="N360:O360" si="128">N364</f>
        <v>0</v>
      </c>
      <c r="O360" s="213">
        <f t="shared" si="128"/>
        <v>0</v>
      </c>
      <c r="P360" s="295"/>
      <c r="T360" s="44"/>
    </row>
    <row r="361" spans="1:20" s="9" customFormat="1" ht="57" customHeight="1" x14ac:dyDescent="0.25">
      <c r="A361" s="267"/>
      <c r="B361" s="336"/>
      <c r="C361" s="299"/>
      <c r="D361" s="154" t="s">
        <v>47</v>
      </c>
      <c r="E361" s="226" t="e">
        <f>E365+E410</f>
        <v>#REF!</v>
      </c>
      <c r="F361" s="115">
        <f t="shared" si="124"/>
        <v>50520</v>
      </c>
      <c r="G361" s="213">
        <f t="shared" ref="G361:I361" si="129">G365</f>
        <v>27047</v>
      </c>
      <c r="H361" s="213">
        <f t="shared" si="129"/>
        <v>23473</v>
      </c>
      <c r="I361" s="279">
        <f t="shared" si="129"/>
        <v>0</v>
      </c>
      <c r="J361" s="279"/>
      <c r="K361" s="279"/>
      <c r="L361" s="279"/>
      <c r="M361" s="279"/>
      <c r="N361" s="213">
        <f t="shared" ref="N361:O361" si="130">N365</f>
        <v>0</v>
      </c>
      <c r="O361" s="213">
        <f t="shared" si="130"/>
        <v>0</v>
      </c>
      <c r="P361" s="295"/>
      <c r="T361" s="44"/>
    </row>
    <row r="362" spans="1:20" s="9" customFormat="1" ht="34.5" x14ac:dyDescent="0.25">
      <c r="A362" s="267"/>
      <c r="B362" s="336"/>
      <c r="C362" s="299"/>
      <c r="D362" s="154" t="s">
        <v>87</v>
      </c>
      <c r="E362" s="226"/>
      <c r="F362" s="115">
        <f t="shared" si="124"/>
        <v>0</v>
      </c>
      <c r="G362" s="213">
        <f t="shared" ref="G362:I362" si="131">G366</f>
        <v>0</v>
      </c>
      <c r="H362" s="213">
        <f t="shared" si="131"/>
        <v>0</v>
      </c>
      <c r="I362" s="279">
        <f t="shared" si="131"/>
        <v>0</v>
      </c>
      <c r="J362" s="279"/>
      <c r="K362" s="279"/>
      <c r="L362" s="279"/>
      <c r="M362" s="279"/>
      <c r="N362" s="213">
        <f t="shared" ref="N362:O362" si="132">N366</f>
        <v>0</v>
      </c>
      <c r="O362" s="213">
        <f t="shared" si="132"/>
        <v>0</v>
      </c>
      <c r="P362" s="295"/>
      <c r="T362" s="44"/>
    </row>
    <row r="363" spans="1:20" s="9" customFormat="1" ht="46.5" customHeight="1" x14ac:dyDescent="0.25">
      <c r="A363" s="260" t="s">
        <v>105</v>
      </c>
      <c r="B363" s="283" t="s">
        <v>107</v>
      </c>
      <c r="C363" s="282" t="s">
        <v>244</v>
      </c>
      <c r="D363" s="150" t="s">
        <v>40</v>
      </c>
      <c r="E363" s="235"/>
      <c r="F363" s="115">
        <f t="shared" si="124"/>
        <v>0</v>
      </c>
      <c r="G363" s="235">
        <v>0</v>
      </c>
      <c r="H363" s="235">
        <v>0</v>
      </c>
      <c r="I363" s="309">
        <v>0</v>
      </c>
      <c r="J363" s="309"/>
      <c r="K363" s="309"/>
      <c r="L363" s="309"/>
      <c r="M363" s="309"/>
      <c r="N363" s="235">
        <v>0</v>
      </c>
      <c r="O363" s="235">
        <v>0</v>
      </c>
      <c r="P363" s="297" t="s">
        <v>3</v>
      </c>
      <c r="T363" s="44"/>
    </row>
    <row r="364" spans="1:20" s="39" customFormat="1" ht="34.5" x14ac:dyDescent="0.25">
      <c r="A364" s="261"/>
      <c r="B364" s="283"/>
      <c r="C364" s="282"/>
      <c r="D364" s="148" t="s">
        <v>1</v>
      </c>
      <c r="E364" s="221">
        <v>34122</v>
      </c>
      <c r="F364" s="115">
        <f t="shared" si="124"/>
        <v>81615</v>
      </c>
      <c r="G364" s="221">
        <v>42661</v>
      </c>
      <c r="H364" s="221">
        <v>38954</v>
      </c>
      <c r="I364" s="294">
        <v>0</v>
      </c>
      <c r="J364" s="294"/>
      <c r="K364" s="294"/>
      <c r="L364" s="294"/>
      <c r="M364" s="294"/>
      <c r="N364" s="221">
        <v>0</v>
      </c>
      <c r="O364" s="221">
        <v>0</v>
      </c>
      <c r="P364" s="297"/>
    </row>
    <row r="365" spans="1:20" s="39" customFormat="1" ht="51.75" x14ac:dyDescent="0.25">
      <c r="A365" s="261"/>
      <c r="B365" s="283"/>
      <c r="C365" s="282"/>
      <c r="D365" s="148" t="s">
        <v>47</v>
      </c>
      <c r="E365" s="221">
        <v>20473</v>
      </c>
      <c r="F365" s="115">
        <f t="shared" si="124"/>
        <v>50520</v>
      </c>
      <c r="G365" s="221">
        <v>27047</v>
      </c>
      <c r="H365" s="221">
        <v>23473</v>
      </c>
      <c r="I365" s="294">
        <v>0</v>
      </c>
      <c r="J365" s="294"/>
      <c r="K365" s="294"/>
      <c r="L365" s="294"/>
      <c r="M365" s="294"/>
      <c r="N365" s="221">
        <v>0</v>
      </c>
      <c r="O365" s="221">
        <v>0</v>
      </c>
      <c r="P365" s="297"/>
    </row>
    <row r="366" spans="1:20" s="39" customFormat="1" ht="45.75" customHeight="1" x14ac:dyDescent="0.25">
      <c r="A366" s="262"/>
      <c r="B366" s="283"/>
      <c r="C366" s="282"/>
      <c r="D366" s="148" t="s">
        <v>87</v>
      </c>
      <c r="E366" s="221"/>
      <c r="F366" s="115">
        <f t="shared" si="124"/>
        <v>0</v>
      </c>
      <c r="G366" s="221">
        <v>0</v>
      </c>
      <c r="H366" s="221">
        <v>0</v>
      </c>
      <c r="I366" s="294">
        <v>0</v>
      </c>
      <c r="J366" s="294"/>
      <c r="K366" s="294"/>
      <c r="L366" s="294"/>
      <c r="M366" s="294"/>
      <c r="N366" s="221">
        <v>0</v>
      </c>
      <c r="O366" s="221">
        <v>0</v>
      </c>
      <c r="P366" s="297"/>
    </row>
    <row r="367" spans="1:20" s="39" customFormat="1" ht="90.75" customHeight="1" x14ac:dyDescent="0.25">
      <c r="A367" s="260"/>
      <c r="B367" s="296" t="s">
        <v>170</v>
      </c>
      <c r="C367" s="278" t="s">
        <v>116</v>
      </c>
      <c r="D367" s="284" t="s">
        <v>116</v>
      </c>
      <c r="E367" s="215"/>
      <c r="F367" s="285" t="s">
        <v>117</v>
      </c>
      <c r="G367" s="212" t="s">
        <v>228</v>
      </c>
      <c r="H367" s="212" t="s">
        <v>229</v>
      </c>
      <c r="I367" s="277" t="s">
        <v>123</v>
      </c>
      <c r="J367" s="281" t="s">
        <v>118</v>
      </c>
      <c r="K367" s="281"/>
      <c r="L367" s="281"/>
      <c r="M367" s="281"/>
      <c r="N367" s="212" t="s">
        <v>124</v>
      </c>
      <c r="O367" s="212" t="s">
        <v>125</v>
      </c>
      <c r="P367" s="257" t="s">
        <v>116</v>
      </c>
      <c r="Q367" s="40"/>
    </row>
    <row r="368" spans="1:20" s="39" customFormat="1" ht="66" customHeight="1" x14ac:dyDescent="0.25">
      <c r="A368" s="261"/>
      <c r="B368" s="296"/>
      <c r="C368" s="278"/>
      <c r="D368" s="284"/>
      <c r="E368" s="215"/>
      <c r="F368" s="285"/>
      <c r="G368" s="215"/>
      <c r="H368" s="215"/>
      <c r="I368" s="277"/>
      <c r="J368" s="215" t="s">
        <v>119</v>
      </c>
      <c r="K368" s="215" t="s">
        <v>120</v>
      </c>
      <c r="L368" s="215" t="s">
        <v>121</v>
      </c>
      <c r="M368" s="215" t="s">
        <v>122</v>
      </c>
      <c r="N368" s="215"/>
      <c r="O368" s="215"/>
      <c r="P368" s="257"/>
      <c r="Q368" s="40"/>
    </row>
    <row r="369" spans="1:20" s="39" customFormat="1" ht="117" customHeight="1" x14ac:dyDescent="0.25">
      <c r="A369" s="262"/>
      <c r="B369" s="296"/>
      <c r="C369" s="278"/>
      <c r="D369" s="284"/>
      <c r="E369" s="215"/>
      <c r="F369" s="116">
        <v>77</v>
      </c>
      <c r="G369" s="106">
        <v>77</v>
      </c>
      <c r="H369" s="106">
        <v>77</v>
      </c>
      <c r="I369" s="185" t="s">
        <v>254</v>
      </c>
      <c r="J369" s="185" t="s">
        <v>254</v>
      </c>
      <c r="K369" s="185" t="s">
        <v>254</v>
      </c>
      <c r="L369" s="185" t="s">
        <v>254</v>
      </c>
      <c r="M369" s="185" t="s">
        <v>254</v>
      </c>
      <c r="N369" s="185" t="s">
        <v>254</v>
      </c>
      <c r="O369" s="185" t="s">
        <v>254</v>
      </c>
      <c r="P369" s="257"/>
      <c r="Q369" s="190" t="s">
        <v>274</v>
      </c>
    </row>
    <row r="370" spans="1:20" s="168" customFormat="1" ht="27.75" customHeight="1" x14ac:dyDescent="0.25">
      <c r="A370" s="267" t="s">
        <v>12</v>
      </c>
      <c r="B370" s="336" t="s">
        <v>232</v>
      </c>
      <c r="C370" s="299" t="s">
        <v>82</v>
      </c>
      <c r="D370" s="153" t="s">
        <v>2</v>
      </c>
      <c r="E370" s="222">
        <f>E372+E373+E371</f>
        <v>54595</v>
      </c>
      <c r="F370" s="115">
        <f t="shared" ref="F370:F380" si="133">SUM(G370:O370)</f>
        <v>7411.7963</v>
      </c>
      <c r="G370" s="222">
        <f t="shared" ref="G370:H370" si="134">G371+G372+G373+G374</f>
        <v>0</v>
      </c>
      <c r="H370" s="222">
        <f t="shared" si="134"/>
        <v>0</v>
      </c>
      <c r="I370" s="292">
        <f>I371+I372+I373+I374</f>
        <v>7411.7963</v>
      </c>
      <c r="J370" s="292"/>
      <c r="K370" s="292"/>
      <c r="L370" s="292"/>
      <c r="M370" s="292"/>
      <c r="N370" s="222">
        <f t="shared" ref="N370:O370" si="135">N371+N372+N373+N374</f>
        <v>0</v>
      </c>
      <c r="O370" s="222">
        <f t="shared" si="135"/>
        <v>0</v>
      </c>
      <c r="P370" s="295"/>
      <c r="T370" s="170"/>
    </row>
    <row r="371" spans="1:20" s="168" customFormat="1" ht="37.5" customHeight="1" x14ac:dyDescent="0.25">
      <c r="A371" s="267"/>
      <c r="B371" s="336"/>
      <c r="C371" s="299"/>
      <c r="D371" s="154" t="s">
        <v>40</v>
      </c>
      <c r="E371" s="213">
        <f>E420</f>
        <v>0</v>
      </c>
      <c r="F371" s="115">
        <f t="shared" si="133"/>
        <v>4734.44427</v>
      </c>
      <c r="G371" s="213">
        <f>G375</f>
        <v>0</v>
      </c>
      <c r="H371" s="213">
        <f>H375</f>
        <v>0</v>
      </c>
      <c r="I371" s="279">
        <f>I375</f>
        <v>4734.44427</v>
      </c>
      <c r="J371" s="279"/>
      <c r="K371" s="279"/>
      <c r="L371" s="279"/>
      <c r="M371" s="279"/>
      <c r="N371" s="213">
        <f>N375</f>
        <v>0</v>
      </c>
      <c r="O371" s="213">
        <f>O375</f>
        <v>0</v>
      </c>
      <c r="P371" s="295"/>
      <c r="T371" s="170"/>
    </row>
    <row r="372" spans="1:20" s="168" customFormat="1" ht="34.5" x14ac:dyDescent="0.25">
      <c r="A372" s="267"/>
      <c r="B372" s="336"/>
      <c r="C372" s="299"/>
      <c r="D372" s="154" t="s">
        <v>1</v>
      </c>
      <c r="E372" s="213">
        <f>E376+E421</f>
        <v>34122</v>
      </c>
      <c r="F372" s="115">
        <f t="shared" si="133"/>
        <v>2433.9563899999998</v>
      </c>
      <c r="G372" s="213">
        <f t="shared" ref="G372:I372" si="136">G376</f>
        <v>0</v>
      </c>
      <c r="H372" s="213">
        <f t="shared" si="136"/>
        <v>0</v>
      </c>
      <c r="I372" s="279">
        <f t="shared" si="136"/>
        <v>2433.9563899999998</v>
      </c>
      <c r="J372" s="279"/>
      <c r="K372" s="279"/>
      <c r="L372" s="279"/>
      <c r="M372" s="279"/>
      <c r="N372" s="213">
        <f t="shared" ref="N372:O372" si="137">N376</f>
        <v>0</v>
      </c>
      <c r="O372" s="213">
        <f t="shared" si="137"/>
        <v>0</v>
      </c>
      <c r="P372" s="295"/>
      <c r="T372" s="170"/>
    </row>
    <row r="373" spans="1:20" s="168" customFormat="1" ht="57" customHeight="1" x14ac:dyDescent="0.25">
      <c r="A373" s="267"/>
      <c r="B373" s="336"/>
      <c r="C373" s="299"/>
      <c r="D373" s="154" t="s">
        <v>47</v>
      </c>
      <c r="E373" s="226">
        <f>E377+E422</f>
        <v>20473</v>
      </c>
      <c r="F373" s="115">
        <f t="shared" si="133"/>
        <v>243.39564000000018</v>
      </c>
      <c r="G373" s="213">
        <f t="shared" ref="G373:I373" si="138">G377</f>
        <v>0</v>
      </c>
      <c r="H373" s="213">
        <f t="shared" si="138"/>
        <v>0</v>
      </c>
      <c r="I373" s="279">
        <f t="shared" si="138"/>
        <v>243.39564000000018</v>
      </c>
      <c r="J373" s="279"/>
      <c r="K373" s="279"/>
      <c r="L373" s="279"/>
      <c r="M373" s="279"/>
      <c r="N373" s="226">
        <f t="shared" ref="N373:O373" si="139">N377</f>
        <v>0</v>
      </c>
      <c r="O373" s="226">
        <f t="shared" si="139"/>
        <v>0</v>
      </c>
      <c r="P373" s="295"/>
      <c r="T373" s="170"/>
    </row>
    <row r="374" spans="1:20" s="168" customFormat="1" ht="34.5" customHeight="1" x14ac:dyDescent="0.25">
      <c r="A374" s="267"/>
      <c r="B374" s="336"/>
      <c r="C374" s="299"/>
      <c r="D374" s="154" t="s">
        <v>87</v>
      </c>
      <c r="E374" s="226"/>
      <c r="F374" s="115">
        <f t="shared" si="133"/>
        <v>0</v>
      </c>
      <c r="G374" s="213">
        <f t="shared" ref="G374:I374" si="140">G378</f>
        <v>0</v>
      </c>
      <c r="H374" s="213">
        <f t="shared" si="140"/>
        <v>0</v>
      </c>
      <c r="I374" s="279">
        <f t="shared" si="140"/>
        <v>0</v>
      </c>
      <c r="J374" s="279"/>
      <c r="K374" s="279"/>
      <c r="L374" s="279"/>
      <c r="M374" s="279"/>
      <c r="N374" s="226">
        <f t="shared" ref="N374:O374" si="141">N378</f>
        <v>0</v>
      </c>
      <c r="O374" s="226">
        <f t="shared" si="141"/>
        <v>0</v>
      </c>
      <c r="P374" s="295"/>
      <c r="T374" s="170"/>
    </row>
    <row r="375" spans="1:20" s="168" customFormat="1" ht="34.5" x14ac:dyDescent="0.25">
      <c r="A375" s="268" t="s">
        <v>106</v>
      </c>
      <c r="B375" s="283" t="s">
        <v>233</v>
      </c>
      <c r="C375" s="282" t="s">
        <v>82</v>
      </c>
      <c r="D375" s="150" t="s">
        <v>40</v>
      </c>
      <c r="E375" s="235"/>
      <c r="F375" s="115">
        <f t="shared" si="133"/>
        <v>4734.44427</v>
      </c>
      <c r="G375" s="235">
        <v>0</v>
      </c>
      <c r="H375" s="235">
        <v>0</v>
      </c>
      <c r="I375" s="432">
        <v>4734.44427</v>
      </c>
      <c r="J375" s="432"/>
      <c r="K375" s="432"/>
      <c r="L375" s="432"/>
      <c r="M375" s="432"/>
      <c r="N375" s="236">
        <v>0</v>
      </c>
      <c r="O375" s="236">
        <v>0</v>
      </c>
      <c r="P375" s="297" t="s">
        <v>3</v>
      </c>
      <c r="T375" s="170"/>
    </row>
    <row r="376" spans="1:20" s="77" customFormat="1" ht="34.5" x14ac:dyDescent="0.25">
      <c r="A376" s="268"/>
      <c r="B376" s="283"/>
      <c r="C376" s="282"/>
      <c r="D376" s="148" t="s">
        <v>1</v>
      </c>
      <c r="E376" s="221">
        <v>34122</v>
      </c>
      <c r="F376" s="115">
        <f t="shared" si="133"/>
        <v>2433.9563899999998</v>
      </c>
      <c r="G376" s="221">
        <v>0</v>
      </c>
      <c r="H376" s="221">
        <v>0</v>
      </c>
      <c r="I376" s="294">
        <f>2434-0.04361</f>
        <v>2433.9563899999998</v>
      </c>
      <c r="J376" s="294"/>
      <c r="K376" s="294"/>
      <c r="L376" s="294"/>
      <c r="M376" s="294"/>
      <c r="N376" s="221">
        <v>0</v>
      </c>
      <c r="O376" s="221">
        <v>0</v>
      </c>
      <c r="P376" s="297"/>
    </row>
    <row r="377" spans="1:20" s="77" customFormat="1" ht="51.75" x14ac:dyDescent="0.25">
      <c r="A377" s="268"/>
      <c r="B377" s="283"/>
      <c r="C377" s="282"/>
      <c r="D377" s="148" t="s">
        <v>47</v>
      </c>
      <c r="E377" s="221">
        <v>20473</v>
      </c>
      <c r="F377" s="115">
        <f t="shared" si="133"/>
        <v>243.39564000000018</v>
      </c>
      <c r="G377" s="221">
        <v>0</v>
      </c>
      <c r="H377" s="221">
        <v>0</v>
      </c>
      <c r="I377" s="294">
        <f>2434-2190.60436</f>
        <v>243.39564000000018</v>
      </c>
      <c r="J377" s="294"/>
      <c r="K377" s="294"/>
      <c r="L377" s="294"/>
      <c r="M377" s="294"/>
      <c r="N377" s="224">
        <v>0</v>
      </c>
      <c r="O377" s="224">
        <v>0</v>
      </c>
      <c r="P377" s="297"/>
    </row>
    <row r="378" spans="1:20" s="77" customFormat="1" ht="39.75" customHeight="1" x14ac:dyDescent="0.25">
      <c r="A378" s="268"/>
      <c r="B378" s="283"/>
      <c r="C378" s="282"/>
      <c r="D378" s="148" t="s">
        <v>87</v>
      </c>
      <c r="E378" s="221"/>
      <c r="F378" s="115">
        <f t="shared" si="133"/>
        <v>0</v>
      </c>
      <c r="G378" s="221">
        <v>0</v>
      </c>
      <c r="H378" s="221">
        <v>0</v>
      </c>
      <c r="I378" s="294">
        <v>0</v>
      </c>
      <c r="J378" s="294"/>
      <c r="K378" s="294"/>
      <c r="L378" s="294"/>
      <c r="M378" s="294"/>
      <c r="N378" s="221">
        <v>0</v>
      </c>
      <c r="O378" s="221">
        <v>0</v>
      </c>
      <c r="P378" s="297"/>
    </row>
    <row r="379" spans="1:20" s="77" customFormat="1" ht="31.9" customHeight="1" x14ac:dyDescent="0.25">
      <c r="A379" s="268"/>
      <c r="B379" s="296" t="s">
        <v>234</v>
      </c>
      <c r="C379" s="278" t="s">
        <v>116</v>
      </c>
      <c r="D379" s="284" t="s">
        <v>116</v>
      </c>
      <c r="E379" s="215"/>
      <c r="F379" s="285">
        <f t="shared" si="133"/>
        <v>0</v>
      </c>
      <c r="G379" s="212" t="s">
        <v>211</v>
      </c>
      <c r="H379" s="212" t="s">
        <v>212</v>
      </c>
      <c r="I379" s="277" t="s">
        <v>123</v>
      </c>
      <c r="J379" s="281" t="s">
        <v>118</v>
      </c>
      <c r="K379" s="281"/>
      <c r="L379" s="281"/>
      <c r="M379" s="281"/>
      <c r="N379" s="212" t="s">
        <v>124</v>
      </c>
      <c r="O379" s="212" t="s">
        <v>125</v>
      </c>
      <c r="P379" s="257" t="s">
        <v>116</v>
      </c>
      <c r="Q379" s="81"/>
    </row>
    <row r="380" spans="1:20" s="77" customFormat="1" ht="33" customHeight="1" x14ac:dyDescent="0.25">
      <c r="A380" s="268"/>
      <c r="B380" s="296"/>
      <c r="C380" s="278"/>
      <c r="D380" s="284"/>
      <c r="E380" s="215"/>
      <c r="F380" s="285">
        <f t="shared" si="133"/>
        <v>0</v>
      </c>
      <c r="G380" s="215"/>
      <c r="H380" s="215"/>
      <c r="I380" s="277"/>
      <c r="J380" s="215" t="s">
        <v>119</v>
      </c>
      <c r="K380" s="215" t="s">
        <v>120</v>
      </c>
      <c r="L380" s="215" t="s">
        <v>121</v>
      </c>
      <c r="M380" s="215" t="s">
        <v>122</v>
      </c>
      <c r="N380" s="215"/>
      <c r="O380" s="215"/>
      <c r="P380" s="257"/>
      <c r="Q380" s="81"/>
    </row>
    <row r="381" spans="1:20" s="77" customFormat="1" ht="34.5" customHeight="1" x14ac:dyDescent="0.25">
      <c r="A381" s="268"/>
      <c r="B381" s="296"/>
      <c r="C381" s="278"/>
      <c r="D381" s="284"/>
      <c r="E381" s="215"/>
      <c r="F381" s="116">
        <f>I381</f>
        <v>19</v>
      </c>
      <c r="G381" s="106">
        <v>0</v>
      </c>
      <c r="H381" s="106">
        <v>0</v>
      </c>
      <c r="I381" s="106">
        <v>19</v>
      </c>
      <c r="J381" s="106">
        <v>0</v>
      </c>
      <c r="K381" s="106">
        <v>0</v>
      </c>
      <c r="L381" s="106">
        <v>0</v>
      </c>
      <c r="M381" s="106">
        <v>19</v>
      </c>
      <c r="N381" s="106">
        <v>0</v>
      </c>
      <c r="O381" s="106">
        <v>0</v>
      </c>
      <c r="P381" s="257"/>
      <c r="Q381" s="81"/>
    </row>
    <row r="382" spans="1:20" s="168" customFormat="1" ht="18.75" x14ac:dyDescent="0.25">
      <c r="A382" s="267" t="s">
        <v>14</v>
      </c>
      <c r="B382" s="336" t="s">
        <v>224</v>
      </c>
      <c r="C382" s="299" t="s">
        <v>242</v>
      </c>
      <c r="D382" s="153" t="s">
        <v>2</v>
      </c>
      <c r="E382" s="222">
        <f>E384+E385+E383</f>
        <v>54595</v>
      </c>
      <c r="F382" s="115">
        <f t="shared" ref="F382:F415" si="142">SUM(G382:O382)</f>
        <v>841999.03639000002</v>
      </c>
      <c r="G382" s="222">
        <f t="shared" ref="G382:H382" si="143">G383+G384+G385+G386</f>
        <v>0</v>
      </c>
      <c r="H382" s="222">
        <f t="shared" si="143"/>
        <v>0</v>
      </c>
      <c r="I382" s="292">
        <f>I383+I384+I385+I386</f>
        <v>280506.91638999997</v>
      </c>
      <c r="J382" s="292"/>
      <c r="K382" s="292"/>
      <c r="L382" s="292"/>
      <c r="M382" s="292"/>
      <c r="N382" s="222">
        <f t="shared" ref="N382:O382" si="144">N383+N384+N385+N386</f>
        <v>280626.56</v>
      </c>
      <c r="O382" s="222">
        <f t="shared" si="144"/>
        <v>280865.56</v>
      </c>
      <c r="P382" s="295"/>
      <c r="T382" s="170"/>
    </row>
    <row r="383" spans="1:20" s="168" customFormat="1" ht="34.5" x14ac:dyDescent="0.25">
      <c r="A383" s="267"/>
      <c r="B383" s="336"/>
      <c r="C383" s="299"/>
      <c r="D383" s="154" t="s">
        <v>40</v>
      </c>
      <c r="E383" s="213">
        <f>E439</f>
        <v>0</v>
      </c>
      <c r="F383" s="115">
        <f t="shared" si="142"/>
        <v>830069.43827000004</v>
      </c>
      <c r="G383" s="213">
        <f t="shared" ref="G383:I386" si="145">G387+G401</f>
        <v>0</v>
      </c>
      <c r="H383" s="213">
        <f t="shared" si="145"/>
        <v>0</v>
      </c>
      <c r="I383" s="279">
        <f>I387+I401+I394</f>
        <v>277120.61492999998</v>
      </c>
      <c r="J383" s="279"/>
      <c r="K383" s="279"/>
      <c r="L383" s="279"/>
      <c r="M383" s="279"/>
      <c r="N383" s="213">
        <f>N387+N401+N394</f>
        <v>276660.00334</v>
      </c>
      <c r="O383" s="213">
        <f>O387+O401+O394</f>
        <v>276288.82</v>
      </c>
      <c r="P383" s="295"/>
      <c r="T383" s="170"/>
    </row>
    <row r="384" spans="1:20" s="168" customFormat="1" ht="34.5" x14ac:dyDescent="0.25">
      <c r="A384" s="267"/>
      <c r="B384" s="336"/>
      <c r="C384" s="299"/>
      <c r="D384" s="154" t="s">
        <v>1</v>
      </c>
      <c r="E384" s="213">
        <f>E388+E440</f>
        <v>34122</v>
      </c>
      <c r="F384" s="115">
        <f t="shared" si="142"/>
        <v>11929.598119999999</v>
      </c>
      <c r="G384" s="213">
        <f t="shared" si="145"/>
        <v>0</v>
      </c>
      <c r="H384" s="213">
        <f t="shared" si="145"/>
        <v>0</v>
      </c>
      <c r="I384" s="279">
        <f t="shared" si="145"/>
        <v>3386.3014599999997</v>
      </c>
      <c r="J384" s="279"/>
      <c r="K384" s="279"/>
      <c r="L384" s="279"/>
      <c r="M384" s="279"/>
      <c r="N384" s="213">
        <f t="shared" ref="N384:O384" si="146">N388+N402+N395</f>
        <v>3966.5566600000002</v>
      </c>
      <c r="O384" s="213">
        <f t="shared" si="146"/>
        <v>4576.74</v>
      </c>
      <c r="P384" s="295"/>
      <c r="T384" s="170"/>
    </row>
    <row r="385" spans="1:20" s="168" customFormat="1" ht="51.75" x14ac:dyDescent="0.25">
      <c r="A385" s="267"/>
      <c r="B385" s="336"/>
      <c r="C385" s="299"/>
      <c r="D385" s="154" t="s">
        <v>47</v>
      </c>
      <c r="E385" s="226">
        <f>E389+E441</f>
        <v>20473</v>
      </c>
      <c r="F385" s="115">
        <f t="shared" si="142"/>
        <v>0</v>
      </c>
      <c r="G385" s="226">
        <f t="shared" si="145"/>
        <v>0</v>
      </c>
      <c r="H385" s="226">
        <f t="shared" si="145"/>
        <v>0</v>
      </c>
      <c r="I385" s="307">
        <f t="shared" si="145"/>
        <v>0</v>
      </c>
      <c r="J385" s="307"/>
      <c r="K385" s="307"/>
      <c r="L385" s="307"/>
      <c r="M385" s="307"/>
      <c r="N385" s="213">
        <f t="shared" ref="N385:O385" si="147">N389+N403+N396</f>
        <v>0</v>
      </c>
      <c r="O385" s="213">
        <f t="shared" si="147"/>
        <v>0</v>
      </c>
      <c r="P385" s="295"/>
      <c r="T385" s="170"/>
    </row>
    <row r="386" spans="1:20" s="168" customFormat="1" ht="34.5" x14ac:dyDescent="0.25">
      <c r="A386" s="267"/>
      <c r="B386" s="336"/>
      <c r="C386" s="299"/>
      <c r="D386" s="154" t="s">
        <v>87</v>
      </c>
      <c r="E386" s="226"/>
      <c r="F386" s="115">
        <f t="shared" si="142"/>
        <v>0</v>
      </c>
      <c r="G386" s="226">
        <f t="shared" si="145"/>
        <v>0</v>
      </c>
      <c r="H386" s="226">
        <f t="shared" si="145"/>
        <v>0</v>
      </c>
      <c r="I386" s="307">
        <f t="shared" si="145"/>
        <v>0</v>
      </c>
      <c r="J386" s="307"/>
      <c r="K386" s="307"/>
      <c r="L386" s="307"/>
      <c r="M386" s="307"/>
      <c r="N386" s="213">
        <f t="shared" ref="N386:O386" si="148">N390+N404+N397</f>
        <v>0</v>
      </c>
      <c r="O386" s="213">
        <f t="shared" si="148"/>
        <v>0</v>
      </c>
      <c r="P386" s="295"/>
      <c r="T386" s="170"/>
    </row>
    <row r="387" spans="1:20" s="168" customFormat="1" ht="34.5" x14ac:dyDescent="0.25">
      <c r="A387" s="268" t="s">
        <v>266</v>
      </c>
      <c r="B387" s="283" t="s">
        <v>221</v>
      </c>
      <c r="C387" s="282" t="s">
        <v>242</v>
      </c>
      <c r="D387" s="150" t="s">
        <v>40</v>
      </c>
      <c r="E387" s="235"/>
      <c r="F387" s="115">
        <f t="shared" si="142"/>
        <v>27777.638270000003</v>
      </c>
      <c r="G387" s="235">
        <v>0</v>
      </c>
      <c r="H387" s="235">
        <v>0</v>
      </c>
      <c r="I387" s="337">
        <f>9637.94+0.00372-0.00879</f>
        <v>9637.9349300000013</v>
      </c>
      <c r="J387" s="337"/>
      <c r="K387" s="337"/>
      <c r="L387" s="337"/>
      <c r="M387" s="337"/>
      <c r="N387" s="236">
        <f>9255.33+0.11334</f>
        <v>9255.4433399999998</v>
      </c>
      <c r="O387" s="236">
        <f>8884.27-0.01</f>
        <v>8884.26</v>
      </c>
      <c r="P387" s="297" t="s">
        <v>240</v>
      </c>
      <c r="T387" s="170"/>
    </row>
    <row r="388" spans="1:20" s="77" customFormat="1" ht="34.5" x14ac:dyDescent="0.25">
      <c r="A388" s="268"/>
      <c r="B388" s="283"/>
      <c r="C388" s="282"/>
      <c r="D388" s="148" t="s">
        <v>1</v>
      </c>
      <c r="E388" s="221">
        <v>34122</v>
      </c>
      <c r="F388" s="115">
        <f t="shared" si="142"/>
        <v>11929.598119999999</v>
      </c>
      <c r="G388" s="221">
        <v>0</v>
      </c>
      <c r="H388" s="221">
        <v>0</v>
      </c>
      <c r="I388" s="305">
        <f>3387.06-0.00372-0.75482</f>
        <v>3386.3014599999997</v>
      </c>
      <c r="J388" s="305"/>
      <c r="K388" s="305"/>
      <c r="L388" s="305"/>
      <c r="M388" s="305"/>
      <c r="N388" s="219">
        <f>3966.67-0.11334</f>
        <v>3966.5566600000002</v>
      </c>
      <c r="O388" s="219">
        <f>4576.73+0.01</f>
        <v>4576.74</v>
      </c>
      <c r="P388" s="297"/>
    </row>
    <row r="389" spans="1:20" s="77" customFormat="1" ht="51.75" x14ac:dyDescent="0.25">
      <c r="A389" s="268"/>
      <c r="B389" s="283"/>
      <c r="C389" s="282"/>
      <c r="D389" s="148" t="s">
        <v>47</v>
      </c>
      <c r="E389" s="221">
        <v>20473</v>
      </c>
      <c r="F389" s="115">
        <f t="shared" si="142"/>
        <v>0</v>
      </c>
      <c r="G389" s="221">
        <v>0</v>
      </c>
      <c r="H389" s="221">
        <v>0</v>
      </c>
      <c r="I389" s="306">
        <v>0</v>
      </c>
      <c r="J389" s="306"/>
      <c r="K389" s="306"/>
      <c r="L389" s="306"/>
      <c r="M389" s="306"/>
      <c r="N389" s="224">
        <v>0</v>
      </c>
      <c r="O389" s="224">
        <v>0</v>
      </c>
      <c r="P389" s="297"/>
    </row>
    <row r="390" spans="1:20" s="77" customFormat="1" ht="34.5" x14ac:dyDescent="0.25">
      <c r="A390" s="268"/>
      <c r="B390" s="283"/>
      <c r="C390" s="282"/>
      <c r="D390" s="148" t="s">
        <v>87</v>
      </c>
      <c r="E390" s="221"/>
      <c r="F390" s="115">
        <f t="shared" si="142"/>
        <v>0</v>
      </c>
      <c r="G390" s="221">
        <v>0</v>
      </c>
      <c r="H390" s="221">
        <v>0</v>
      </c>
      <c r="I390" s="294">
        <v>0</v>
      </c>
      <c r="J390" s="294"/>
      <c r="K390" s="294"/>
      <c r="L390" s="294"/>
      <c r="M390" s="294"/>
      <c r="N390" s="221">
        <v>0</v>
      </c>
      <c r="O390" s="221">
        <v>0</v>
      </c>
      <c r="P390" s="297"/>
    </row>
    <row r="391" spans="1:20" s="77" customFormat="1" ht="31.5" customHeight="1" x14ac:dyDescent="0.25">
      <c r="A391" s="268"/>
      <c r="B391" s="296" t="s">
        <v>279</v>
      </c>
      <c r="C391" s="278" t="s">
        <v>116</v>
      </c>
      <c r="D391" s="284" t="s">
        <v>116</v>
      </c>
      <c r="E391" s="215"/>
      <c r="F391" s="285">
        <f t="shared" si="142"/>
        <v>0</v>
      </c>
      <c r="G391" s="212" t="s">
        <v>211</v>
      </c>
      <c r="H391" s="212" t="s">
        <v>212</v>
      </c>
      <c r="I391" s="277" t="s">
        <v>123</v>
      </c>
      <c r="J391" s="281" t="s">
        <v>118</v>
      </c>
      <c r="K391" s="281"/>
      <c r="L391" s="281"/>
      <c r="M391" s="281"/>
      <c r="N391" s="212" t="s">
        <v>124</v>
      </c>
      <c r="O391" s="212" t="s">
        <v>125</v>
      </c>
      <c r="P391" s="257" t="s">
        <v>116</v>
      </c>
      <c r="Q391" s="81"/>
    </row>
    <row r="392" spans="1:20" s="77" customFormat="1" ht="25.9" customHeight="1" x14ac:dyDescent="0.25">
      <c r="A392" s="268"/>
      <c r="B392" s="296"/>
      <c r="C392" s="278"/>
      <c r="D392" s="284"/>
      <c r="E392" s="215"/>
      <c r="F392" s="285">
        <f t="shared" si="142"/>
        <v>0</v>
      </c>
      <c r="G392" s="215"/>
      <c r="H392" s="215"/>
      <c r="I392" s="277"/>
      <c r="J392" s="215" t="s">
        <v>119</v>
      </c>
      <c r="K392" s="215" t="s">
        <v>120</v>
      </c>
      <c r="L392" s="215" t="s">
        <v>121</v>
      </c>
      <c r="M392" s="215" t="s">
        <v>122</v>
      </c>
      <c r="N392" s="215"/>
      <c r="O392" s="215"/>
      <c r="P392" s="257"/>
      <c r="Q392" s="81"/>
    </row>
    <row r="393" spans="1:20" s="77" customFormat="1" ht="44.25" customHeight="1" x14ac:dyDescent="0.25">
      <c r="A393" s="268"/>
      <c r="B393" s="296"/>
      <c r="C393" s="278"/>
      <c r="D393" s="284"/>
      <c r="E393" s="215"/>
      <c r="F393" s="116">
        <f>I393</f>
        <v>31</v>
      </c>
      <c r="G393" s="106">
        <v>0</v>
      </c>
      <c r="H393" s="106">
        <v>0</v>
      </c>
      <c r="I393" s="106">
        <v>31</v>
      </c>
      <c r="J393" s="106">
        <v>31</v>
      </c>
      <c r="K393" s="106">
        <v>31</v>
      </c>
      <c r="L393" s="106">
        <v>31</v>
      </c>
      <c r="M393" s="106">
        <v>31</v>
      </c>
      <c r="N393" s="106">
        <v>31</v>
      </c>
      <c r="O393" s="106">
        <v>31</v>
      </c>
      <c r="P393" s="257"/>
      <c r="Q393" s="81"/>
    </row>
    <row r="394" spans="1:20" s="77" customFormat="1" ht="34.5" x14ac:dyDescent="0.25">
      <c r="A394" s="268" t="s">
        <v>267</v>
      </c>
      <c r="B394" s="283" t="s">
        <v>222</v>
      </c>
      <c r="C394" s="282" t="s">
        <v>242</v>
      </c>
      <c r="D394" s="148" t="s">
        <v>40</v>
      </c>
      <c r="E394" s="221">
        <v>0</v>
      </c>
      <c r="F394" s="184">
        <f t="shared" ref="F394:F399" si="149">SUM(G394:O394)</f>
        <v>793308</v>
      </c>
      <c r="G394" s="221">
        <v>0</v>
      </c>
      <c r="H394" s="221">
        <v>0</v>
      </c>
      <c r="I394" s="294">
        <v>264436</v>
      </c>
      <c r="J394" s="294"/>
      <c r="K394" s="294"/>
      <c r="L394" s="294"/>
      <c r="M394" s="294"/>
      <c r="N394" s="221">
        <v>264436</v>
      </c>
      <c r="O394" s="221">
        <v>264436</v>
      </c>
      <c r="P394" s="297" t="s">
        <v>240</v>
      </c>
    </row>
    <row r="395" spans="1:20" s="77" customFormat="1" ht="34.5" x14ac:dyDescent="0.25">
      <c r="A395" s="268"/>
      <c r="B395" s="283"/>
      <c r="C395" s="282"/>
      <c r="D395" s="148" t="s">
        <v>1</v>
      </c>
      <c r="E395" s="221">
        <v>0</v>
      </c>
      <c r="F395" s="184">
        <f t="shared" si="149"/>
        <v>0</v>
      </c>
      <c r="G395" s="221">
        <v>0</v>
      </c>
      <c r="H395" s="221">
        <v>0</v>
      </c>
      <c r="I395" s="294">
        <v>0</v>
      </c>
      <c r="J395" s="294"/>
      <c r="K395" s="294"/>
      <c r="L395" s="294"/>
      <c r="M395" s="294"/>
      <c r="N395" s="221">
        <v>0</v>
      </c>
      <c r="O395" s="221">
        <v>0</v>
      </c>
      <c r="P395" s="297"/>
    </row>
    <row r="396" spans="1:20" s="77" customFormat="1" ht="51.75" x14ac:dyDescent="0.25">
      <c r="A396" s="268"/>
      <c r="B396" s="283"/>
      <c r="C396" s="282"/>
      <c r="D396" s="148" t="s">
        <v>47</v>
      </c>
      <c r="E396" s="221">
        <v>0</v>
      </c>
      <c r="F396" s="184">
        <f t="shared" si="149"/>
        <v>0</v>
      </c>
      <c r="G396" s="221">
        <v>0</v>
      </c>
      <c r="H396" s="221">
        <v>0</v>
      </c>
      <c r="I396" s="294">
        <v>0</v>
      </c>
      <c r="J396" s="294"/>
      <c r="K396" s="294"/>
      <c r="L396" s="294"/>
      <c r="M396" s="294"/>
      <c r="N396" s="221">
        <v>0</v>
      </c>
      <c r="O396" s="221">
        <v>0</v>
      </c>
      <c r="P396" s="297"/>
    </row>
    <row r="397" spans="1:20" s="77" customFormat="1" ht="39.75" customHeight="1" x14ac:dyDescent="0.25">
      <c r="A397" s="268"/>
      <c r="B397" s="283"/>
      <c r="C397" s="282"/>
      <c r="D397" s="148" t="s">
        <v>87</v>
      </c>
      <c r="E397" s="221"/>
      <c r="F397" s="184">
        <f t="shared" si="149"/>
        <v>0</v>
      </c>
      <c r="G397" s="221">
        <v>0</v>
      </c>
      <c r="H397" s="221">
        <v>0</v>
      </c>
      <c r="I397" s="294">
        <v>0</v>
      </c>
      <c r="J397" s="294"/>
      <c r="K397" s="294"/>
      <c r="L397" s="294"/>
      <c r="M397" s="294"/>
      <c r="N397" s="221">
        <v>0</v>
      </c>
      <c r="O397" s="221">
        <v>0</v>
      </c>
      <c r="P397" s="297"/>
    </row>
    <row r="398" spans="1:20" s="77" customFormat="1" ht="33" customHeight="1" x14ac:dyDescent="0.25">
      <c r="A398" s="268"/>
      <c r="B398" s="298" t="s">
        <v>255</v>
      </c>
      <c r="C398" s="278" t="s">
        <v>116</v>
      </c>
      <c r="D398" s="284" t="s">
        <v>116</v>
      </c>
      <c r="E398" s="215"/>
      <c r="F398" s="285">
        <f t="shared" si="149"/>
        <v>0</v>
      </c>
      <c r="G398" s="212" t="s">
        <v>211</v>
      </c>
      <c r="H398" s="212" t="s">
        <v>212</v>
      </c>
      <c r="I398" s="277" t="s">
        <v>123</v>
      </c>
      <c r="J398" s="281" t="s">
        <v>118</v>
      </c>
      <c r="K398" s="281"/>
      <c r="L398" s="281"/>
      <c r="M398" s="281"/>
      <c r="N398" s="212" t="s">
        <v>124</v>
      </c>
      <c r="O398" s="212" t="s">
        <v>125</v>
      </c>
      <c r="P398" s="257" t="s">
        <v>116</v>
      </c>
      <c r="Q398" s="81"/>
    </row>
    <row r="399" spans="1:20" s="77" customFormat="1" ht="30" customHeight="1" x14ac:dyDescent="0.25">
      <c r="A399" s="268"/>
      <c r="B399" s="298"/>
      <c r="C399" s="278"/>
      <c r="D399" s="284"/>
      <c r="E399" s="215"/>
      <c r="F399" s="285">
        <f t="shared" si="149"/>
        <v>0</v>
      </c>
      <c r="G399" s="215"/>
      <c r="H399" s="215"/>
      <c r="I399" s="277"/>
      <c r="J399" s="215" t="s">
        <v>119</v>
      </c>
      <c r="K399" s="215" t="s">
        <v>120</v>
      </c>
      <c r="L399" s="215" t="s">
        <v>121</v>
      </c>
      <c r="M399" s="215" t="s">
        <v>122</v>
      </c>
      <c r="N399" s="215"/>
      <c r="O399" s="215"/>
      <c r="P399" s="257"/>
      <c r="Q399" s="81"/>
    </row>
    <row r="400" spans="1:20" s="77" customFormat="1" ht="37.9" customHeight="1" x14ac:dyDescent="0.25">
      <c r="A400" s="268"/>
      <c r="B400" s="298"/>
      <c r="C400" s="278"/>
      <c r="D400" s="284"/>
      <c r="E400" s="215"/>
      <c r="F400" s="116">
        <f>I400+N400+O400</f>
        <v>6654</v>
      </c>
      <c r="G400" s="106">
        <v>0</v>
      </c>
      <c r="H400" s="106">
        <v>0</v>
      </c>
      <c r="I400" s="106">
        <v>2218</v>
      </c>
      <c r="J400" s="106">
        <v>2218</v>
      </c>
      <c r="K400" s="106">
        <v>2218</v>
      </c>
      <c r="L400" s="106">
        <v>2218</v>
      </c>
      <c r="M400" s="106">
        <v>2218</v>
      </c>
      <c r="N400" s="106">
        <v>2218</v>
      </c>
      <c r="O400" s="106">
        <v>2218</v>
      </c>
      <c r="P400" s="257"/>
      <c r="Q400" s="81"/>
    </row>
    <row r="401" spans="1:21" s="77" customFormat="1" ht="36.75" customHeight="1" x14ac:dyDescent="0.25">
      <c r="A401" s="260" t="s">
        <v>268</v>
      </c>
      <c r="B401" s="318" t="s">
        <v>235</v>
      </c>
      <c r="C401" s="282" t="s">
        <v>242</v>
      </c>
      <c r="D401" s="148" t="s">
        <v>40</v>
      </c>
      <c r="E401" s="221">
        <v>0</v>
      </c>
      <c r="F401" s="184">
        <f t="shared" si="142"/>
        <v>8983.7999999999993</v>
      </c>
      <c r="G401" s="221">
        <v>0</v>
      </c>
      <c r="H401" s="221">
        <v>0</v>
      </c>
      <c r="I401" s="294">
        <f>2968.56+78.12</f>
        <v>3046.68</v>
      </c>
      <c r="J401" s="294"/>
      <c r="K401" s="294"/>
      <c r="L401" s="294"/>
      <c r="M401" s="294"/>
      <c r="N401" s="221">
        <v>2968.56</v>
      </c>
      <c r="O401" s="221">
        <v>2968.56</v>
      </c>
      <c r="P401" s="297" t="s">
        <v>240</v>
      </c>
    </row>
    <row r="402" spans="1:21" s="77" customFormat="1" ht="34.5" x14ac:dyDescent="0.25">
      <c r="A402" s="261"/>
      <c r="B402" s="318"/>
      <c r="C402" s="282"/>
      <c r="D402" s="148" t="s">
        <v>1</v>
      </c>
      <c r="E402" s="221">
        <v>0</v>
      </c>
      <c r="F402" s="184">
        <f t="shared" si="142"/>
        <v>0</v>
      </c>
      <c r="G402" s="221">
        <v>0</v>
      </c>
      <c r="H402" s="221">
        <v>0</v>
      </c>
      <c r="I402" s="294">
        <v>0</v>
      </c>
      <c r="J402" s="294"/>
      <c r="K402" s="294"/>
      <c r="L402" s="294"/>
      <c r="M402" s="294"/>
      <c r="N402" s="221">
        <v>0</v>
      </c>
      <c r="O402" s="221">
        <v>0</v>
      </c>
      <c r="P402" s="297"/>
    </row>
    <row r="403" spans="1:21" s="77" customFormat="1" ht="51.75" x14ac:dyDescent="0.25">
      <c r="A403" s="261"/>
      <c r="B403" s="318"/>
      <c r="C403" s="282"/>
      <c r="D403" s="148" t="s">
        <v>47</v>
      </c>
      <c r="E403" s="221">
        <v>0</v>
      </c>
      <c r="F403" s="184">
        <f t="shared" si="142"/>
        <v>0</v>
      </c>
      <c r="G403" s="221">
        <v>0</v>
      </c>
      <c r="H403" s="221">
        <v>0</v>
      </c>
      <c r="I403" s="294">
        <v>0</v>
      </c>
      <c r="J403" s="294"/>
      <c r="K403" s="294"/>
      <c r="L403" s="294"/>
      <c r="M403" s="294"/>
      <c r="N403" s="221">
        <v>0</v>
      </c>
      <c r="O403" s="221">
        <v>0</v>
      </c>
      <c r="P403" s="297"/>
    </row>
    <row r="404" spans="1:21" s="77" customFormat="1" ht="33.950000000000003" customHeight="1" x14ac:dyDescent="0.25">
      <c r="A404" s="261"/>
      <c r="B404" s="318"/>
      <c r="C404" s="282"/>
      <c r="D404" s="148" t="s">
        <v>87</v>
      </c>
      <c r="E404" s="221"/>
      <c r="F404" s="184">
        <f t="shared" si="142"/>
        <v>0</v>
      </c>
      <c r="G404" s="221">
        <v>0</v>
      </c>
      <c r="H404" s="221">
        <v>0</v>
      </c>
      <c r="I404" s="294">
        <v>0</v>
      </c>
      <c r="J404" s="294"/>
      <c r="K404" s="294"/>
      <c r="L404" s="294"/>
      <c r="M404" s="294"/>
      <c r="N404" s="221">
        <v>0</v>
      </c>
      <c r="O404" s="221">
        <v>0</v>
      </c>
      <c r="P404" s="297"/>
    </row>
    <row r="405" spans="1:21" s="77" customFormat="1" ht="36" customHeight="1" x14ac:dyDescent="0.25">
      <c r="A405" s="261"/>
      <c r="B405" s="298" t="s">
        <v>252</v>
      </c>
      <c r="C405" s="278" t="s">
        <v>116</v>
      </c>
      <c r="D405" s="284" t="s">
        <v>116</v>
      </c>
      <c r="E405" s="215"/>
      <c r="F405" s="285">
        <f t="shared" si="142"/>
        <v>0</v>
      </c>
      <c r="G405" s="212" t="s">
        <v>211</v>
      </c>
      <c r="H405" s="212" t="s">
        <v>212</v>
      </c>
      <c r="I405" s="277" t="s">
        <v>123</v>
      </c>
      <c r="J405" s="281" t="s">
        <v>118</v>
      </c>
      <c r="K405" s="281"/>
      <c r="L405" s="281"/>
      <c r="M405" s="281"/>
      <c r="N405" s="212" t="s">
        <v>124</v>
      </c>
      <c r="O405" s="212" t="s">
        <v>125</v>
      </c>
      <c r="P405" s="257" t="s">
        <v>116</v>
      </c>
      <c r="Q405" s="81"/>
    </row>
    <row r="406" spans="1:21" s="77" customFormat="1" ht="24" customHeight="1" x14ac:dyDescent="0.25">
      <c r="A406" s="261"/>
      <c r="B406" s="298"/>
      <c r="C406" s="278"/>
      <c r="D406" s="284"/>
      <c r="E406" s="215"/>
      <c r="F406" s="285">
        <f t="shared" si="142"/>
        <v>0</v>
      </c>
      <c r="G406" s="215"/>
      <c r="H406" s="215"/>
      <c r="I406" s="277"/>
      <c r="J406" s="215" t="s">
        <v>119</v>
      </c>
      <c r="K406" s="215" t="s">
        <v>120</v>
      </c>
      <c r="L406" s="215" t="s">
        <v>121</v>
      </c>
      <c r="M406" s="215" t="s">
        <v>122</v>
      </c>
      <c r="N406" s="215"/>
      <c r="O406" s="215"/>
      <c r="P406" s="257"/>
      <c r="Q406" s="81"/>
    </row>
    <row r="407" spans="1:21" s="77" customFormat="1" ht="22.5" customHeight="1" x14ac:dyDescent="0.25">
      <c r="A407" s="262"/>
      <c r="B407" s="298"/>
      <c r="C407" s="278"/>
      <c r="D407" s="284"/>
      <c r="E407" s="215"/>
      <c r="F407" s="116">
        <f>I407</f>
        <v>38</v>
      </c>
      <c r="G407" s="106">
        <v>0</v>
      </c>
      <c r="H407" s="106">
        <v>0</v>
      </c>
      <c r="I407" s="106">
        <v>38</v>
      </c>
      <c r="J407" s="106">
        <v>38</v>
      </c>
      <c r="K407" s="106">
        <v>38</v>
      </c>
      <c r="L407" s="106">
        <v>38</v>
      </c>
      <c r="M407" s="106">
        <v>38</v>
      </c>
      <c r="N407" s="106">
        <v>38</v>
      </c>
      <c r="O407" s="106">
        <v>38</v>
      </c>
      <c r="P407" s="257"/>
      <c r="Q407" s="81"/>
    </row>
    <row r="408" spans="1:21" s="9" customFormat="1" ht="39" customHeight="1" x14ac:dyDescent="0.25">
      <c r="A408" s="338" t="s">
        <v>179</v>
      </c>
      <c r="B408" s="339"/>
      <c r="C408" s="339"/>
      <c r="D408" s="339"/>
      <c r="E408" s="112" t="e">
        <f>E409+E410+E411+E414+E415</f>
        <v>#REF!</v>
      </c>
      <c r="F408" s="117">
        <f t="shared" si="142"/>
        <v>68357342.43205002</v>
      </c>
      <c r="G408" s="112">
        <f t="shared" ref="G408:H408" si="150">G409+G410+G411+G413</f>
        <v>12260123.436870003</v>
      </c>
      <c r="H408" s="112">
        <f t="shared" si="150"/>
        <v>12632199.85434</v>
      </c>
      <c r="I408" s="333">
        <f>I409+I410+I411+I413</f>
        <v>15348778.496980002</v>
      </c>
      <c r="J408" s="333"/>
      <c r="K408" s="333"/>
      <c r="L408" s="333"/>
      <c r="M408" s="333"/>
      <c r="N408" s="112">
        <f t="shared" ref="N408:O408" si="151">N409+N410+N411+N413</f>
        <v>14115806.198180001</v>
      </c>
      <c r="O408" s="112">
        <f t="shared" si="151"/>
        <v>14000434.44568</v>
      </c>
      <c r="P408" s="113"/>
      <c r="T408" s="44"/>
      <c r="U408" s="44"/>
    </row>
    <row r="409" spans="1:21" ht="21" x14ac:dyDescent="0.35">
      <c r="A409" s="340" t="s">
        <v>40</v>
      </c>
      <c r="B409" s="340"/>
      <c r="C409" s="340"/>
      <c r="D409" s="340"/>
      <c r="E409" s="47" t="e">
        <f>E333</f>
        <v>#REF!</v>
      </c>
      <c r="F409" s="117">
        <f t="shared" si="142"/>
        <v>2247975.7402499998</v>
      </c>
      <c r="G409" s="47">
        <f t="shared" ref="G409:H411" si="152">G17+G156+G216+G247+G259+G309+G333+G359+G235+G321+G371+G383</f>
        <v>397968.84916999994</v>
      </c>
      <c r="H409" s="47">
        <f t="shared" si="152"/>
        <v>452366.90026000002</v>
      </c>
      <c r="I409" s="290">
        <f>I17+I156+I216+I247+I259+I309+I333+I359+I321+I383+I371+I235</f>
        <v>481387.00226999994</v>
      </c>
      <c r="J409" s="290"/>
      <c r="K409" s="290"/>
      <c r="L409" s="290"/>
      <c r="M409" s="290"/>
      <c r="N409" s="47">
        <f t="shared" ref="N409:O411" si="153">N17+N156+N216+N247+N259+N309+N333+N359+N325+N235+N321+N371+N383</f>
        <v>463826.77772000001</v>
      </c>
      <c r="O409" s="47">
        <f t="shared" si="153"/>
        <v>452426.21083</v>
      </c>
      <c r="P409" s="12"/>
      <c r="Q409" s="160">
        <f>I19</f>
        <v>5087277.3813200006</v>
      </c>
      <c r="R409" s="160">
        <f>I158</f>
        <v>69302.541599999997</v>
      </c>
      <c r="T409" s="45"/>
      <c r="U409" s="45"/>
    </row>
    <row r="410" spans="1:21" ht="21" x14ac:dyDescent="0.35">
      <c r="A410" s="340" t="s">
        <v>1</v>
      </c>
      <c r="B410" s="340"/>
      <c r="C410" s="340"/>
      <c r="D410" s="340"/>
      <c r="E410" s="47" t="e">
        <f>E18+#REF!+E157+E334+#REF!</f>
        <v>#REF!</v>
      </c>
      <c r="F410" s="117">
        <f t="shared" si="142"/>
        <v>41362875.199939996</v>
      </c>
      <c r="G410" s="47">
        <f t="shared" si="152"/>
        <v>7623266.1103000017</v>
      </c>
      <c r="H410" s="47">
        <f t="shared" si="152"/>
        <v>7789874.7873100005</v>
      </c>
      <c r="I410" s="290">
        <f>I18+I157+I217+I248+I260+I310+I334+I360+I322+I384+I372+I236</f>
        <v>9025569.9311300013</v>
      </c>
      <c r="J410" s="290"/>
      <c r="K410" s="290"/>
      <c r="L410" s="290"/>
      <c r="M410" s="290"/>
      <c r="N410" s="47">
        <f t="shared" si="153"/>
        <v>8508214.7220300008</v>
      </c>
      <c r="O410" s="47">
        <f t="shared" si="153"/>
        <v>8415949.6491700001</v>
      </c>
      <c r="P410" s="12"/>
      <c r="Q410" s="160">
        <f>I218</f>
        <v>8194.0774899999997</v>
      </c>
      <c r="R410" s="160">
        <f>I373</f>
        <v>243.39564000000018</v>
      </c>
      <c r="T410" s="45"/>
      <c r="U410" s="45"/>
    </row>
    <row r="411" spans="1:21" ht="21" x14ac:dyDescent="0.35">
      <c r="A411" s="340" t="s">
        <v>48</v>
      </c>
      <c r="B411" s="340"/>
      <c r="C411" s="340"/>
      <c r="D411" s="340"/>
      <c r="E411" s="47" t="e">
        <f>E19+E158+E218+E335+#REF!</f>
        <v>#REF!</v>
      </c>
      <c r="F411" s="117">
        <f t="shared" si="142"/>
        <v>21672730.384190001</v>
      </c>
      <c r="G411" s="47">
        <f t="shared" si="152"/>
        <v>3745756.7187200002</v>
      </c>
      <c r="H411" s="47">
        <f t="shared" si="152"/>
        <v>3740310.8382699997</v>
      </c>
      <c r="I411" s="290">
        <f>I19+I158+I218+I249+I261+I311+I335+I361+I323+I385+I373+I237</f>
        <v>5165017.3960500006</v>
      </c>
      <c r="J411" s="290"/>
      <c r="K411" s="290"/>
      <c r="L411" s="290"/>
      <c r="M411" s="290"/>
      <c r="N411" s="47">
        <f t="shared" si="153"/>
        <v>4516675.77195</v>
      </c>
      <c r="O411" s="47">
        <f t="shared" si="153"/>
        <v>4504969.6592000006</v>
      </c>
      <c r="P411" s="82"/>
      <c r="Q411" s="160">
        <f>I411</f>
        <v>5165017.3960500006</v>
      </c>
      <c r="T411" s="45"/>
      <c r="U411" s="45"/>
    </row>
    <row r="412" spans="1:21" ht="18.75" x14ac:dyDescent="0.3">
      <c r="A412" s="377" t="s">
        <v>59</v>
      </c>
      <c r="B412" s="377"/>
      <c r="C412" s="377"/>
      <c r="D412" s="377"/>
      <c r="E412" s="83">
        <f>E99</f>
        <v>0</v>
      </c>
      <c r="F412" s="117">
        <f t="shared" si="142"/>
        <v>2798298</v>
      </c>
      <c r="G412" s="83">
        <f>G20</f>
        <v>413035</v>
      </c>
      <c r="H412" s="83">
        <f>H20</f>
        <v>493052</v>
      </c>
      <c r="I412" s="334">
        <f>I20</f>
        <v>630737</v>
      </c>
      <c r="J412" s="334"/>
      <c r="K412" s="334"/>
      <c r="L412" s="334"/>
      <c r="M412" s="334"/>
      <c r="N412" s="83">
        <f>N20</f>
        <v>630737</v>
      </c>
      <c r="O412" s="83">
        <f>O20</f>
        <v>630737</v>
      </c>
      <c r="P412" s="6"/>
      <c r="T412" s="45"/>
      <c r="U412" s="45"/>
    </row>
    <row r="413" spans="1:21" ht="18.75" x14ac:dyDescent="0.3">
      <c r="A413" s="378" t="s">
        <v>87</v>
      </c>
      <c r="B413" s="378"/>
      <c r="C413" s="378"/>
      <c r="D413" s="378"/>
      <c r="E413" s="43"/>
      <c r="F413" s="117">
        <f t="shared" si="142"/>
        <v>3073761.1076699998</v>
      </c>
      <c r="G413" s="43">
        <f>G21+G159+G219+G250+G262+G312+G336+G362</f>
        <v>493131.75868000003</v>
      </c>
      <c r="H413" s="43">
        <f>H21+H159+H219+H250+H262+H312+H336+H362</f>
        <v>649647.32850000006</v>
      </c>
      <c r="I413" s="335">
        <f>I21+I159+I219+I250+I262+I312+I336+I362+I324</f>
        <v>676804.16753000009</v>
      </c>
      <c r="J413" s="335"/>
      <c r="K413" s="335"/>
      <c r="L413" s="335"/>
      <c r="M413" s="335"/>
      <c r="N413" s="43">
        <f>N21+N159+N219+N250+N262+N312+N336+N362</f>
        <v>627088.92647999991</v>
      </c>
      <c r="O413" s="43">
        <f>O21+O159+O219+O250+O262+O312+O336+O362</f>
        <v>627088.92647999991</v>
      </c>
      <c r="P413" s="6"/>
      <c r="T413" s="45"/>
      <c r="U413" s="45"/>
    </row>
    <row r="414" spans="1:21" ht="18.75" x14ac:dyDescent="0.3">
      <c r="A414" s="377" t="s">
        <v>88</v>
      </c>
      <c r="B414" s="377"/>
      <c r="C414" s="377"/>
      <c r="D414" s="377"/>
      <c r="E414" s="83">
        <f>E22</f>
        <v>262352.43170000002</v>
      </c>
      <c r="F414" s="117">
        <f t="shared" si="142"/>
        <v>2952076.1176699996</v>
      </c>
      <c r="G414" s="83">
        <f t="shared" ref="G414:I415" si="154">G22</f>
        <v>469940.35668000003</v>
      </c>
      <c r="H414" s="83">
        <f t="shared" si="154"/>
        <v>625121.01850000001</v>
      </c>
      <c r="I414" s="334">
        <f t="shared" si="154"/>
        <v>652277.85753000004</v>
      </c>
      <c r="J414" s="334"/>
      <c r="K414" s="334"/>
      <c r="L414" s="334"/>
      <c r="M414" s="334"/>
      <c r="N414" s="83">
        <f>N22</f>
        <v>602368.44247999997</v>
      </c>
      <c r="O414" s="83">
        <f>O22</f>
        <v>602368.44247999997</v>
      </c>
      <c r="P414" s="6"/>
      <c r="T414" s="45"/>
      <c r="U414" s="45"/>
    </row>
    <row r="415" spans="1:21" ht="18.75" x14ac:dyDescent="0.3">
      <c r="A415" s="377" t="s">
        <v>89</v>
      </c>
      <c r="B415" s="377"/>
      <c r="C415" s="377"/>
      <c r="D415" s="377"/>
      <c r="E415" s="83">
        <f>E23</f>
        <v>8751.5480000000007</v>
      </c>
      <c r="F415" s="117">
        <f t="shared" si="142"/>
        <v>121684.98999999999</v>
      </c>
      <c r="G415" s="83">
        <f t="shared" si="154"/>
        <v>23191.402000000002</v>
      </c>
      <c r="H415" s="83">
        <f t="shared" si="154"/>
        <v>24526.31</v>
      </c>
      <c r="I415" s="334">
        <f t="shared" si="154"/>
        <v>24526.31</v>
      </c>
      <c r="J415" s="334"/>
      <c r="K415" s="334"/>
      <c r="L415" s="334"/>
      <c r="M415" s="334"/>
      <c r="N415" s="83">
        <f>N23</f>
        <v>24720.484</v>
      </c>
      <c r="O415" s="83">
        <f>O23</f>
        <v>24720.484</v>
      </c>
      <c r="P415" s="6"/>
      <c r="T415" s="45"/>
      <c r="U415" s="45"/>
    </row>
    <row r="416" spans="1:21" ht="17.25" x14ac:dyDescent="0.25">
      <c r="A416" s="67"/>
      <c r="B416" s="67"/>
      <c r="C416" s="67"/>
      <c r="D416" s="155"/>
      <c r="E416" s="68"/>
      <c r="F416" s="118"/>
      <c r="G416" s="69"/>
      <c r="H416" s="69"/>
      <c r="I416" s="68"/>
      <c r="J416" s="68"/>
      <c r="K416" s="68"/>
      <c r="L416" s="68"/>
      <c r="M416" s="68"/>
      <c r="N416" s="70"/>
      <c r="O416" s="70"/>
      <c r="P416" s="71"/>
      <c r="T416" s="45"/>
      <c r="U416" s="45"/>
    </row>
    <row r="417" spans="2:21" ht="18.75" x14ac:dyDescent="0.3">
      <c r="B417" s="375" t="s">
        <v>19</v>
      </c>
      <c r="C417" s="376"/>
      <c r="D417" s="376"/>
      <c r="E417" s="73" t="e">
        <f>#REF!</f>
        <v>#REF!</v>
      </c>
      <c r="F417" s="119">
        <f>SUM(I417:O417)</f>
        <v>0</v>
      </c>
      <c r="G417" s="73">
        <v>0</v>
      </c>
      <c r="H417" s="73">
        <v>0</v>
      </c>
      <c r="I417" s="330">
        <v>0</v>
      </c>
      <c r="J417" s="331"/>
      <c r="K417" s="331"/>
      <c r="L417" s="331"/>
      <c r="M417" s="332"/>
      <c r="N417" s="73">
        <v>0</v>
      </c>
      <c r="O417" s="73">
        <v>0</v>
      </c>
      <c r="P417" s="74"/>
      <c r="T417" s="45"/>
      <c r="U417" s="45"/>
    </row>
    <row r="418" spans="2:21" ht="18.75" x14ac:dyDescent="0.3">
      <c r="B418" s="375" t="s">
        <v>21</v>
      </c>
      <c r="C418" s="376"/>
      <c r="D418" s="376"/>
      <c r="E418" s="73" t="e">
        <f>#REF!</f>
        <v>#REF!</v>
      </c>
      <c r="F418" s="119">
        <f>SUM(I418:O418)</f>
        <v>425618.27789999999</v>
      </c>
      <c r="G418" s="73">
        <f>150+19342+145735.24</f>
        <v>165227.24</v>
      </c>
      <c r="H418" s="73">
        <f>150+19342+145735.24</f>
        <v>165227.24</v>
      </c>
      <c r="I418" s="330">
        <v>95163.797900000005</v>
      </c>
      <c r="J418" s="331"/>
      <c r="K418" s="331"/>
      <c r="L418" s="331"/>
      <c r="M418" s="332"/>
      <c r="N418" s="73">
        <v>165227.24</v>
      </c>
      <c r="O418" s="73">
        <v>165227.24</v>
      </c>
      <c r="T418" s="45"/>
      <c r="U418" s="45"/>
    </row>
    <row r="419" spans="2:21" ht="18.75" x14ac:dyDescent="0.3">
      <c r="B419" s="373" t="s">
        <v>20</v>
      </c>
      <c r="C419" s="374"/>
      <c r="D419" s="374"/>
      <c r="E419" s="75" t="e">
        <f>SUM(E417:E418)</f>
        <v>#REF!</v>
      </c>
      <c r="F419" s="119">
        <f t="shared" ref="F419:O419" si="155">SUM(F417:F418)</f>
        <v>425618.27789999999</v>
      </c>
      <c r="G419" s="75">
        <f t="shared" ref="G419" si="156">SUM(G417:G418)</f>
        <v>165227.24</v>
      </c>
      <c r="H419" s="75">
        <f t="shared" si="155"/>
        <v>165227.24</v>
      </c>
      <c r="I419" s="327">
        <f t="shared" ref="I419" si="157">SUM(I417:I418)</f>
        <v>95163.797900000005</v>
      </c>
      <c r="J419" s="328"/>
      <c r="K419" s="328"/>
      <c r="L419" s="328"/>
      <c r="M419" s="329"/>
      <c r="N419" s="75">
        <f t="shared" si="155"/>
        <v>165227.24</v>
      </c>
      <c r="O419" s="75">
        <f t="shared" si="155"/>
        <v>165227.24</v>
      </c>
      <c r="T419" s="45"/>
      <c r="U419" s="45"/>
    </row>
    <row r="420" spans="2:21" ht="18.75" x14ac:dyDescent="0.3">
      <c r="B420" s="375" t="s">
        <v>61</v>
      </c>
      <c r="C420" s="376"/>
      <c r="D420" s="376"/>
      <c r="E420" s="73">
        <v>0</v>
      </c>
      <c r="F420" s="119">
        <f t="shared" ref="F420:F429" si="158">SUM(I420:O420)</f>
        <v>0</v>
      </c>
      <c r="G420" s="73">
        <v>0</v>
      </c>
      <c r="H420" s="73">
        <v>0</v>
      </c>
      <c r="I420" s="330">
        <v>0</v>
      </c>
      <c r="J420" s="331"/>
      <c r="K420" s="331"/>
      <c r="L420" s="331"/>
      <c r="M420" s="332"/>
      <c r="N420" s="73">
        <v>0</v>
      </c>
      <c r="O420" s="73">
        <v>0</v>
      </c>
      <c r="P420" s="76"/>
      <c r="T420" s="45"/>
      <c r="U420" s="45"/>
    </row>
    <row r="421" spans="2:21" ht="18.75" x14ac:dyDescent="0.3">
      <c r="B421" s="375" t="s">
        <v>62</v>
      </c>
      <c r="C421" s="376"/>
      <c r="D421" s="376"/>
      <c r="E421" s="73">
        <v>0</v>
      </c>
      <c r="F421" s="119">
        <f t="shared" si="158"/>
        <v>20700</v>
      </c>
      <c r="G421" s="73">
        <v>6900</v>
      </c>
      <c r="H421" s="73">
        <v>6900</v>
      </c>
      <c r="I421" s="330">
        <v>6900</v>
      </c>
      <c r="J421" s="331"/>
      <c r="K421" s="331"/>
      <c r="L421" s="331"/>
      <c r="M421" s="332"/>
      <c r="N421" s="73">
        <v>6900</v>
      </c>
      <c r="O421" s="73">
        <v>6900</v>
      </c>
      <c r="P421" s="76"/>
      <c r="T421" s="45"/>
      <c r="U421" s="45"/>
    </row>
    <row r="422" spans="2:21" ht="18.75" x14ac:dyDescent="0.3">
      <c r="B422" s="373" t="s">
        <v>63</v>
      </c>
      <c r="C422" s="374"/>
      <c r="D422" s="374"/>
      <c r="E422" s="75">
        <f>SUM(E420:E421)</f>
        <v>0</v>
      </c>
      <c r="F422" s="119">
        <f t="shared" si="158"/>
        <v>20700</v>
      </c>
      <c r="G422" s="75">
        <f>SUM(G420:G421)</f>
        <v>6900</v>
      </c>
      <c r="H422" s="75">
        <f>SUM(H420:H421)</f>
        <v>6900</v>
      </c>
      <c r="I422" s="327">
        <f>SUM(I420:I421)</f>
        <v>6900</v>
      </c>
      <c r="J422" s="328"/>
      <c r="K422" s="328"/>
      <c r="L422" s="328"/>
      <c r="M422" s="329"/>
      <c r="N422" s="75">
        <f>SUM(N420:N421)</f>
        <v>6900</v>
      </c>
      <c r="O422" s="75">
        <f>SUM(O420:O421)</f>
        <v>6900</v>
      </c>
      <c r="P422" s="76"/>
      <c r="T422" s="45"/>
      <c r="U422" s="45"/>
    </row>
    <row r="423" spans="2:21" ht="18.75" x14ac:dyDescent="0.3">
      <c r="B423" s="375" t="s">
        <v>43</v>
      </c>
      <c r="C423" s="376"/>
      <c r="D423" s="376"/>
      <c r="E423" s="73" t="e">
        <f>E409</f>
        <v>#REF!</v>
      </c>
      <c r="F423" s="119">
        <f t="shared" si="158"/>
        <v>1397639.9908199999</v>
      </c>
      <c r="G423" s="73">
        <f>G409</f>
        <v>397968.84916999994</v>
      </c>
      <c r="H423" s="73">
        <f>H409</f>
        <v>452366.90026000002</v>
      </c>
      <c r="I423" s="330">
        <f>I409</f>
        <v>481387.00226999994</v>
      </c>
      <c r="J423" s="331"/>
      <c r="K423" s="331"/>
      <c r="L423" s="331"/>
      <c r="M423" s="332"/>
      <c r="N423" s="73">
        <f>N409</f>
        <v>463826.77772000001</v>
      </c>
      <c r="O423" s="73">
        <f>O409</f>
        <v>452426.21083</v>
      </c>
      <c r="T423" s="45"/>
      <c r="U423" s="45"/>
    </row>
    <row r="424" spans="2:21" ht="18.75" x14ac:dyDescent="0.3">
      <c r="B424" s="375" t="s">
        <v>23</v>
      </c>
      <c r="C424" s="376"/>
      <c r="D424" s="376"/>
      <c r="E424" s="73" t="e">
        <f>E410-E417-E421</f>
        <v>#REF!</v>
      </c>
      <c r="F424" s="119">
        <f t="shared" si="158"/>
        <v>25929034.302330002</v>
      </c>
      <c r="G424" s="73">
        <f>G410-G417-G421</f>
        <v>7616366.1103000017</v>
      </c>
      <c r="H424" s="73">
        <f>H410-H417-H421</f>
        <v>7782974.7873100005</v>
      </c>
      <c r="I424" s="330">
        <f>I410-I417-I421</f>
        <v>9018669.9311300013</v>
      </c>
      <c r="J424" s="331"/>
      <c r="K424" s="331"/>
      <c r="L424" s="331"/>
      <c r="M424" s="332"/>
      <c r="N424" s="73">
        <f>N410-N417-N421</f>
        <v>8501314.7220300008</v>
      </c>
      <c r="O424" s="73">
        <f>O410-O417-O421</f>
        <v>8409049.6491700001</v>
      </c>
      <c r="T424" s="45"/>
      <c r="U424" s="45"/>
    </row>
    <row r="425" spans="2:21" ht="18.75" x14ac:dyDescent="0.3">
      <c r="B425" s="375" t="s">
        <v>22</v>
      </c>
      <c r="C425" s="376"/>
      <c r="D425" s="376"/>
      <c r="E425" s="73" t="e">
        <f>E411-E418-E420</f>
        <v>#REF!</v>
      </c>
      <c r="F425" s="119">
        <f t="shared" si="158"/>
        <v>13761044.5493</v>
      </c>
      <c r="G425" s="73">
        <f>G411-G418-G420</f>
        <v>3580529.47872</v>
      </c>
      <c r="H425" s="73">
        <f>H411-H418-H420</f>
        <v>3575083.59827</v>
      </c>
      <c r="I425" s="330">
        <f>I411-I418-I420</f>
        <v>5069853.5981500009</v>
      </c>
      <c r="J425" s="331"/>
      <c r="K425" s="331"/>
      <c r="L425" s="331"/>
      <c r="M425" s="332"/>
      <c r="N425" s="73">
        <f>N411-N418-N420</f>
        <v>4351448.5319499997</v>
      </c>
      <c r="O425" s="73">
        <f>O411-O418-O420</f>
        <v>4339742.4192000004</v>
      </c>
      <c r="T425" s="45"/>
      <c r="U425" s="45"/>
    </row>
    <row r="426" spans="2:21" ht="18.75" x14ac:dyDescent="0.3">
      <c r="B426" s="375" t="s">
        <v>87</v>
      </c>
      <c r="C426" s="376"/>
      <c r="D426" s="379"/>
      <c r="E426" s="73"/>
      <c r="F426" s="119">
        <f t="shared" si="158"/>
        <v>1930982.02049</v>
      </c>
      <c r="G426" s="73">
        <f t="shared" ref="G426:H426" si="159">G427+G428</f>
        <v>493131.75868000003</v>
      </c>
      <c r="H426" s="73">
        <f t="shared" si="159"/>
        <v>649647.32850000006</v>
      </c>
      <c r="I426" s="330">
        <f>I427+I428</f>
        <v>676804.16753000009</v>
      </c>
      <c r="J426" s="331"/>
      <c r="K426" s="331"/>
      <c r="L426" s="331"/>
      <c r="M426" s="332"/>
      <c r="N426" s="73">
        <f t="shared" ref="N426:O426" si="160">N427+N428</f>
        <v>627088.92648000002</v>
      </c>
      <c r="O426" s="73">
        <f t="shared" si="160"/>
        <v>627088.92648000002</v>
      </c>
      <c r="T426" s="45"/>
      <c r="U426" s="45"/>
    </row>
    <row r="427" spans="2:21" ht="18.75" x14ac:dyDescent="0.3">
      <c r="B427" s="375" t="s">
        <v>88</v>
      </c>
      <c r="C427" s="376"/>
      <c r="D427" s="376"/>
      <c r="E427" s="73">
        <f>E414</f>
        <v>262352.43170000002</v>
      </c>
      <c r="F427" s="119">
        <f t="shared" si="158"/>
        <v>1857014.7424899999</v>
      </c>
      <c r="G427" s="73">
        <f t="shared" ref="G427:H428" si="161">G414</f>
        <v>469940.35668000003</v>
      </c>
      <c r="H427" s="73">
        <f t="shared" si="161"/>
        <v>625121.01850000001</v>
      </c>
      <c r="I427" s="330">
        <f>I414</f>
        <v>652277.85753000004</v>
      </c>
      <c r="J427" s="331"/>
      <c r="K427" s="331"/>
      <c r="L427" s="331"/>
      <c r="M427" s="332"/>
      <c r="N427" s="73">
        <f t="shared" ref="N427:O428" si="162">N414</f>
        <v>602368.44247999997</v>
      </c>
      <c r="O427" s="73">
        <f t="shared" si="162"/>
        <v>602368.44247999997</v>
      </c>
      <c r="T427" s="45"/>
      <c r="U427" s="45"/>
    </row>
    <row r="428" spans="2:21" ht="18.75" x14ac:dyDescent="0.3">
      <c r="B428" s="375" t="s">
        <v>89</v>
      </c>
      <c r="C428" s="376"/>
      <c r="D428" s="376"/>
      <c r="E428" s="73">
        <f>E415</f>
        <v>8751.5480000000007</v>
      </c>
      <c r="F428" s="119">
        <f t="shared" si="158"/>
        <v>73967.278000000006</v>
      </c>
      <c r="G428" s="73">
        <f t="shared" si="161"/>
        <v>23191.402000000002</v>
      </c>
      <c r="H428" s="73">
        <f t="shared" si="161"/>
        <v>24526.31</v>
      </c>
      <c r="I428" s="330">
        <f>I415</f>
        <v>24526.31</v>
      </c>
      <c r="J428" s="331"/>
      <c r="K428" s="331"/>
      <c r="L428" s="331"/>
      <c r="M428" s="332"/>
      <c r="N428" s="73">
        <f t="shared" si="162"/>
        <v>24720.484</v>
      </c>
      <c r="O428" s="73">
        <f t="shared" si="162"/>
        <v>24720.484</v>
      </c>
      <c r="T428" s="45"/>
      <c r="U428" s="45"/>
    </row>
    <row r="429" spans="2:21" ht="18.75" x14ac:dyDescent="0.3">
      <c r="B429" s="373" t="s">
        <v>24</v>
      </c>
      <c r="C429" s="374"/>
      <c r="D429" s="374"/>
      <c r="E429" s="75" t="e">
        <f t="shared" ref="E429" si="163">SUM(E423:E428)</f>
        <v>#REF!</v>
      </c>
      <c r="F429" s="119">
        <f t="shared" si="158"/>
        <v>43018700.862939999</v>
      </c>
      <c r="G429" s="75">
        <f t="shared" ref="G429:H429" si="164">G423+G424+G425+G426</f>
        <v>12087996.196870003</v>
      </c>
      <c r="H429" s="75">
        <f t="shared" si="164"/>
        <v>12460072.614340002</v>
      </c>
      <c r="I429" s="327">
        <f>I423+I424+I425+I426</f>
        <v>15246714.699080002</v>
      </c>
      <c r="J429" s="328"/>
      <c r="K429" s="328"/>
      <c r="L429" s="328"/>
      <c r="M429" s="329"/>
      <c r="N429" s="75">
        <f t="shared" ref="N429:O429" si="165">N423+N424+N425+N426</f>
        <v>13943678.958180001</v>
      </c>
      <c r="O429" s="75">
        <f t="shared" si="165"/>
        <v>13828307.20568</v>
      </c>
      <c r="T429" s="45"/>
      <c r="U429" s="45"/>
    </row>
    <row r="430" spans="2:21" x14ac:dyDescent="0.3">
      <c r="F430" s="120"/>
    </row>
    <row r="431" spans="2:21" x14ac:dyDescent="0.3">
      <c r="F431" s="121"/>
      <c r="G431" s="74"/>
      <c r="H431" s="74"/>
      <c r="I431" s="74"/>
      <c r="J431" s="74"/>
      <c r="K431" s="74"/>
      <c r="L431" s="74"/>
      <c r="M431" s="74"/>
      <c r="N431" s="74"/>
      <c r="O431" s="74"/>
    </row>
    <row r="432" spans="2:21" x14ac:dyDescent="0.3">
      <c r="G432" s="78"/>
      <c r="H432" s="78"/>
      <c r="N432" s="80"/>
      <c r="O432" s="80"/>
    </row>
    <row r="433" spans="7:14" x14ac:dyDescent="0.3">
      <c r="G433" s="78"/>
      <c r="H433" s="78"/>
      <c r="I433" s="74"/>
      <c r="J433" s="74"/>
      <c r="K433" s="74"/>
      <c r="L433" s="74"/>
      <c r="M433" s="74"/>
    </row>
    <row r="434" spans="7:14" x14ac:dyDescent="0.3">
      <c r="G434" s="78"/>
      <c r="H434" s="78"/>
    </row>
    <row r="435" spans="7:14" x14ac:dyDescent="0.3">
      <c r="G435" s="79"/>
      <c r="H435" s="79"/>
      <c r="N435" s="79"/>
    </row>
    <row r="436" spans="7:14" x14ac:dyDescent="0.3">
      <c r="G436" s="79"/>
      <c r="H436" s="79"/>
    </row>
    <row r="438" spans="7:14" x14ac:dyDescent="0.3">
      <c r="G438" s="81"/>
      <c r="H438" s="81"/>
    </row>
    <row r="439" spans="7:14" x14ac:dyDescent="0.3">
      <c r="G439" s="81"/>
      <c r="H439" s="81"/>
    </row>
    <row r="440" spans="7:14" x14ac:dyDescent="0.3">
      <c r="G440" s="81"/>
      <c r="H440" s="81"/>
    </row>
  </sheetData>
  <mergeCells count="875">
    <mergeCell ref="A251:A257"/>
    <mergeCell ref="A234:A238"/>
    <mergeCell ref="A52:A58"/>
    <mergeCell ref="A127:A133"/>
    <mergeCell ref="A134:A140"/>
    <mergeCell ref="A73:A79"/>
    <mergeCell ref="B208:B211"/>
    <mergeCell ref="B212:B214"/>
    <mergeCell ref="B117:B119"/>
    <mergeCell ref="B113:B116"/>
    <mergeCell ref="B246:B250"/>
    <mergeCell ref="B77:B79"/>
    <mergeCell ref="B215:B219"/>
    <mergeCell ref="A174:A183"/>
    <mergeCell ref="B227:B230"/>
    <mergeCell ref="B251:B254"/>
    <mergeCell ref="A141:A144"/>
    <mergeCell ref="A145:A147"/>
    <mergeCell ref="B231:B233"/>
    <mergeCell ref="B239:B242"/>
    <mergeCell ref="B243:B245"/>
    <mergeCell ref="B234:B238"/>
    <mergeCell ref="B220:B223"/>
    <mergeCell ref="B195:B197"/>
    <mergeCell ref="A31:A37"/>
    <mergeCell ref="A215:A219"/>
    <mergeCell ref="A155:A159"/>
    <mergeCell ref="A148:A154"/>
    <mergeCell ref="A184:A190"/>
    <mergeCell ref="B202:B204"/>
    <mergeCell ref="B148:B151"/>
    <mergeCell ref="B152:B154"/>
    <mergeCell ref="B184:B187"/>
    <mergeCell ref="B120:B123"/>
    <mergeCell ref="B167:B170"/>
    <mergeCell ref="B138:B140"/>
    <mergeCell ref="B134:B137"/>
    <mergeCell ref="B164:B166"/>
    <mergeCell ref="B106:B109"/>
    <mergeCell ref="B96:B102"/>
    <mergeCell ref="B124:B126"/>
    <mergeCell ref="B205:B207"/>
    <mergeCell ref="B178:B180"/>
    <mergeCell ref="B188:B190"/>
    <mergeCell ref="B191:B194"/>
    <mergeCell ref="B198:B201"/>
    <mergeCell ref="A45:A51"/>
    <mergeCell ref="B38:B41"/>
    <mergeCell ref="D145:D147"/>
    <mergeCell ref="I99:M99"/>
    <mergeCell ref="I137:M137"/>
    <mergeCell ref="I81:M81"/>
    <mergeCell ref="I60:M60"/>
    <mergeCell ref="F63:F64"/>
    <mergeCell ref="I121:M121"/>
    <mergeCell ref="I122:M122"/>
    <mergeCell ref="I155:M155"/>
    <mergeCell ref="I77:I78"/>
    <mergeCell ref="J77:M77"/>
    <mergeCell ref="I83:M83"/>
    <mergeCell ref="D70:D72"/>
    <mergeCell ref="D110:D112"/>
    <mergeCell ref="I107:M107"/>
    <mergeCell ref="I106:M106"/>
    <mergeCell ref="I103:I104"/>
    <mergeCell ref="I148:M148"/>
    <mergeCell ref="I145:I146"/>
    <mergeCell ref="I150:M150"/>
    <mergeCell ref="I151:M151"/>
    <mergeCell ref="F152:F153"/>
    <mergeCell ref="F103:F104"/>
    <mergeCell ref="I124:I125"/>
    <mergeCell ref="J124:M124"/>
    <mergeCell ref="J70:M70"/>
    <mergeCell ref="I120:M120"/>
    <mergeCell ref="I116:M116"/>
    <mergeCell ref="I113:M113"/>
    <mergeCell ref="I101:M101"/>
    <mergeCell ref="I102:M102"/>
    <mergeCell ref="F117:F118"/>
    <mergeCell ref="I97:M97"/>
    <mergeCell ref="J93:M93"/>
    <mergeCell ref="F110:F111"/>
    <mergeCell ref="F70:F71"/>
    <mergeCell ref="F93:F94"/>
    <mergeCell ref="I117:I118"/>
    <mergeCell ref="J117:M117"/>
    <mergeCell ref="J110:M110"/>
    <mergeCell ref="I100:M100"/>
    <mergeCell ref="F124:F125"/>
    <mergeCell ref="F138:F139"/>
    <mergeCell ref="I138:I139"/>
    <mergeCell ref="J138:M138"/>
    <mergeCell ref="I175:M175"/>
    <mergeCell ref="I157:M157"/>
    <mergeCell ref="I162:M162"/>
    <mergeCell ref="J164:M164"/>
    <mergeCell ref="F145:F146"/>
    <mergeCell ref="I239:M239"/>
    <mergeCell ref="F164:F165"/>
    <mergeCell ref="F171:F172"/>
    <mergeCell ref="F202:F203"/>
    <mergeCell ref="F212:F213"/>
    <mergeCell ref="F224:F225"/>
    <mergeCell ref="I219:M219"/>
    <mergeCell ref="I235:M235"/>
    <mergeCell ref="I230:M230"/>
    <mergeCell ref="I224:I225"/>
    <mergeCell ref="I149:M149"/>
    <mergeCell ref="I152:I153"/>
    <mergeCell ref="J152:M152"/>
    <mergeCell ref="I156:M156"/>
    <mergeCell ref="I160:M160"/>
    <mergeCell ref="I167:M167"/>
    <mergeCell ref="D181:D183"/>
    <mergeCell ref="D171:D173"/>
    <mergeCell ref="D178:D180"/>
    <mergeCell ref="I217:M217"/>
    <mergeCell ref="J231:M231"/>
    <mergeCell ref="I228:M228"/>
    <mergeCell ref="I170:M170"/>
    <mergeCell ref="F231:F232"/>
    <mergeCell ref="I231:I232"/>
    <mergeCell ref="F178:F179"/>
    <mergeCell ref="I188:I189"/>
    <mergeCell ref="I202:I203"/>
    <mergeCell ref="J202:M202"/>
    <mergeCell ref="I195:I196"/>
    <mergeCell ref="I210:M210"/>
    <mergeCell ref="D188:D190"/>
    <mergeCell ref="I215:M215"/>
    <mergeCell ref="F195:F196"/>
    <mergeCell ref="I199:M199"/>
    <mergeCell ref="F205:F206"/>
    <mergeCell ref="I205:I206"/>
    <mergeCell ref="J205:M205"/>
    <mergeCell ref="I216:M216"/>
    <mergeCell ref="D224:D226"/>
    <mergeCell ref="C184:C187"/>
    <mergeCell ref="B141:B144"/>
    <mergeCell ref="C181:C183"/>
    <mergeCell ref="D152:D154"/>
    <mergeCell ref="D124:D126"/>
    <mergeCell ref="D164:D166"/>
    <mergeCell ref="C148:C151"/>
    <mergeCell ref="C152:C154"/>
    <mergeCell ref="C167:C170"/>
    <mergeCell ref="C164:C166"/>
    <mergeCell ref="C138:C140"/>
    <mergeCell ref="B181:B183"/>
    <mergeCell ref="C178:C180"/>
    <mergeCell ref="C160:C163"/>
    <mergeCell ref="C171:C173"/>
    <mergeCell ref="C141:C144"/>
    <mergeCell ref="B145:B147"/>
    <mergeCell ref="C145:C147"/>
    <mergeCell ref="B155:B159"/>
    <mergeCell ref="B160:B163"/>
    <mergeCell ref="B174:B177"/>
    <mergeCell ref="C155:C159"/>
    <mergeCell ref="B171:B173"/>
    <mergeCell ref="C174:C177"/>
    <mergeCell ref="C191:C194"/>
    <mergeCell ref="C220:C223"/>
    <mergeCell ref="C198:C201"/>
    <mergeCell ref="D202:D204"/>
    <mergeCell ref="D243:D245"/>
    <mergeCell ref="C212:C214"/>
    <mergeCell ref="D231:D233"/>
    <mergeCell ref="C202:C204"/>
    <mergeCell ref="C215:C219"/>
    <mergeCell ref="C205:C207"/>
    <mergeCell ref="D205:D207"/>
    <mergeCell ref="C195:C197"/>
    <mergeCell ref="C234:C238"/>
    <mergeCell ref="C224:C226"/>
    <mergeCell ref="C227:C230"/>
    <mergeCell ref="C208:C211"/>
    <mergeCell ref="D212:D214"/>
    <mergeCell ref="D195:D197"/>
    <mergeCell ref="B224:B226"/>
    <mergeCell ref="B287:B290"/>
    <mergeCell ref="B284:B286"/>
    <mergeCell ref="B291:B293"/>
    <mergeCell ref="C258:C262"/>
    <mergeCell ref="B267:B269"/>
    <mergeCell ref="C255:C257"/>
    <mergeCell ref="B263:B266"/>
    <mergeCell ref="B277:B279"/>
    <mergeCell ref="B273:B276"/>
    <mergeCell ref="B270:B272"/>
    <mergeCell ref="C280:C283"/>
    <mergeCell ref="B280:B283"/>
    <mergeCell ref="B255:B257"/>
    <mergeCell ref="B258:B262"/>
    <mergeCell ref="C267:C269"/>
    <mergeCell ref="C239:C242"/>
    <mergeCell ref="C231:C233"/>
    <mergeCell ref="C243:C245"/>
    <mergeCell ref="C263:C266"/>
    <mergeCell ref="C251:C254"/>
    <mergeCell ref="C270:C272"/>
    <mergeCell ref="C273:C276"/>
    <mergeCell ref="B325:B328"/>
    <mergeCell ref="I255:I256"/>
    <mergeCell ref="I254:M254"/>
    <mergeCell ref="F255:F256"/>
    <mergeCell ref="I249:M249"/>
    <mergeCell ref="I262:M262"/>
    <mergeCell ref="I258:M258"/>
    <mergeCell ref="I259:M259"/>
    <mergeCell ref="B294:B297"/>
    <mergeCell ref="B308:B312"/>
    <mergeCell ref="B305:B307"/>
    <mergeCell ref="B298:B300"/>
    <mergeCell ref="D277:D279"/>
    <mergeCell ref="B320:B324"/>
    <mergeCell ref="F267:F268"/>
    <mergeCell ref="F305:F306"/>
    <mergeCell ref="J267:M267"/>
    <mergeCell ref="I275:M275"/>
    <mergeCell ref="J255:M255"/>
    <mergeCell ref="I251:M251"/>
    <mergeCell ref="I252:M252"/>
    <mergeCell ref="C246:C250"/>
    <mergeCell ref="C325:C328"/>
    <mergeCell ref="C301:C304"/>
    <mergeCell ref="B429:D429"/>
    <mergeCell ref="A411:D411"/>
    <mergeCell ref="A410:D410"/>
    <mergeCell ref="B427:D427"/>
    <mergeCell ref="B428:D428"/>
    <mergeCell ref="B418:D418"/>
    <mergeCell ref="B417:D417"/>
    <mergeCell ref="B419:D419"/>
    <mergeCell ref="A415:D415"/>
    <mergeCell ref="A414:D414"/>
    <mergeCell ref="B425:D425"/>
    <mergeCell ref="B424:D424"/>
    <mergeCell ref="B420:D420"/>
    <mergeCell ref="B421:D421"/>
    <mergeCell ref="B422:D422"/>
    <mergeCell ref="A412:D412"/>
    <mergeCell ref="A413:D413"/>
    <mergeCell ref="B426:D426"/>
    <mergeCell ref="B423:D423"/>
    <mergeCell ref="A313:A319"/>
    <mergeCell ref="C308:C312"/>
    <mergeCell ref="C337:C340"/>
    <mergeCell ref="C52:C55"/>
    <mergeCell ref="A38:A44"/>
    <mergeCell ref="C45:C48"/>
    <mergeCell ref="C49:C51"/>
    <mergeCell ref="A59:A65"/>
    <mergeCell ref="A89:A95"/>
    <mergeCell ref="B52:B55"/>
    <mergeCell ref="B56:B58"/>
    <mergeCell ref="C66:C69"/>
    <mergeCell ref="B93:B95"/>
    <mergeCell ref="C93:C95"/>
    <mergeCell ref="B63:B65"/>
    <mergeCell ref="B49:B51"/>
    <mergeCell ref="B45:B48"/>
    <mergeCell ref="B89:B92"/>
    <mergeCell ref="B59:B62"/>
    <mergeCell ref="C42:C44"/>
    <mergeCell ref="A66:A72"/>
    <mergeCell ref="C59:C62"/>
    <mergeCell ref="C89:C92"/>
    <mergeCell ref="C70:C72"/>
    <mergeCell ref="C31:C34"/>
    <mergeCell ref="B31:B34"/>
    <mergeCell ref="D35:D37"/>
    <mergeCell ref="B73:B76"/>
    <mergeCell ref="C73:C76"/>
    <mergeCell ref="B80:B85"/>
    <mergeCell ref="B103:B105"/>
    <mergeCell ref="C117:C119"/>
    <mergeCell ref="B110:B112"/>
    <mergeCell ref="B35:B37"/>
    <mergeCell ref="C35:C37"/>
    <mergeCell ref="C56:C58"/>
    <mergeCell ref="B86:B88"/>
    <mergeCell ref="D86:D88"/>
    <mergeCell ref="B66:B69"/>
    <mergeCell ref="C38:C41"/>
    <mergeCell ref="B42:B44"/>
    <mergeCell ref="D117:D119"/>
    <mergeCell ref="C113:C116"/>
    <mergeCell ref="D49:D51"/>
    <mergeCell ref="C63:C65"/>
    <mergeCell ref="D42:D44"/>
    <mergeCell ref="B70:B72"/>
    <mergeCell ref="C96:C102"/>
    <mergeCell ref="C103:C105"/>
    <mergeCell ref="D103:D105"/>
    <mergeCell ref="D77:D79"/>
    <mergeCell ref="D138:D140"/>
    <mergeCell ref="C80:C85"/>
    <mergeCell ref="C110:C112"/>
    <mergeCell ref="D56:D58"/>
    <mergeCell ref="D63:D65"/>
    <mergeCell ref="C77:C79"/>
    <mergeCell ref="C124:C126"/>
    <mergeCell ref="C106:C109"/>
    <mergeCell ref="D93:D95"/>
    <mergeCell ref="C86:C88"/>
    <mergeCell ref="C134:C137"/>
    <mergeCell ref="C120:C123"/>
    <mergeCell ref="P124:P126"/>
    <mergeCell ref="I141:M141"/>
    <mergeCell ref="P141:P144"/>
    <mergeCell ref="I142:M142"/>
    <mergeCell ref="I143:M143"/>
    <mergeCell ref="P52:P55"/>
    <mergeCell ref="I67:M67"/>
    <mergeCell ref="I68:M68"/>
    <mergeCell ref="P59:P62"/>
    <mergeCell ref="P89:P92"/>
    <mergeCell ref="P86:P88"/>
    <mergeCell ref="P70:P72"/>
    <mergeCell ref="I70:I71"/>
    <mergeCell ref="P120:P123"/>
    <mergeCell ref="P138:P140"/>
    <mergeCell ref="P134:P137"/>
    <mergeCell ref="I123:M123"/>
    <mergeCell ref="I82:M82"/>
    <mergeCell ref="P117:P119"/>
    <mergeCell ref="P103:P105"/>
    <mergeCell ref="I109:M109"/>
    <mergeCell ref="I108:M108"/>
    <mergeCell ref="I110:I111"/>
    <mergeCell ref="P113:P116"/>
    <mergeCell ref="P66:P69"/>
    <mergeCell ref="I46:M46"/>
    <mergeCell ref="I62:M62"/>
    <mergeCell ref="I54:M54"/>
    <mergeCell ref="I61:M61"/>
    <mergeCell ref="P77:P79"/>
    <mergeCell ref="I85:M85"/>
    <mergeCell ref="I73:M73"/>
    <mergeCell ref="I47:M47"/>
    <mergeCell ref="P80:P85"/>
    <mergeCell ref="I56:I57"/>
    <mergeCell ref="F49:F50"/>
    <mergeCell ref="I49:I50"/>
    <mergeCell ref="J49:M49"/>
    <mergeCell ref="I90:M90"/>
    <mergeCell ref="I84:M84"/>
    <mergeCell ref="I89:M89"/>
    <mergeCell ref="I69:M69"/>
    <mergeCell ref="I63:I64"/>
    <mergeCell ref="J63:M63"/>
    <mergeCell ref="I66:M66"/>
    <mergeCell ref="F42:F43"/>
    <mergeCell ref="I42:I43"/>
    <mergeCell ref="J42:M42"/>
    <mergeCell ref="I48:M48"/>
    <mergeCell ref="J103:M103"/>
    <mergeCell ref="F86:F87"/>
    <mergeCell ref="I86:I87"/>
    <mergeCell ref="J86:M86"/>
    <mergeCell ref="P93:P95"/>
    <mergeCell ref="P63:P65"/>
    <mergeCell ref="I80:M80"/>
    <mergeCell ref="P96:P102"/>
    <mergeCell ref="I55:M55"/>
    <mergeCell ref="P73:P76"/>
    <mergeCell ref="I74:M74"/>
    <mergeCell ref="I75:M75"/>
    <mergeCell ref="I76:M76"/>
    <mergeCell ref="I98:M98"/>
    <mergeCell ref="F77:F78"/>
    <mergeCell ref="I93:I94"/>
    <mergeCell ref="I92:M92"/>
    <mergeCell ref="I91:M91"/>
    <mergeCell ref="I96:M96"/>
    <mergeCell ref="F56:F57"/>
    <mergeCell ref="P28:P30"/>
    <mergeCell ref="I45:M45"/>
    <mergeCell ref="I41:M41"/>
    <mergeCell ref="P31:P34"/>
    <mergeCell ref="I32:M32"/>
    <mergeCell ref="I40:M40"/>
    <mergeCell ref="I38:M38"/>
    <mergeCell ref="P56:P58"/>
    <mergeCell ref="I59:M59"/>
    <mergeCell ref="I52:M52"/>
    <mergeCell ref="I53:M53"/>
    <mergeCell ref="J56:M56"/>
    <mergeCell ref="P45:P48"/>
    <mergeCell ref="I31:M31"/>
    <mergeCell ref="I34:M34"/>
    <mergeCell ref="P35:P37"/>
    <mergeCell ref="P38:P41"/>
    <mergeCell ref="I39:M39"/>
    <mergeCell ref="P42:P44"/>
    <mergeCell ref="P49:P51"/>
    <mergeCell ref="I35:I36"/>
    <mergeCell ref="J35:M35"/>
    <mergeCell ref="I33:M33"/>
    <mergeCell ref="D11:D13"/>
    <mergeCell ref="G11:O12"/>
    <mergeCell ref="A24:A30"/>
    <mergeCell ref="F28:F29"/>
    <mergeCell ref="I28:I29"/>
    <mergeCell ref="I25:M25"/>
    <mergeCell ref="I24:M24"/>
    <mergeCell ref="I27:M27"/>
    <mergeCell ref="C28:C30"/>
    <mergeCell ref="D28:D30"/>
    <mergeCell ref="B28:B30"/>
    <mergeCell ref="I26:M26"/>
    <mergeCell ref="J28:M28"/>
    <mergeCell ref="A16:A23"/>
    <mergeCell ref="B16:B23"/>
    <mergeCell ref="C16:C23"/>
    <mergeCell ref="E6:M6"/>
    <mergeCell ref="C24:C27"/>
    <mergeCell ref="B24:B27"/>
    <mergeCell ref="P24:P27"/>
    <mergeCell ref="P11:P13"/>
    <mergeCell ref="B11:B13"/>
    <mergeCell ref="N6:P6"/>
    <mergeCell ref="B9:O9"/>
    <mergeCell ref="I18:M18"/>
    <mergeCell ref="E11:E13"/>
    <mergeCell ref="P16:P23"/>
    <mergeCell ref="I13:M13"/>
    <mergeCell ref="I21:M21"/>
    <mergeCell ref="I17:M17"/>
    <mergeCell ref="I16:M16"/>
    <mergeCell ref="I14:M14"/>
    <mergeCell ref="I23:M23"/>
    <mergeCell ref="I22:M22"/>
    <mergeCell ref="A15:P15"/>
    <mergeCell ref="C11:C13"/>
    <mergeCell ref="I20:M20"/>
    <mergeCell ref="I19:M19"/>
    <mergeCell ref="A11:A13"/>
    <mergeCell ref="F11:F13"/>
    <mergeCell ref="F35:F36"/>
    <mergeCell ref="A287:A293"/>
    <mergeCell ref="F355:F356"/>
    <mergeCell ref="J291:M291"/>
    <mergeCell ref="A332:A336"/>
    <mergeCell ref="A301:A307"/>
    <mergeCell ref="A308:A312"/>
    <mergeCell ref="D284:D286"/>
    <mergeCell ref="D291:D293"/>
    <mergeCell ref="C320:C324"/>
    <mergeCell ref="C294:C297"/>
    <mergeCell ref="C313:C316"/>
    <mergeCell ref="D317:D319"/>
    <mergeCell ref="C317:C319"/>
    <mergeCell ref="F298:F299"/>
    <mergeCell ref="F291:F292"/>
    <mergeCell ref="F284:F285"/>
    <mergeCell ref="F317:F318"/>
    <mergeCell ref="D298:D300"/>
    <mergeCell ref="D305:D307"/>
    <mergeCell ref="B329:B331"/>
    <mergeCell ref="B332:B336"/>
    <mergeCell ref="A294:A300"/>
    <mergeCell ref="A320:A324"/>
    <mergeCell ref="C332:C336"/>
    <mergeCell ref="D329:D331"/>
    <mergeCell ref="P320:P324"/>
    <mergeCell ref="J329:M329"/>
    <mergeCell ref="I320:M320"/>
    <mergeCell ref="P291:P293"/>
    <mergeCell ref="I312:M312"/>
    <mergeCell ref="I308:M308"/>
    <mergeCell ref="I327:M327"/>
    <mergeCell ref="P298:P300"/>
    <mergeCell ref="P301:P304"/>
    <mergeCell ref="I305:I306"/>
    <mergeCell ref="I302:M302"/>
    <mergeCell ref="I294:M294"/>
    <mergeCell ref="I317:I318"/>
    <mergeCell ref="I311:M311"/>
    <mergeCell ref="I297:M297"/>
    <mergeCell ref="I314:M314"/>
    <mergeCell ref="A408:D408"/>
    <mergeCell ref="A409:D409"/>
    <mergeCell ref="B367:B369"/>
    <mergeCell ref="A358:A362"/>
    <mergeCell ref="B358:B362"/>
    <mergeCell ref="A394:A400"/>
    <mergeCell ref="B394:B397"/>
    <mergeCell ref="C394:C397"/>
    <mergeCell ref="A280:A286"/>
    <mergeCell ref="B344:B347"/>
    <mergeCell ref="B341:B343"/>
    <mergeCell ref="B348:B350"/>
    <mergeCell ref="A344:A350"/>
    <mergeCell ref="A337:A343"/>
    <mergeCell ref="C344:C347"/>
    <mergeCell ref="B355:B357"/>
    <mergeCell ref="B337:B340"/>
    <mergeCell ref="C355:C357"/>
    <mergeCell ref="C341:C343"/>
    <mergeCell ref="B351:B354"/>
    <mergeCell ref="A351:A357"/>
    <mergeCell ref="B301:B304"/>
    <mergeCell ref="C305:C307"/>
    <mergeCell ref="C329:C331"/>
    <mergeCell ref="I391:I392"/>
    <mergeCell ref="J391:M391"/>
    <mergeCell ref="B387:B390"/>
    <mergeCell ref="C387:C390"/>
    <mergeCell ref="A387:A393"/>
    <mergeCell ref="B370:B374"/>
    <mergeCell ref="C370:C374"/>
    <mergeCell ref="I370:M370"/>
    <mergeCell ref="F379:F380"/>
    <mergeCell ref="I379:I380"/>
    <mergeCell ref="J379:M379"/>
    <mergeCell ref="B375:B378"/>
    <mergeCell ref="D379:D381"/>
    <mergeCell ref="C379:C381"/>
    <mergeCell ref="B379:B381"/>
    <mergeCell ref="I385:M385"/>
    <mergeCell ref="A382:A386"/>
    <mergeCell ref="B382:B386"/>
    <mergeCell ref="C382:C386"/>
    <mergeCell ref="I382:M382"/>
    <mergeCell ref="I387:M387"/>
    <mergeCell ref="I375:M375"/>
    <mergeCell ref="I384:M384"/>
    <mergeCell ref="I429:M429"/>
    <mergeCell ref="I428:M428"/>
    <mergeCell ref="I427:M427"/>
    <mergeCell ref="I426:M426"/>
    <mergeCell ref="I425:M425"/>
    <mergeCell ref="I424:M424"/>
    <mergeCell ref="I423:M423"/>
    <mergeCell ref="I422:M422"/>
    <mergeCell ref="I408:M408"/>
    <mergeCell ref="I409:M409"/>
    <mergeCell ref="I410:M410"/>
    <mergeCell ref="I411:M411"/>
    <mergeCell ref="I412:M412"/>
    <mergeCell ref="I413:M413"/>
    <mergeCell ref="I414:M414"/>
    <mergeCell ref="I415:M415"/>
    <mergeCell ref="I421:M421"/>
    <mergeCell ref="I418:M418"/>
    <mergeCell ref="I417:M417"/>
    <mergeCell ref="I420:M420"/>
    <mergeCell ref="I419:M419"/>
    <mergeCell ref="P106:P109"/>
    <mergeCell ref="I115:M115"/>
    <mergeCell ref="I114:M114"/>
    <mergeCell ref="P110:P112"/>
    <mergeCell ref="P208:P211"/>
    <mergeCell ref="P198:P201"/>
    <mergeCell ref="P212:P214"/>
    <mergeCell ref="I201:M201"/>
    <mergeCell ref="J212:M212"/>
    <mergeCell ref="I193:M193"/>
    <mergeCell ref="I192:M192"/>
    <mergeCell ref="I191:M191"/>
    <mergeCell ref="I185:M185"/>
    <mergeCell ref="I186:M186"/>
    <mergeCell ref="P195:P197"/>
    <mergeCell ref="I212:I213"/>
    <mergeCell ref="J188:M188"/>
    <mergeCell ref="I194:M194"/>
    <mergeCell ref="J195:M195"/>
    <mergeCell ref="I211:M211"/>
    <mergeCell ref="I198:M198"/>
    <mergeCell ref="I208:M208"/>
    <mergeCell ref="I209:M209"/>
    <mergeCell ref="I200:M200"/>
    <mergeCell ref="I144:M144"/>
    <mergeCell ref="I134:M134"/>
    <mergeCell ref="J145:M145"/>
    <mergeCell ref="I178:I179"/>
    <mergeCell ref="J178:M178"/>
    <mergeCell ref="P148:P151"/>
    <mergeCell ref="P152:P154"/>
    <mergeCell ref="P178:P180"/>
    <mergeCell ref="P174:P177"/>
    <mergeCell ref="I176:M176"/>
    <mergeCell ref="I135:M135"/>
    <mergeCell ref="I136:M136"/>
    <mergeCell ref="P171:P173"/>
    <mergeCell ref="I168:M168"/>
    <mergeCell ref="I171:I172"/>
    <mergeCell ref="I169:M169"/>
    <mergeCell ref="I159:M159"/>
    <mergeCell ref="P160:P163"/>
    <mergeCell ref="P164:P166"/>
    <mergeCell ref="P145:P147"/>
    <mergeCell ref="P155:P159"/>
    <mergeCell ref="I177:M177"/>
    <mergeCell ref="I164:I165"/>
    <mergeCell ref="I163:M163"/>
    <mergeCell ref="P127:P130"/>
    <mergeCell ref="P167:P170"/>
    <mergeCell ref="I174:M174"/>
    <mergeCell ref="P131:P133"/>
    <mergeCell ref="B127:B130"/>
    <mergeCell ref="C127:C130"/>
    <mergeCell ref="I127:M127"/>
    <mergeCell ref="P188:P190"/>
    <mergeCell ref="F188:F189"/>
    <mergeCell ref="F181:F182"/>
    <mergeCell ref="I187:M187"/>
    <mergeCell ref="I128:M128"/>
    <mergeCell ref="I129:M129"/>
    <mergeCell ref="I130:M130"/>
    <mergeCell ref="B131:B133"/>
    <mergeCell ref="C131:C133"/>
    <mergeCell ref="D131:D133"/>
    <mergeCell ref="F131:F132"/>
    <mergeCell ref="I131:I132"/>
    <mergeCell ref="J131:M131"/>
    <mergeCell ref="C188:C190"/>
    <mergeCell ref="I184:M184"/>
    <mergeCell ref="I181:I182"/>
    <mergeCell ref="P184:P187"/>
    <mergeCell ref="I158:M158"/>
    <mergeCell ref="P202:P204"/>
    <mergeCell ref="P191:P194"/>
    <mergeCell ref="P181:P183"/>
    <mergeCell ref="I246:M246"/>
    <mergeCell ref="I241:M241"/>
    <mergeCell ref="I240:M240"/>
    <mergeCell ref="I161:M161"/>
    <mergeCell ref="J181:M181"/>
    <mergeCell ref="J171:M171"/>
    <mergeCell ref="P220:P223"/>
    <mergeCell ref="I223:M223"/>
    <mergeCell ref="I234:M234"/>
    <mergeCell ref="I227:M227"/>
    <mergeCell ref="P227:P230"/>
    <mergeCell ref="I218:M218"/>
    <mergeCell ref="P215:P219"/>
    <mergeCell ref="P401:P404"/>
    <mergeCell ref="I402:M402"/>
    <mergeCell ref="I403:M403"/>
    <mergeCell ref="I404:M404"/>
    <mergeCell ref="B405:B407"/>
    <mergeCell ref="C405:C407"/>
    <mergeCell ref="D405:D407"/>
    <mergeCell ref="F405:F406"/>
    <mergeCell ref="I405:I406"/>
    <mergeCell ref="J405:M405"/>
    <mergeCell ref="P405:P407"/>
    <mergeCell ref="B401:B404"/>
    <mergeCell ref="C401:C404"/>
    <mergeCell ref="I401:M401"/>
    <mergeCell ref="P224:P226"/>
    <mergeCell ref="P246:P250"/>
    <mergeCell ref="I248:M248"/>
    <mergeCell ref="I247:M247"/>
    <mergeCell ref="I250:M250"/>
    <mergeCell ref="P239:P242"/>
    <mergeCell ref="I238:M238"/>
    <mergeCell ref="I236:M236"/>
    <mergeCell ref="I237:M237"/>
    <mergeCell ref="I243:I244"/>
    <mergeCell ref="J243:M243"/>
    <mergeCell ref="I229:M229"/>
    <mergeCell ref="J224:M224"/>
    <mergeCell ref="P284:P286"/>
    <mergeCell ref="P273:P276"/>
    <mergeCell ref="I287:M287"/>
    <mergeCell ref="I280:M280"/>
    <mergeCell ref="J284:M284"/>
    <mergeCell ref="I282:M282"/>
    <mergeCell ref="P234:P238"/>
    <mergeCell ref="P243:P245"/>
    <mergeCell ref="P231:P233"/>
    <mergeCell ref="P267:P269"/>
    <mergeCell ref="P270:P272"/>
    <mergeCell ref="I274:M274"/>
    <mergeCell ref="P263:P266"/>
    <mergeCell ref="I263:M263"/>
    <mergeCell ref="I265:M265"/>
    <mergeCell ref="P255:P257"/>
    <mergeCell ref="P387:P390"/>
    <mergeCell ref="I388:M388"/>
    <mergeCell ref="I389:M389"/>
    <mergeCell ref="I390:M390"/>
    <mergeCell ref="P370:P374"/>
    <mergeCell ref="I321:M321"/>
    <mergeCell ref="P325:P328"/>
    <mergeCell ref="I325:M325"/>
    <mergeCell ref="I324:M324"/>
    <mergeCell ref="I323:M323"/>
    <mergeCell ref="I322:M322"/>
    <mergeCell ref="P382:P386"/>
    <mergeCell ref="I383:M383"/>
    <mergeCell ref="I386:M386"/>
    <mergeCell ref="P332:P336"/>
    <mergeCell ref="I326:M326"/>
    <mergeCell ref="I329:I330"/>
    <mergeCell ref="I332:M332"/>
    <mergeCell ref="P355:P357"/>
    <mergeCell ref="I363:M363"/>
    <mergeCell ref="I364:M364"/>
    <mergeCell ref="P351:P354"/>
    <mergeCell ref="I337:M337"/>
    <mergeCell ref="P341:P343"/>
    <mergeCell ref="P294:P297"/>
    <mergeCell ref="P317:P319"/>
    <mergeCell ref="P313:P316"/>
    <mergeCell ref="I296:M296"/>
    <mergeCell ref="I295:M295"/>
    <mergeCell ref="P305:P307"/>
    <mergeCell ref="P308:P312"/>
    <mergeCell ref="P258:P262"/>
    <mergeCell ref="I276:M276"/>
    <mergeCell ref="I266:M266"/>
    <mergeCell ref="I290:M290"/>
    <mergeCell ref="J298:M298"/>
    <mergeCell ref="I301:M301"/>
    <mergeCell ref="I267:I268"/>
    <mergeCell ref="P287:P290"/>
    <mergeCell ref="P277:P279"/>
    <mergeCell ref="P280:P283"/>
    <mergeCell ref="I273:M273"/>
    <mergeCell ref="I270:I271"/>
    <mergeCell ref="J270:M270"/>
    <mergeCell ref="I288:M288"/>
    <mergeCell ref="I284:I285"/>
    <mergeCell ref="I277:I278"/>
    <mergeCell ref="J277:M277"/>
    <mergeCell ref="P348:P350"/>
    <mergeCell ref="I283:M283"/>
    <mergeCell ref="J341:M341"/>
    <mergeCell ref="P251:P254"/>
    <mergeCell ref="P367:P369"/>
    <mergeCell ref="P337:P340"/>
    <mergeCell ref="P329:P331"/>
    <mergeCell ref="P375:P378"/>
    <mergeCell ref="I376:M376"/>
    <mergeCell ref="I377:M377"/>
    <mergeCell ref="I373:M373"/>
    <mergeCell ref="I374:M374"/>
    <mergeCell ref="I378:M378"/>
    <mergeCell ref="I345:M345"/>
    <mergeCell ref="I346:M346"/>
    <mergeCell ref="I347:M347"/>
    <mergeCell ref="P344:P347"/>
    <mergeCell ref="I339:M339"/>
    <mergeCell ref="I341:I342"/>
    <mergeCell ref="I351:M351"/>
    <mergeCell ref="P363:P366"/>
    <mergeCell ref="I367:I368"/>
    <mergeCell ref="J367:M367"/>
    <mergeCell ref="I366:M366"/>
    <mergeCell ref="I365:M365"/>
    <mergeCell ref="I344:M344"/>
    <mergeCell ref="I352:M352"/>
    <mergeCell ref="P358:P362"/>
    <mergeCell ref="P398:P400"/>
    <mergeCell ref="B391:B393"/>
    <mergeCell ref="C391:C393"/>
    <mergeCell ref="D391:D393"/>
    <mergeCell ref="F391:F392"/>
    <mergeCell ref="P391:P393"/>
    <mergeCell ref="P394:P397"/>
    <mergeCell ref="I395:M395"/>
    <mergeCell ref="I396:M396"/>
    <mergeCell ref="I397:M397"/>
    <mergeCell ref="I394:M394"/>
    <mergeCell ref="B398:B400"/>
    <mergeCell ref="C398:C400"/>
    <mergeCell ref="D398:D400"/>
    <mergeCell ref="F398:F399"/>
    <mergeCell ref="I398:I399"/>
    <mergeCell ref="J398:M398"/>
    <mergeCell ref="I372:M372"/>
    <mergeCell ref="C358:C362"/>
    <mergeCell ref="C375:C378"/>
    <mergeCell ref="P379:P381"/>
    <mergeCell ref="A227:A230"/>
    <mergeCell ref="I358:M358"/>
    <mergeCell ref="I359:M359"/>
    <mergeCell ref="I360:M360"/>
    <mergeCell ref="D355:D357"/>
    <mergeCell ref="C351:C354"/>
    <mergeCell ref="F348:F349"/>
    <mergeCell ref="D348:D350"/>
    <mergeCell ref="F341:F342"/>
    <mergeCell ref="C348:C350"/>
    <mergeCell ref="I338:M338"/>
    <mergeCell ref="I335:M335"/>
    <mergeCell ref="I336:M336"/>
    <mergeCell ref="J317:M317"/>
    <mergeCell ref="I309:M309"/>
    <mergeCell ref="I310:M310"/>
    <mergeCell ref="I316:M316"/>
    <mergeCell ref="I328:M328"/>
    <mergeCell ref="I313:M313"/>
    <mergeCell ref="I315:M315"/>
    <mergeCell ref="I348:I349"/>
    <mergeCell ref="I353:M353"/>
    <mergeCell ref="I264:M264"/>
    <mergeCell ref="I222:M222"/>
    <mergeCell ref="I221:M221"/>
    <mergeCell ref="I220:M220"/>
    <mergeCell ref="D341:D343"/>
    <mergeCell ref="I361:M361"/>
    <mergeCell ref="I362:M362"/>
    <mergeCell ref="I355:I356"/>
    <mergeCell ref="J348:M348"/>
    <mergeCell ref="I354:M354"/>
    <mergeCell ref="F329:F330"/>
    <mergeCell ref="J355:M355"/>
    <mergeCell ref="D270:D272"/>
    <mergeCell ref="F277:F278"/>
    <mergeCell ref="F270:F271"/>
    <mergeCell ref="D267:D269"/>
    <mergeCell ref="D255:D257"/>
    <mergeCell ref="F243:F244"/>
    <mergeCell ref="I340:M340"/>
    <mergeCell ref="I242:M242"/>
    <mergeCell ref="I260:M260"/>
    <mergeCell ref="I261:M261"/>
    <mergeCell ref="I253:M253"/>
    <mergeCell ref="I289:M289"/>
    <mergeCell ref="I281:M281"/>
    <mergeCell ref="A258:A262"/>
    <mergeCell ref="A239:A245"/>
    <mergeCell ref="I334:M334"/>
    <mergeCell ref="I333:M333"/>
    <mergeCell ref="I291:I292"/>
    <mergeCell ref="C298:C300"/>
    <mergeCell ref="I371:M371"/>
    <mergeCell ref="I298:I299"/>
    <mergeCell ref="I303:M303"/>
    <mergeCell ref="I304:M304"/>
    <mergeCell ref="J305:M305"/>
    <mergeCell ref="C363:C366"/>
    <mergeCell ref="C367:C369"/>
    <mergeCell ref="B363:B366"/>
    <mergeCell ref="D367:D369"/>
    <mergeCell ref="A363:A366"/>
    <mergeCell ref="A367:A369"/>
    <mergeCell ref="F367:F368"/>
    <mergeCell ref="C277:C279"/>
    <mergeCell ref="C291:C293"/>
    <mergeCell ref="C284:C286"/>
    <mergeCell ref="C287:C290"/>
    <mergeCell ref="B313:B316"/>
    <mergeCell ref="B317:B319"/>
    <mergeCell ref="A231:A233"/>
    <mergeCell ref="A273:A276"/>
    <mergeCell ref="A277:A279"/>
    <mergeCell ref="P205:P207"/>
    <mergeCell ref="A202:A207"/>
    <mergeCell ref="A401:A407"/>
    <mergeCell ref="A80:A88"/>
    <mergeCell ref="A113:A116"/>
    <mergeCell ref="A117:A119"/>
    <mergeCell ref="A167:A170"/>
    <mergeCell ref="A171:A173"/>
    <mergeCell ref="A191:A197"/>
    <mergeCell ref="A198:A201"/>
    <mergeCell ref="A263:A269"/>
    <mergeCell ref="A370:A374"/>
    <mergeCell ref="A375:A381"/>
    <mergeCell ref="A325:A331"/>
    <mergeCell ref="A120:A126"/>
    <mergeCell ref="A160:A166"/>
    <mergeCell ref="A106:A112"/>
    <mergeCell ref="A96:A105"/>
    <mergeCell ref="A208:A214"/>
    <mergeCell ref="A246:A250"/>
    <mergeCell ref="A220:A226"/>
  </mergeCells>
  <phoneticPr fontId="29" type="noConversion"/>
  <pageMargins left="0.59055118110236227" right="0.19685039370078741" top="0.51181102362204722" bottom="0.39370078740157483" header="0.39370078740157483" footer="0"/>
  <pageSetup paperSize="9" scale="45" fitToHeight="0" orientation="landscape" useFirstPageNumber="1" r:id="rId1"/>
  <headerFooter differentFirst="1" alignWithMargins="0">
    <oddHeader>&amp;C&amp;P</oddHeader>
  </headerFooter>
  <rowBreaks count="7" manualBreakCount="7">
    <brk id="37" max="15" man="1"/>
    <brk id="58" max="15" man="1"/>
    <brk id="116" max="15" man="1"/>
    <brk id="170" max="15" man="1"/>
    <brk id="230" max="15" man="1"/>
    <brk id="276" max="15" man="1"/>
    <brk id="336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FFFF00"/>
    <pageSetUpPr fitToPage="1"/>
  </sheetPr>
  <dimension ref="A1:AE119"/>
  <sheetViews>
    <sheetView view="pageBreakPreview" topLeftCell="C1" zoomScale="70" zoomScaleNormal="60" zoomScaleSheetLayoutView="70" workbookViewId="0">
      <pane ySplit="4" topLeftCell="A83" activePane="bottomLeft" state="frozen"/>
      <selection pane="bottomLeft" activeCell="N97" sqref="N97"/>
    </sheetView>
  </sheetViews>
  <sheetFormatPr defaultColWidth="9.140625" defaultRowHeight="15" x14ac:dyDescent="0.25"/>
  <cols>
    <col min="1" max="1" width="8.28515625" style="1" customWidth="1"/>
    <col min="2" max="2" width="71.5703125" style="1" customWidth="1"/>
    <col min="3" max="3" width="18.42578125" style="14" customWidth="1"/>
    <col min="4" max="4" width="31.140625" style="1" customWidth="1"/>
    <col min="5" max="5" width="20.7109375" style="1" hidden="1" customWidth="1"/>
    <col min="6" max="6" width="21.7109375" style="127" customWidth="1"/>
    <col min="7" max="7" width="19.140625" style="39" customWidth="1"/>
    <col min="8" max="8" width="18.7109375" style="39" customWidth="1"/>
    <col min="9" max="13" width="8.42578125" style="1" customWidth="1"/>
    <col min="14" max="15" width="19.140625" style="1" customWidth="1"/>
    <col min="16" max="16" width="25.85546875" style="1" customWidth="1"/>
    <col min="17" max="17" width="25.42578125" style="100" customWidth="1"/>
    <col min="18" max="19" width="23.140625" style="100" customWidth="1"/>
    <col min="20" max="20" width="20" style="1" customWidth="1"/>
    <col min="21" max="21" width="23.42578125" style="9" customWidth="1"/>
    <col min="22" max="22" width="9.140625" style="9" customWidth="1"/>
    <col min="23" max="23" width="12.42578125" style="9" customWidth="1"/>
    <col min="24" max="31" width="9.140625" style="9"/>
    <col min="32" max="16384" width="9.140625" style="1"/>
  </cols>
  <sheetData>
    <row r="1" spans="1:19" ht="15.75" customHeight="1" x14ac:dyDescent="0.25">
      <c r="A1" s="406" t="s">
        <v>0</v>
      </c>
      <c r="B1" s="408" t="s">
        <v>138</v>
      </c>
      <c r="C1" s="408" t="s">
        <v>53</v>
      </c>
      <c r="D1" s="408" t="s">
        <v>6</v>
      </c>
      <c r="E1" s="408" t="s">
        <v>44</v>
      </c>
      <c r="F1" s="410" t="s">
        <v>7</v>
      </c>
      <c r="G1" s="408" t="s">
        <v>15</v>
      </c>
      <c r="H1" s="408"/>
      <c r="I1" s="408"/>
      <c r="J1" s="408"/>
      <c r="K1" s="408"/>
      <c r="L1" s="408"/>
      <c r="M1" s="408"/>
      <c r="N1" s="408"/>
      <c r="O1" s="408"/>
      <c r="P1" s="344" t="s">
        <v>230</v>
      </c>
      <c r="Q1" s="30"/>
      <c r="R1" s="30"/>
      <c r="S1" s="30"/>
    </row>
    <row r="2" spans="1:19" ht="20.100000000000001" customHeight="1" x14ac:dyDescent="0.25">
      <c r="A2" s="407"/>
      <c r="B2" s="408"/>
      <c r="C2" s="408"/>
      <c r="D2" s="409"/>
      <c r="E2" s="408"/>
      <c r="F2" s="410"/>
      <c r="G2" s="408"/>
      <c r="H2" s="408"/>
      <c r="I2" s="408"/>
      <c r="J2" s="408"/>
      <c r="K2" s="408"/>
      <c r="L2" s="408"/>
      <c r="M2" s="408"/>
      <c r="N2" s="408"/>
      <c r="O2" s="408"/>
      <c r="P2" s="344"/>
      <c r="Q2" s="30"/>
      <c r="R2" s="30"/>
      <c r="S2" s="30"/>
    </row>
    <row r="3" spans="1:19" ht="39" customHeight="1" x14ac:dyDescent="0.25">
      <c r="A3" s="407"/>
      <c r="B3" s="408"/>
      <c r="C3" s="409"/>
      <c r="D3" s="409"/>
      <c r="E3" s="408"/>
      <c r="F3" s="410"/>
      <c r="G3" s="177" t="s">
        <v>45</v>
      </c>
      <c r="H3" s="177" t="s">
        <v>46</v>
      </c>
      <c r="I3" s="351" t="s">
        <v>82</v>
      </c>
      <c r="J3" s="351"/>
      <c r="K3" s="351"/>
      <c r="L3" s="351"/>
      <c r="M3" s="351"/>
      <c r="N3" s="177" t="s">
        <v>83</v>
      </c>
      <c r="O3" s="177" t="s">
        <v>84</v>
      </c>
      <c r="P3" s="344"/>
      <c r="Q3" s="30"/>
      <c r="R3" s="30"/>
      <c r="S3" s="30"/>
    </row>
    <row r="4" spans="1:19" ht="21" customHeight="1" x14ac:dyDescent="0.25">
      <c r="A4" s="176">
        <v>1</v>
      </c>
      <c r="B4" s="176">
        <v>2</v>
      </c>
      <c r="C4" s="176" t="s">
        <v>8</v>
      </c>
      <c r="D4" s="176" t="s">
        <v>37</v>
      </c>
      <c r="E4" s="176" t="s">
        <v>9</v>
      </c>
      <c r="F4" s="114" t="s">
        <v>9</v>
      </c>
      <c r="G4" s="176" t="s">
        <v>35</v>
      </c>
      <c r="H4" s="176" t="s">
        <v>10</v>
      </c>
      <c r="I4" s="269" t="s">
        <v>36</v>
      </c>
      <c r="J4" s="269"/>
      <c r="K4" s="269"/>
      <c r="L4" s="269"/>
      <c r="M4" s="269"/>
      <c r="N4" s="176" t="s">
        <v>11</v>
      </c>
      <c r="O4" s="176" t="s">
        <v>12</v>
      </c>
      <c r="P4" s="176" t="s">
        <v>14</v>
      </c>
      <c r="Q4" s="29"/>
      <c r="R4" s="29"/>
      <c r="S4" s="29"/>
    </row>
    <row r="5" spans="1:19" ht="33" customHeight="1" x14ac:dyDescent="0.25">
      <c r="A5" s="411" t="s">
        <v>143</v>
      </c>
      <c r="B5" s="411"/>
      <c r="C5" s="411"/>
      <c r="D5" s="411"/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30"/>
      <c r="R5" s="30"/>
      <c r="S5" s="30"/>
    </row>
    <row r="6" spans="1:19" s="9" customFormat="1" ht="18.75" customHeight="1" x14ac:dyDescent="0.25">
      <c r="A6" s="274" t="s">
        <v>13</v>
      </c>
      <c r="B6" s="342" t="s">
        <v>108</v>
      </c>
      <c r="C6" s="342" t="s">
        <v>86</v>
      </c>
      <c r="D6" s="237" t="s">
        <v>2</v>
      </c>
      <c r="E6" s="227">
        <f>E9</f>
        <v>1000</v>
      </c>
      <c r="F6" s="115">
        <f t="shared" ref="F6:F14" si="0">SUM(G6:O6)</f>
        <v>5190</v>
      </c>
      <c r="G6" s="227">
        <f>G9</f>
        <v>1180</v>
      </c>
      <c r="H6" s="227">
        <f>H9</f>
        <v>1000</v>
      </c>
      <c r="I6" s="308">
        <f>I9</f>
        <v>1010</v>
      </c>
      <c r="J6" s="308"/>
      <c r="K6" s="308"/>
      <c r="L6" s="308"/>
      <c r="M6" s="308"/>
      <c r="N6" s="227">
        <f>N9</f>
        <v>1000</v>
      </c>
      <c r="O6" s="227">
        <f>O9</f>
        <v>1000</v>
      </c>
      <c r="P6" s="304"/>
      <c r="Q6" s="84"/>
      <c r="R6" s="84"/>
      <c r="S6" s="84"/>
    </row>
    <row r="7" spans="1:19" s="9" customFormat="1" ht="38.25" customHeight="1" x14ac:dyDescent="0.25">
      <c r="A7" s="274"/>
      <c r="B7" s="342"/>
      <c r="C7" s="342"/>
      <c r="D7" s="237" t="s">
        <v>40</v>
      </c>
      <c r="E7" s="227"/>
      <c r="F7" s="115">
        <f t="shared" si="0"/>
        <v>0</v>
      </c>
      <c r="G7" s="211">
        <f t="shared" ref="G7:H7" si="1">G11</f>
        <v>0</v>
      </c>
      <c r="H7" s="211">
        <f t="shared" si="1"/>
        <v>0</v>
      </c>
      <c r="I7" s="276">
        <f>I11</f>
        <v>0</v>
      </c>
      <c r="J7" s="276"/>
      <c r="K7" s="276"/>
      <c r="L7" s="276"/>
      <c r="M7" s="276"/>
      <c r="N7" s="211">
        <f t="shared" ref="N7:O7" si="2">N11</f>
        <v>0</v>
      </c>
      <c r="O7" s="211">
        <f t="shared" si="2"/>
        <v>0</v>
      </c>
      <c r="P7" s="304"/>
      <c r="Q7" s="84"/>
      <c r="R7" s="84"/>
      <c r="S7" s="84"/>
    </row>
    <row r="8" spans="1:19" s="9" customFormat="1" ht="37.5" x14ac:dyDescent="0.25">
      <c r="A8" s="274"/>
      <c r="B8" s="342"/>
      <c r="C8" s="342"/>
      <c r="D8" s="237" t="s">
        <v>1</v>
      </c>
      <c r="E8" s="227"/>
      <c r="F8" s="115">
        <f t="shared" si="0"/>
        <v>0</v>
      </c>
      <c r="G8" s="211">
        <f t="shared" ref="G8:H8" si="3">G12</f>
        <v>0</v>
      </c>
      <c r="H8" s="211">
        <f t="shared" si="3"/>
        <v>0</v>
      </c>
      <c r="I8" s="276">
        <f>I12</f>
        <v>0</v>
      </c>
      <c r="J8" s="276"/>
      <c r="K8" s="276"/>
      <c r="L8" s="276"/>
      <c r="M8" s="276"/>
      <c r="N8" s="211">
        <f t="shared" ref="N8:O8" si="4">N12</f>
        <v>0</v>
      </c>
      <c r="O8" s="211">
        <f t="shared" si="4"/>
        <v>0</v>
      </c>
      <c r="P8" s="304"/>
      <c r="Q8" s="84"/>
      <c r="R8" s="84"/>
      <c r="S8" s="84"/>
    </row>
    <row r="9" spans="1:19" s="9" customFormat="1" ht="58.5" customHeight="1" x14ac:dyDescent="0.25">
      <c r="A9" s="274"/>
      <c r="B9" s="342"/>
      <c r="C9" s="342"/>
      <c r="D9" s="237" t="s">
        <v>48</v>
      </c>
      <c r="E9" s="211">
        <f>E13</f>
        <v>1000</v>
      </c>
      <c r="F9" s="115">
        <f t="shared" si="0"/>
        <v>5190</v>
      </c>
      <c r="G9" s="211">
        <f t="shared" ref="G9:H9" si="5">G13</f>
        <v>1180</v>
      </c>
      <c r="H9" s="211">
        <f t="shared" si="5"/>
        <v>1000</v>
      </c>
      <c r="I9" s="276">
        <f>I13</f>
        <v>1010</v>
      </c>
      <c r="J9" s="276"/>
      <c r="K9" s="276"/>
      <c r="L9" s="276"/>
      <c r="M9" s="276"/>
      <c r="N9" s="211">
        <f t="shared" ref="N9:O9" si="6">N13</f>
        <v>1000</v>
      </c>
      <c r="O9" s="211">
        <f t="shared" si="6"/>
        <v>1000</v>
      </c>
      <c r="P9" s="304"/>
      <c r="Q9" s="84"/>
      <c r="R9" s="84"/>
      <c r="S9" s="84"/>
    </row>
    <row r="10" spans="1:19" s="9" customFormat="1" ht="37.5" x14ac:dyDescent="0.25">
      <c r="A10" s="274"/>
      <c r="B10" s="342"/>
      <c r="C10" s="342"/>
      <c r="D10" s="237" t="s">
        <v>87</v>
      </c>
      <c r="E10" s="211"/>
      <c r="F10" s="115">
        <f t="shared" si="0"/>
        <v>0</v>
      </c>
      <c r="G10" s="211">
        <f t="shared" ref="G10:H10" si="7">G14</f>
        <v>0</v>
      </c>
      <c r="H10" s="211">
        <f t="shared" si="7"/>
        <v>0</v>
      </c>
      <c r="I10" s="276">
        <f>I14</f>
        <v>0</v>
      </c>
      <c r="J10" s="276"/>
      <c r="K10" s="276"/>
      <c r="L10" s="276"/>
      <c r="M10" s="276"/>
      <c r="N10" s="211">
        <f t="shared" ref="N10:O10" si="8">N14</f>
        <v>0</v>
      </c>
      <c r="O10" s="211">
        <f t="shared" si="8"/>
        <v>0</v>
      </c>
      <c r="P10" s="304"/>
      <c r="Q10" s="84"/>
      <c r="R10" s="84"/>
      <c r="S10" s="84"/>
    </row>
    <row r="11" spans="1:19" s="9" customFormat="1" ht="37.5" customHeight="1" x14ac:dyDescent="0.25">
      <c r="A11" s="269" t="s">
        <v>26</v>
      </c>
      <c r="B11" s="341" t="s">
        <v>139</v>
      </c>
      <c r="C11" s="286" t="s">
        <v>86</v>
      </c>
      <c r="D11" s="223" t="s">
        <v>40</v>
      </c>
      <c r="E11" s="244"/>
      <c r="F11" s="115">
        <f t="shared" si="0"/>
        <v>0</v>
      </c>
      <c r="G11" s="217">
        <v>0</v>
      </c>
      <c r="H11" s="217">
        <v>0</v>
      </c>
      <c r="I11" s="290">
        <v>0</v>
      </c>
      <c r="J11" s="290"/>
      <c r="K11" s="290"/>
      <c r="L11" s="290"/>
      <c r="M11" s="290"/>
      <c r="N11" s="217">
        <v>0</v>
      </c>
      <c r="O11" s="217">
        <v>0</v>
      </c>
      <c r="P11" s="301" t="s">
        <v>3</v>
      </c>
      <c r="Q11" s="84"/>
      <c r="R11" s="84"/>
      <c r="S11" s="84"/>
    </row>
    <row r="12" spans="1:19" s="9" customFormat="1" ht="37.5" x14ac:dyDescent="0.25">
      <c r="A12" s="269"/>
      <c r="B12" s="341"/>
      <c r="C12" s="286"/>
      <c r="D12" s="223" t="s">
        <v>1</v>
      </c>
      <c r="E12" s="244"/>
      <c r="F12" s="115">
        <f t="shared" si="0"/>
        <v>0</v>
      </c>
      <c r="G12" s="217">
        <v>0</v>
      </c>
      <c r="H12" s="217">
        <v>0</v>
      </c>
      <c r="I12" s="290">
        <v>0</v>
      </c>
      <c r="J12" s="290"/>
      <c r="K12" s="290"/>
      <c r="L12" s="290"/>
      <c r="M12" s="290"/>
      <c r="N12" s="217">
        <v>0</v>
      </c>
      <c r="O12" s="217">
        <v>0</v>
      </c>
      <c r="P12" s="301"/>
      <c r="Q12" s="84"/>
      <c r="R12" s="84"/>
      <c r="S12" s="84"/>
    </row>
    <row r="13" spans="1:19" s="39" customFormat="1" ht="56.25" x14ac:dyDescent="0.25">
      <c r="A13" s="269"/>
      <c r="B13" s="341"/>
      <c r="C13" s="286"/>
      <c r="D13" s="223" t="s">
        <v>48</v>
      </c>
      <c r="E13" s="214">
        <v>1000</v>
      </c>
      <c r="F13" s="115">
        <f t="shared" si="0"/>
        <v>5190</v>
      </c>
      <c r="G13" s="214">
        <v>1180</v>
      </c>
      <c r="H13" s="214">
        <v>1000</v>
      </c>
      <c r="I13" s="433">
        <v>1010</v>
      </c>
      <c r="J13" s="433"/>
      <c r="K13" s="433"/>
      <c r="L13" s="433"/>
      <c r="M13" s="433"/>
      <c r="N13" s="214">
        <v>1000</v>
      </c>
      <c r="O13" s="214">
        <v>1000</v>
      </c>
      <c r="P13" s="301"/>
      <c r="Q13" s="53"/>
      <c r="R13" s="85"/>
      <c r="S13" s="52"/>
    </row>
    <row r="14" spans="1:19" s="39" customFormat="1" ht="37.5" x14ac:dyDescent="0.25">
      <c r="A14" s="269"/>
      <c r="B14" s="341"/>
      <c r="C14" s="286"/>
      <c r="D14" s="223" t="s">
        <v>87</v>
      </c>
      <c r="E14" s="214"/>
      <c r="F14" s="115">
        <f t="shared" si="0"/>
        <v>0</v>
      </c>
      <c r="G14" s="214">
        <v>0</v>
      </c>
      <c r="H14" s="214">
        <v>0</v>
      </c>
      <c r="I14" s="280">
        <v>0</v>
      </c>
      <c r="J14" s="280"/>
      <c r="K14" s="280"/>
      <c r="L14" s="280"/>
      <c r="M14" s="280"/>
      <c r="N14" s="214">
        <v>0</v>
      </c>
      <c r="O14" s="214">
        <v>0</v>
      </c>
      <c r="P14" s="301"/>
      <c r="Q14" s="53"/>
      <c r="R14" s="85"/>
      <c r="S14" s="52"/>
    </row>
    <row r="15" spans="1:19" s="39" customFormat="1" ht="21" customHeight="1" x14ac:dyDescent="0.25">
      <c r="A15" s="269"/>
      <c r="B15" s="296" t="s">
        <v>171</v>
      </c>
      <c r="C15" s="278" t="s">
        <v>116</v>
      </c>
      <c r="D15" s="278" t="s">
        <v>116</v>
      </c>
      <c r="E15" s="215"/>
      <c r="F15" s="285" t="s">
        <v>117</v>
      </c>
      <c r="G15" s="212" t="s">
        <v>211</v>
      </c>
      <c r="H15" s="212" t="s">
        <v>212</v>
      </c>
      <c r="I15" s="277" t="s">
        <v>123</v>
      </c>
      <c r="J15" s="281" t="s">
        <v>118</v>
      </c>
      <c r="K15" s="281"/>
      <c r="L15" s="281"/>
      <c r="M15" s="281"/>
      <c r="N15" s="212" t="s">
        <v>124</v>
      </c>
      <c r="O15" s="212" t="s">
        <v>125</v>
      </c>
      <c r="P15" s="257" t="s">
        <v>116</v>
      </c>
      <c r="Q15" s="40"/>
    </row>
    <row r="16" spans="1:19" s="39" customFormat="1" ht="19.5" customHeight="1" x14ac:dyDescent="0.25">
      <c r="A16" s="269"/>
      <c r="B16" s="296"/>
      <c r="C16" s="278"/>
      <c r="D16" s="278"/>
      <c r="E16" s="215"/>
      <c r="F16" s="285"/>
      <c r="G16" s="215"/>
      <c r="H16" s="215"/>
      <c r="I16" s="277"/>
      <c r="J16" s="215" t="s">
        <v>119</v>
      </c>
      <c r="K16" s="215" t="s">
        <v>120</v>
      </c>
      <c r="L16" s="215" t="s">
        <v>121</v>
      </c>
      <c r="M16" s="215" t="s">
        <v>122</v>
      </c>
      <c r="N16" s="215"/>
      <c r="O16" s="215"/>
      <c r="P16" s="257"/>
      <c r="Q16" s="40"/>
    </row>
    <row r="17" spans="1:23" s="39" customFormat="1" ht="22.5" customHeight="1" x14ac:dyDescent="0.25">
      <c r="A17" s="269"/>
      <c r="B17" s="296"/>
      <c r="C17" s="278"/>
      <c r="D17" s="278"/>
      <c r="E17" s="215"/>
      <c r="F17" s="116">
        <f>G17+H17+I17+N17+O17</f>
        <v>511</v>
      </c>
      <c r="G17" s="106">
        <v>111</v>
      </c>
      <c r="H17" s="106">
        <v>100</v>
      </c>
      <c r="I17" s="106">
        <v>100</v>
      </c>
      <c r="J17" s="106">
        <v>0</v>
      </c>
      <c r="K17" s="106">
        <v>0</v>
      </c>
      <c r="L17" s="106">
        <v>0</v>
      </c>
      <c r="M17" s="106">
        <v>100</v>
      </c>
      <c r="N17" s="106">
        <v>100</v>
      </c>
      <c r="O17" s="106">
        <v>100</v>
      </c>
      <c r="P17" s="257"/>
      <c r="Q17" s="40"/>
    </row>
    <row r="18" spans="1:23" s="9" customFormat="1" ht="18.75" x14ac:dyDescent="0.3">
      <c r="A18" s="267" t="s">
        <v>74</v>
      </c>
      <c r="B18" s="336" t="s">
        <v>113</v>
      </c>
      <c r="C18" s="299" t="s">
        <v>86</v>
      </c>
      <c r="D18" s="111" t="s">
        <v>2</v>
      </c>
      <c r="E18" s="222" t="e">
        <f>E21+E23</f>
        <v>#REF!</v>
      </c>
      <c r="F18" s="115">
        <f t="shared" ref="F18:F28" si="9">SUM(G18:O18)</f>
        <v>653860.85730999999</v>
      </c>
      <c r="G18" s="222">
        <f>G19+G20+G21+G22</f>
        <v>120523.37026</v>
      </c>
      <c r="H18" s="222">
        <f t="shared" ref="H18" si="10">H19+H20+H21+H22</f>
        <v>129138.62835</v>
      </c>
      <c r="I18" s="292">
        <f>I19+I20+I21+I22</f>
        <v>137083.13069999998</v>
      </c>
      <c r="J18" s="292"/>
      <c r="K18" s="292"/>
      <c r="L18" s="292"/>
      <c r="M18" s="292"/>
      <c r="N18" s="222">
        <f t="shared" ref="N18:O18" si="11">N19+N20+N21+N22</f>
        <v>133557.864</v>
      </c>
      <c r="O18" s="222">
        <f t="shared" si="11"/>
        <v>133557.864</v>
      </c>
      <c r="P18" s="412"/>
      <c r="Q18" s="86"/>
      <c r="R18" s="86"/>
      <c r="S18" s="86"/>
    </row>
    <row r="19" spans="1:23" s="9" customFormat="1" ht="37.5" x14ac:dyDescent="0.3">
      <c r="A19" s="267"/>
      <c r="B19" s="336"/>
      <c r="C19" s="299"/>
      <c r="D19" s="237" t="s">
        <v>40</v>
      </c>
      <c r="E19" s="222"/>
      <c r="F19" s="115">
        <f t="shared" si="9"/>
        <v>0</v>
      </c>
      <c r="G19" s="213">
        <f>G24+G32+G39</f>
        <v>0</v>
      </c>
      <c r="H19" s="213">
        <f>H24+H32+H39</f>
        <v>0</v>
      </c>
      <c r="I19" s="279">
        <f>I24+I32+I39</f>
        <v>0</v>
      </c>
      <c r="J19" s="279"/>
      <c r="K19" s="279"/>
      <c r="L19" s="279"/>
      <c r="M19" s="279"/>
      <c r="N19" s="213">
        <f>N24+N32+N39</f>
        <v>0</v>
      </c>
      <c r="O19" s="213">
        <f>O24+O32+O39</f>
        <v>0</v>
      </c>
      <c r="P19" s="412"/>
      <c r="Q19" s="86"/>
      <c r="R19" s="86"/>
      <c r="S19" s="86"/>
    </row>
    <row r="20" spans="1:23" s="9" customFormat="1" ht="37.5" x14ac:dyDescent="0.3">
      <c r="A20" s="267"/>
      <c r="B20" s="336"/>
      <c r="C20" s="299"/>
      <c r="D20" s="237" t="s">
        <v>1</v>
      </c>
      <c r="E20" s="222"/>
      <c r="F20" s="115">
        <f t="shared" si="9"/>
        <v>9465</v>
      </c>
      <c r="G20" s="213">
        <f t="shared" ref="G20:I20" si="12">G25+G33+G40</f>
        <v>0</v>
      </c>
      <c r="H20" s="213">
        <f t="shared" si="12"/>
        <v>3752</v>
      </c>
      <c r="I20" s="279">
        <f t="shared" si="12"/>
        <v>5713</v>
      </c>
      <c r="J20" s="279"/>
      <c r="K20" s="279"/>
      <c r="L20" s="279"/>
      <c r="M20" s="279"/>
      <c r="N20" s="213">
        <f t="shared" ref="N20:O20" si="13">N25+N33+N40</f>
        <v>0</v>
      </c>
      <c r="O20" s="213">
        <f t="shared" si="13"/>
        <v>0</v>
      </c>
      <c r="P20" s="412"/>
      <c r="Q20" s="86"/>
      <c r="R20" s="86"/>
      <c r="S20" s="86"/>
    </row>
    <row r="21" spans="1:23" s="9" customFormat="1" ht="56.25" x14ac:dyDescent="0.3">
      <c r="A21" s="267"/>
      <c r="B21" s="336"/>
      <c r="C21" s="299"/>
      <c r="D21" s="237" t="s">
        <v>48</v>
      </c>
      <c r="E21" s="213" t="e">
        <f>E26+#REF!+E34+#REF!+#REF!</f>
        <v>#REF!</v>
      </c>
      <c r="F21" s="115">
        <f t="shared" si="9"/>
        <v>530278.26530999993</v>
      </c>
      <c r="G21" s="213">
        <f t="shared" ref="G21:I21" si="14">G26+G34+G41</f>
        <v>99268.178260000001</v>
      </c>
      <c r="H21" s="213">
        <f t="shared" si="14"/>
        <v>101807.82835</v>
      </c>
      <c r="I21" s="279">
        <f t="shared" si="14"/>
        <v>109684.13069999999</v>
      </c>
      <c r="J21" s="279"/>
      <c r="K21" s="279"/>
      <c r="L21" s="279"/>
      <c r="M21" s="279"/>
      <c r="N21" s="213">
        <f t="shared" ref="N21:O21" si="15">N26+N34+N41</f>
        <v>109759.064</v>
      </c>
      <c r="O21" s="213">
        <f t="shared" si="15"/>
        <v>109759.064</v>
      </c>
      <c r="P21" s="412"/>
      <c r="Q21" s="86"/>
      <c r="R21" s="86"/>
      <c r="S21" s="86"/>
      <c r="T21" s="8"/>
    </row>
    <row r="22" spans="1:23" s="9" customFormat="1" ht="37.5" x14ac:dyDescent="0.3">
      <c r="A22" s="267"/>
      <c r="B22" s="336"/>
      <c r="C22" s="299"/>
      <c r="D22" s="237" t="s">
        <v>87</v>
      </c>
      <c r="E22" s="213"/>
      <c r="F22" s="115">
        <f t="shared" si="9"/>
        <v>114117.592</v>
      </c>
      <c r="G22" s="213">
        <f t="shared" ref="G22:I22" si="16">G27+G35+G42</f>
        <v>21255.191999999999</v>
      </c>
      <c r="H22" s="213">
        <f t="shared" si="16"/>
        <v>23578.799999999999</v>
      </c>
      <c r="I22" s="279">
        <f t="shared" si="16"/>
        <v>21686</v>
      </c>
      <c r="J22" s="279"/>
      <c r="K22" s="279"/>
      <c r="L22" s="279"/>
      <c r="M22" s="279"/>
      <c r="N22" s="213">
        <f t="shared" ref="N22:O22" si="17">N27+N35+N42</f>
        <v>23798.799999999999</v>
      </c>
      <c r="O22" s="213">
        <f t="shared" si="17"/>
        <v>23798.799999999999</v>
      </c>
      <c r="P22" s="412"/>
      <c r="Q22" s="86"/>
      <c r="R22" s="86"/>
      <c r="S22" s="86"/>
      <c r="T22" s="8"/>
    </row>
    <row r="23" spans="1:23" s="9" customFormat="1" ht="93.75" x14ac:dyDescent="0.3">
      <c r="A23" s="267"/>
      <c r="B23" s="336"/>
      <c r="C23" s="299"/>
      <c r="D23" s="231" t="s">
        <v>88</v>
      </c>
      <c r="E23" s="226">
        <f>E28</f>
        <v>13879.4</v>
      </c>
      <c r="F23" s="115">
        <f t="shared" si="9"/>
        <v>114117.592</v>
      </c>
      <c r="G23" s="226">
        <f t="shared" ref="G23:H23" si="18">G28</f>
        <v>21255.191999999999</v>
      </c>
      <c r="H23" s="226">
        <f t="shared" si="18"/>
        <v>23578.799999999999</v>
      </c>
      <c r="I23" s="307">
        <f>I28</f>
        <v>21686</v>
      </c>
      <c r="J23" s="307"/>
      <c r="K23" s="307"/>
      <c r="L23" s="307"/>
      <c r="M23" s="307"/>
      <c r="N23" s="226">
        <f t="shared" ref="N23:O23" si="19">N28</f>
        <v>23798.799999999999</v>
      </c>
      <c r="O23" s="226">
        <f t="shared" si="19"/>
        <v>23798.799999999999</v>
      </c>
      <c r="P23" s="412"/>
      <c r="Q23" s="86"/>
      <c r="R23" s="86"/>
      <c r="S23" s="86"/>
      <c r="U23" s="8"/>
      <c r="V23" s="87"/>
      <c r="W23" s="87"/>
    </row>
    <row r="24" spans="1:23" s="9" customFormat="1" ht="37.5" customHeight="1" x14ac:dyDescent="0.3">
      <c r="A24" s="404" t="s">
        <v>30</v>
      </c>
      <c r="B24" s="368" t="s">
        <v>140</v>
      </c>
      <c r="C24" s="365" t="s">
        <v>86</v>
      </c>
      <c r="D24" s="238" t="s">
        <v>40</v>
      </c>
      <c r="E24" s="235"/>
      <c r="F24" s="115">
        <f t="shared" si="9"/>
        <v>0</v>
      </c>
      <c r="G24" s="240">
        <v>0</v>
      </c>
      <c r="H24" s="240">
        <v>0</v>
      </c>
      <c r="I24" s="363">
        <v>0</v>
      </c>
      <c r="J24" s="363"/>
      <c r="K24" s="363"/>
      <c r="L24" s="363"/>
      <c r="M24" s="363"/>
      <c r="N24" s="240">
        <v>0</v>
      </c>
      <c r="O24" s="240">
        <v>0</v>
      </c>
      <c r="P24" s="362" t="s">
        <v>60</v>
      </c>
      <c r="Q24" s="86"/>
      <c r="R24" s="86"/>
      <c r="S24" s="86"/>
      <c r="U24" s="8"/>
      <c r="V24" s="87"/>
      <c r="W24" s="87"/>
    </row>
    <row r="25" spans="1:23" s="9" customFormat="1" ht="37.5" x14ac:dyDescent="0.3">
      <c r="A25" s="404"/>
      <c r="B25" s="368"/>
      <c r="C25" s="365"/>
      <c r="D25" s="238" t="s">
        <v>1</v>
      </c>
      <c r="E25" s="235"/>
      <c r="F25" s="115">
        <f t="shared" si="9"/>
        <v>0</v>
      </c>
      <c r="G25" s="240">
        <v>0</v>
      </c>
      <c r="H25" s="240">
        <v>0</v>
      </c>
      <c r="I25" s="363">
        <v>0</v>
      </c>
      <c r="J25" s="363"/>
      <c r="K25" s="363"/>
      <c r="L25" s="363"/>
      <c r="M25" s="363"/>
      <c r="N25" s="240">
        <v>0</v>
      </c>
      <c r="O25" s="240">
        <v>0</v>
      </c>
      <c r="P25" s="362"/>
      <c r="Q25" s="86"/>
      <c r="R25" s="86"/>
      <c r="S25" s="86"/>
      <c r="U25" s="8"/>
      <c r="V25" s="87"/>
      <c r="W25" s="87"/>
    </row>
    <row r="26" spans="1:23" s="39" customFormat="1" ht="56.25" customHeight="1" x14ac:dyDescent="0.25">
      <c r="A26" s="404"/>
      <c r="B26" s="368"/>
      <c r="C26" s="365"/>
      <c r="D26" s="238" t="s">
        <v>48</v>
      </c>
      <c r="E26" s="240">
        <v>74745.548039999994</v>
      </c>
      <c r="F26" s="115">
        <f t="shared" si="9"/>
        <v>488702.01410999999</v>
      </c>
      <c r="G26" s="234">
        <v>93662.546260000003</v>
      </c>
      <c r="H26" s="234">
        <v>93568.322310000003</v>
      </c>
      <c r="I26" s="325">
        <f>100505-62.57446+18.72</f>
        <v>100461.14554</v>
      </c>
      <c r="J26" s="325"/>
      <c r="K26" s="325"/>
      <c r="L26" s="325"/>
      <c r="M26" s="325"/>
      <c r="N26" s="234">
        <v>100505</v>
      </c>
      <c r="O26" s="234">
        <v>100505</v>
      </c>
      <c r="P26" s="362"/>
      <c r="Q26" s="53"/>
      <c r="R26" s="53"/>
      <c r="S26" s="53"/>
    </row>
    <row r="27" spans="1:23" s="39" customFormat="1" ht="37.5" x14ac:dyDescent="0.25">
      <c r="A27" s="404"/>
      <c r="B27" s="368"/>
      <c r="C27" s="365"/>
      <c r="D27" s="238" t="s">
        <v>87</v>
      </c>
      <c r="E27" s="240"/>
      <c r="F27" s="115">
        <f t="shared" si="9"/>
        <v>114117.592</v>
      </c>
      <c r="G27" s="234">
        <f t="shared" ref="G27:H27" si="20">G28</f>
        <v>21255.191999999999</v>
      </c>
      <c r="H27" s="234">
        <f t="shared" si="20"/>
        <v>23578.799999999999</v>
      </c>
      <c r="I27" s="326">
        <f>I28</f>
        <v>21686</v>
      </c>
      <c r="J27" s="326"/>
      <c r="K27" s="326"/>
      <c r="L27" s="326"/>
      <c r="M27" s="326"/>
      <c r="N27" s="234">
        <f t="shared" ref="N27:O27" si="21">N28</f>
        <v>23798.799999999999</v>
      </c>
      <c r="O27" s="234">
        <f t="shared" si="21"/>
        <v>23798.799999999999</v>
      </c>
      <c r="P27" s="362"/>
      <c r="Q27" s="53"/>
      <c r="R27" s="53"/>
      <c r="S27" s="53"/>
    </row>
    <row r="28" spans="1:23" s="39" customFormat="1" ht="93.75" x14ac:dyDescent="0.25">
      <c r="A28" s="404"/>
      <c r="B28" s="368"/>
      <c r="C28" s="365"/>
      <c r="D28" s="238" t="s">
        <v>88</v>
      </c>
      <c r="E28" s="240">
        <v>13879.4</v>
      </c>
      <c r="F28" s="115">
        <f t="shared" si="9"/>
        <v>114117.592</v>
      </c>
      <c r="G28" s="239">
        <v>21255.191999999999</v>
      </c>
      <c r="H28" s="239">
        <v>23578.799999999999</v>
      </c>
      <c r="I28" s="361">
        <v>21686</v>
      </c>
      <c r="J28" s="361"/>
      <c r="K28" s="361"/>
      <c r="L28" s="361"/>
      <c r="M28" s="361"/>
      <c r="N28" s="239">
        <v>23798.799999999999</v>
      </c>
      <c r="O28" s="239">
        <v>23798.799999999999</v>
      </c>
      <c r="P28" s="362"/>
      <c r="Q28" s="53"/>
      <c r="R28" s="53"/>
      <c r="S28" s="53"/>
    </row>
    <row r="29" spans="1:23" s="39" customFormat="1" ht="23.25" customHeight="1" x14ac:dyDescent="0.25">
      <c r="A29" s="404"/>
      <c r="B29" s="296" t="s">
        <v>172</v>
      </c>
      <c r="C29" s="278" t="s">
        <v>116</v>
      </c>
      <c r="D29" s="278" t="s">
        <v>116</v>
      </c>
      <c r="E29" s="215"/>
      <c r="F29" s="285" t="s">
        <v>117</v>
      </c>
      <c r="G29" s="212" t="s">
        <v>211</v>
      </c>
      <c r="H29" s="212" t="s">
        <v>212</v>
      </c>
      <c r="I29" s="277" t="s">
        <v>123</v>
      </c>
      <c r="J29" s="281" t="s">
        <v>118</v>
      </c>
      <c r="K29" s="281"/>
      <c r="L29" s="281"/>
      <c r="M29" s="281"/>
      <c r="N29" s="212" t="s">
        <v>124</v>
      </c>
      <c r="O29" s="212" t="s">
        <v>125</v>
      </c>
      <c r="P29" s="257" t="s">
        <v>116</v>
      </c>
      <c r="Q29" s="40"/>
    </row>
    <row r="30" spans="1:23" s="39" customFormat="1" ht="20.25" customHeight="1" x14ac:dyDescent="0.25">
      <c r="A30" s="404"/>
      <c r="B30" s="296"/>
      <c r="C30" s="278"/>
      <c r="D30" s="278"/>
      <c r="E30" s="215"/>
      <c r="F30" s="285"/>
      <c r="G30" s="215"/>
      <c r="H30" s="215"/>
      <c r="I30" s="277"/>
      <c r="J30" s="215" t="s">
        <v>119</v>
      </c>
      <c r="K30" s="215" t="s">
        <v>120</v>
      </c>
      <c r="L30" s="215" t="s">
        <v>121</v>
      </c>
      <c r="M30" s="215" t="s">
        <v>122</v>
      </c>
      <c r="N30" s="215"/>
      <c r="O30" s="215"/>
      <c r="P30" s="257"/>
      <c r="Q30" s="40"/>
    </row>
    <row r="31" spans="1:23" s="39" customFormat="1" ht="18.75" customHeight="1" x14ac:dyDescent="0.25">
      <c r="A31" s="404"/>
      <c r="B31" s="296"/>
      <c r="C31" s="278"/>
      <c r="D31" s="278"/>
      <c r="E31" s="215"/>
      <c r="F31" s="116">
        <v>4</v>
      </c>
      <c r="G31" s="106">
        <v>4</v>
      </c>
      <c r="H31" s="106">
        <v>4</v>
      </c>
      <c r="I31" s="106">
        <v>4</v>
      </c>
      <c r="J31" s="106">
        <v>4</v>
      </c>
      <c r="K31" s="106">
        <v>4</v>
      </c>
      <c r="L31" s="106">
        <v>4</v>
      </c>
      <c r="M31" s="106">
        <v>4</v>
      </c>
      <c r="N31" s="106">
        <v>4</v>
      </c>
      <c r="O31" s="106">
        <v>4</v>
      </c>
      <c r="P31" s="257"/>
      <c r="Q31" s="40"/>
    </row>
    <row r="32" spans="1:23" s="39" customFormat="1" ht="37.5" customHeight="1" x14ac:dyDescent="0.25">
      <c r="A32" s="270" t="s">
        <v>31</v>
      </c>
      <c r="B32" s="323" t="s">
        <v>141</v>
      </c>
      <c r="C32" s="324" t="s">
        <v>86</v>
      </c>
      <c r="D32" s="241" t="s">
        <v>40</v>
      </c>
      <c r="E32" s="234"/>
      <c r="F32" s="115">
        <f>SUM(G32:O32)</f>
        <v>0</v>
      </c>
      <c r="G32" s="234">
        <v>0</v>
      </c>
      <c r="H32" s="234">
        <v>0</v>
      </c>
      <c r="I32" s="325">
        <v>0</v>
      </c>
      <c r="J32" s="325"/>
      <c r="K32" s="325"/>
      <c r="L32" s="325"/>
      <c r="M32" s="325"/>
      <c r="N32" s="234">
        <v>0</v>
      </c>
      <c r="O32" s="234">
        <v>0</v>
      </c>
      <c r="P32" s="319" t="s">
        <v>3</v>
      </c>
      <c r="Q32" s="98"/>
      <c r="R32" s="98"/>
      <c r="S32" s="98"/>
    </row>
    <row r="33" spans="1:19" s="39" customFormat="1" ht="37.5" x14ac:dyDescent="0.25">
      <c r="A33" s="270"/>
      <c r="B33" s="323"/>
      <c r="C33" s="324"/>
      <c r="D33" s="241" t="s">
        <v>1</v>
      </c>
      <c r="E33" s="234"/>
      <c r="F33" s="115">
        <f>SUM(G33:O33)</f>
        <v>0</v>
      </c>
      <c r="G33" s="234">
        <v>0</v>
      </c>
      <c r="H33" s="234">
        <v>0</v>
      </c>
      <c r="I33" s="325">
        <v>0</v>
      </c>
      <c r="J33" s="325"/>
      <c r="K33" s="325"/>
      <c r="L33" s="325"/>
      <c r="M33" s="325"/>
      <c r="N33" s="234">
        <v>0</v>
      </c>
      <c r="O33" s="234">
        <v>0</v>
      </c>
      <c r="P33" s="319"/>
      <c r="Q33" s="98"/>
      <c r="R33" s="98"/>
      <c r="S33" s="98"/>
    </row>
    <row r="34" spans="1:19" s="39" customFormat="1" ht="54.75" customHeight="1" x14ac:dyDescent="0.25">
      <c r="A34" s="270"/>
      <c r="B34" s="323"/>
      <c r="C34" s="324"/>
      <c r="D34" s="241" t="s">
        <v>48</v>
      </c>
      <c r="E34" s="234">
        <v>0</v>
      </c>
      <c r="F34" s="115">
        <f>SUM(G34:O34)</f>
        <v>41576.251199999999</v>
      </c>
      <c r="G34" s="234">
        <v>5605.6319999999996</v>
      </c>
      <c r="H34" s="234">
        <v>8239.5060400000002</v>
      </c>
      <c r="I34" s="325">
        <f>9254.064-12.35884-18.72</f>
        <v>9222.9851600000002</v>
      </c>
      <c r="J34" s="325"/>
      <c r="K34" s="325"/>
      <c r="L34" s="325"/>
      <c r="M34" s="325"/>
      <c r="N34" s="234">
        <f t="shared" ref="N34:O34" si="22">8314+940.064</f>
        <v>9254.0640000000003</v>
      </c>
      <c r="O34" s="234">
        <f t="shared" si="22"/>
        <v>9254.0640000000003</v>
      </c>
      <c r="P34" s="319"/>
      <c r="Q34" s="98"/>
      <c r="R34" s="98"/>
      <c r="S34" s="98"/>
    </row>
    <row r="35" spans="1:19" s="39" customFormat="1" ht="38.25" customHeight="1" x14ac:dyDescent="0.25">
      <c r="A35" s="270"/>
      <c r="B35" s="323"/>
      <c r="C35" s="324"/>
      <c r="D35" s="241" t="s">
        <v>87</v>
      </c>
      <c r="E35" s="234"/>
      <c r="F35" s="115">
        <f>SUM(G35:O35)</f>
        <v>0</v>
      </c>
      <c r="G35" s="234">
        <v>0</v>
      </c>
      <c r="H35" s="234">
        <v>0</v>
      </c>
      <c r="I35" s="325">
        <v>0</v>
      </c>
      <c r="J35" s="325"/>
      <c r="K35" s="325"/>
      <c r="L35" s="325"/>
      <c r="M35" s="325"/>
      <c r="N35" s="234">
        <v>0</v>
      </c>
      <c r="O35" s="234">
        <v>0</v>
      </c>
      <c r="P35" s="319"/>
      <c r="Q35" s="98"/>
      <c r="R35" s="98"/>
      <c r="S35" s="98"/>
    </row>
    <row r="36" spans="1:19" s="39" customFormat="1" ht="22.5" customHeight="1" x14ac:dyDescent="0.25">
      <c r="A36" s="270"/>
      <c r="B36" s="296" t="s">
        <v>173</v>
      </c>
      <c r="C36" s="278" t="s">
        <v>116</v>
      </c>
      <c r="D36" s="278" t="s">
        <v>116</v>
      </c>
      <c r="E36" s="215"/>
      <c r="F36" s="285" t="s">
        <v>117</v>
      </c>
      <c r="G36" s="212" t="s">
        <v>211</v>
      </c>
      <c r="H36" s="212" t="s">
        <v>212</v>
      </c>
      <c r="I36" s="277" t="s">
        <v>123</v>
      </c>
      <c r="J36" s="281" t="s">
        <v>118</v>
      </c>
      <c r="K36" s="281"/>
      <c r="L36" s="281"/>
      <c r="M36" s="281"/>
      <c r="N36" s="212" t="s">
        <v>124</v>
      </c>
      <c r="O36" s="212" t="s">
        <v>125</v>
      </c>
      <c r="P36" s="257" t="s">
        <v>116</v>
      </c>
      <c r="Q36" s="40"/>
    </row>
    <row r="37" spans="1:19" s="39" customFormat="1" ht="25.5" customHeight="1" x14ac:dyDescent="0.25">
      <c r="A37" s="270"/>
      <c r="B37" s="296"/>
      <c r="C37" s="278"/>
      <c r="D37" s="278"/>
      <c r="E37" s="215"/>
      <c r="F37" s="285"/>
      <c r="G37" s="215"/>
      <c r="H37" s="215"/>
      <c r="I37" s="277"/>
      <c r="J37" s="215" t="s">
        <v>119</v>
      </c>
      <c r="K37" s="215" t="s">
        <v>120</v>
      </c>
      <c r="L37" s="215" t="s">
        <v>121</v>
      </c>
      <c r="M37" s="215" t="s">
        <v>122</v>
      </c>
      <c r="N37" s="215"/>
      <c r="O37" s="215"/>
      <c r="P37" s="257"/>
      <c r="Q37" s="40"/>
    </row>
    <row r="38" spans="1:19" s="39" customFormat="1" ht="21" customHeight="1" x14ac:dyDescent="0.25">
      <c r="A38" s="270"/>
      <c r="B38" s="296"/>
      <c r="C38" s="278"/>
      <c r="D38" s="278"/>
      <c r="E38" s="215"/>
      <c r="F38" s="116">
        <v>100</v>
      </c>
      <c r="G38" s="106">
        <v>100</v>
      </c>
      <c r="H38" s="106">
        <v>100</v>
      </c>
      <c r="I38" s="106">
        <v>100</v>
      </c>
      <c r="J38" s="106">
        <v>100</v>
      </c>
      <c r="K38" s="106">
        <v>100</v>
      </c>
      <c r="L38" s="106">
        <v>100</v>
      </c>
      <c r="M38" s="106">
        <v>100</v>
      </c>
      <c r="N38" s="106">
        <v>100</v>
      </c>
      <c r="O38" s="106">
        <v>100</v>
      </c>
      <c r="P38" s="257"/>
      <c r="Q38" s="40"/>
    </row>
    <row r="39" spans="1:19" s="39" customFormat="1" ht="43.5" customHeight="1" x14ac:dyDescent="0.25">
      <c r="A39" s="270" t="s">
        <v>32</v>
      </c>
      <c r="B39" s="323" t="s">
        <v>238</v>
      </c>
      <c r="C39" s="324" t="s">
        <v>46</v>
      </c>
      <c r="D39" s="241" t="s">
        <v>40</v>
      </c>
      <c r="E39" s="234"/>
      <c r="F39" s="115">
        <f>SUM(G39:O39)</f>
        <v>0</v>
      </c>
      <c r="G39" s="234">
        <v>0</v>
      </c>
      <c r="H39" s="234">
        <v>0</v>
      </c>
      <c r="I39" s="325">
        <v>0</v>
      </c>
      <c r="J39" s="325"/>
      <c r="K39" s="325"/>
      <c r="L39" s="325"/>
      <c r="M39" s="325"/>
      <c r="N39" s="234">
        <v>0</v>
      </c>
      <c r="O39" s="234">
        <v>0</v>
      </c>
      <c r="P39" s="319" t="s">
        <v>240</v>
      </c>
      <c r="Q39" s="98"/>
      <c r="R39" s="98"/>
      <c r="S39" s="98"/>
    </row>
    <row r="40" spans="1:19" s="39" customFormat="1" ht="38.25" customHeight="1" x14ac:dyDescent="0.25">
      <c r="A40" s="270"/>
      <c r="B40" s="323"/>
      <c r="C40" s="324"/>
      <c r="D40" s="241" t="s">
        <v>1</v>
      </c>
      <c r="E40" s="234"/>
      <c r="F40" s="115">
        <f>SUM(G40:O40)</f>
        <v>9465</v>
      </c>
      <c r="G40" s="234">
        <v>0</v>
      </c>
      <c r="H40" s="234">
        <v>3752</v>
      </c>
      <c r="I40" s="325">
        <v>5713</v>
      </c>
      <c r="J40" s="325"/>
      <c r="K40" s="325"/>
      <c r="L40" s="325"/>
      <c r="M40" s="325"/>
      <c r="N40" s="234">
        <v>0</v>
      </c>
      <c r="O40" s="234">
        <v>0</v>
      </c>
      <c r="P40" s="319"/>
      <c r="Q40" s="98"/>
      <c r="R40" s="98"/>
      <c r="S40" s="98"/>
    </row>
    <row r="41" spans="1:19" s="39" customFormat="1" ht="56.25" x14ac:dyDescent="0.25">
      <c r="A41" s="270"/>
      <c r="B41" s="323"/>
      <c r="C41" s="324"/>
      <c r="D41" s="241" t="s">
        <v>48</v>
      </c>
      <c r="E41" s="234">
        <v>0</v>
      </c>
      <c r="F41" s="115">
        <f>SUM(G41:O41)</f>
        <v>0</v>
      </c>
      <c r="G41" s="234">
        <v>0</v>
      </c>
      <c r="H41" s="234">
        <v>0</v>
      </c>
      <c r="I41" s="325">
        <v>0</v>
      </c>
      <c r="J41" s="325"/>
      <c r="K41" s="325"/>
      <c r="L41" s="325"/>
      <c r="M41" s="325"/>
      <c r="N41" s="234">
        <v>0</v>
      </c>
      <c r="O41" s="234">
        <v>0</v>
      </c>
      <c r="P41" s="319"/>
      <c r="Q41" s="98"/>
      <c r="R41" s="98"/>
      <c r="S41" s="98"/>
    </row>
    <row r="42" spans="1:19" s="39" customFormat="1" ht="48" customHeight="1" x14ac:dyDescent="0.25">
      <c r="A42" s="270"/>
      <c r="B42" s="323"/>
      <c r="C42" s="324"/>
      <c r="D42" s="241" t="s">
        <v>87</v>
      </c>
      <c r="E42" s="234"/>
      <c r="F42" s="115">
        <f>SUM(G42:O42)</f>
        <v>0</v>
      </c>
      <c r="G42" s="234">
        <v>0</v>
      </c>
      <c r="H42" s="234">
        <v>0</v>
      </c>
      <c r="I42" s="325">
        <v>0</v>
      </c>
      <c r="J42" s="325"/>
      <c r="K42" s="325"/>
      <c r="L42" s="325"/>
      <c r="M42" s="325"/>
      <c r="N42" s="234">
        <v>0</v>
      </c>
      <c r="O42" s="234">
        <v>0</v>
      </c>
      <c r="P42" s="319"/>
      <c r="Q42" s="98"/>
      <c r="R42" s="98"/>
      <c r="S42" s="98"/>
    </row>
    <row r="43" spans="1:19" s="39" customFormat="1" ht="26.45" customHeight="1" x14ac:dyDescent="0.25">
      <c r="A43" s="270"/>
      <c r="B43" s="405" t="s">
        <v>239</v>
      </c>
      <c r="C43" s="278" t="s">
        <v>116</v>
      </c>
      <c r="D43" s="278" t="s">
        <v>116</v>
      </c>
      <c r="E43" s="215"/>
      <c r="F43" s="285" t="s">
        <v>117</v>
      </c>
      <c r="G43" s="212" t="s">
        <v>211</v>
      </c>
      <c r="H43" s="212" t="s">
        <v>212</v>
      </c>
      <c r="I43" s="277" t="s">
        <v>123</v>
      </c>
      <c r="J43" s="281" t="s">
        <v>118</v>
      </c>
      <c r="K43" s="281"/>
      <c r="L43" s="281"/>
      <c r="M43" s="281"/>
      <c r="N43" s="212" t="s">
        <v>124</v>
      </c>
      <c r="O43" s="212" t="s">
        <v>125</v>
      </c>
      <c r="P43" s="257" t="s">
        <v>116</v>
      </c>
      <c r="Q43" s="40"/>
    </row>
    <row r="44" spans="1:19" s="39" customFormat="1" ht="21" customHeight="1" x14ac:dyDescent="0.25">
      <c r="A44" s="270"/>
      <c r="B44" s="405"/>
      <c r="C44" s="278"/>
      <c r="D44" s="278"/>
      <c r="E44" s="215"/>
      <c r="F44" s="285"/>
      <c r="G44" s="215"/>
      <c r="H44" s="215"/>
      <c r="I44" s="277"/>
      <c r="J44" s="215" t="s">
        <v>119</v>
      </c>
      <c r="K44" s="215" t="s">
        <v>120</v>
      </c>
      <c r="L44" s="215" t="s">
        <v>121</v>
      </c>
      <c r="M44" s="215" t="s">
        <v>122</v>
      </c>
      <c r="N44" s="215"/>
      <c r="O44" s="215"/>
      <c r="P44" s="257"/>
      <c r="Q44" s="40"/>
    </row>
    <row r="45" spans="1:19" s="39" customFormat="1" ht="37.5" customHeight="1" x14ac:dyDescent="0.25">
      <c r="A45" s="270"/>
      <c r="B45" s="405"/>
      <c r="C45" s="278"/>
      <c r="D45" s="278"/>
      <c r="E45" s="215"/>
      <c r="F45" s="159">
        <f>H45</f>
        <v>106.86</v>
      </c>
      <c r="G45" s="106">
        <v>0</v>
      </c>
      <c r="H45" s="158">
        <v>106.86</v>
      </c>
      <c r="I45" s="106">
        <v>100</v>
      </c>
      <c r="J45" s="106">
        <v>0</v>
      </c>
      <c r="K45" s="106">
        <v>0</v>
      </c>
      <c r="L45" s="106">
        <v>0</v>
      </c>
      <c r="M45" s="106">
        <v>100</v>
      </c>
      <c r="N45" s="106">
        <v>0</v>
      </c>
      <c r="O45" s="106">
        <v>0</v>
      </c>
      <c r="P45" s="257"/>
      <c r="Q45" s="40"/>
    </row>
    <row r="46" spans="1:19" s="9" customFormat="1" ht="27.75" customHeight="1" x14ac:dyDescent="0.25">
      <c r="A46" s="267" t="s">
        <v>8</v>
      </c>
      <c r="B46" s="336" t="s">
        <v>215</v>
      </c>
      <c r="C46" s="299" t="s">
        <v>244</v>
      </c>
      <c r="D46" s="111" t="s">
        <v>2</v>
      </c>
      <c r="E46" s="222" t="e">
        <f>E48+E49</f>
        <v>#REF!</v>
      </c>
      <c r="F46" s="115">
        <f>SUM(G46:O46)</f>
        <v>7019</v>
      </c>
      <c r="G46" s="222">
        <f t="shared" ref="G46:H46" si="23">G47+G48+G49+G50</f>
        <v>333</v>
      </c>
      <c r="H46" s="222">
        <f t="shared" si="23"/>
        <v>2178</v>
      </c>
      <c r="I46" s="292">
        <f>I47+I48+I49+I50</f>
        <v>4508</v>
      </c>
      <c r="J46" s="292"/>
      <c r="K46" s="292"/>
      <c r="L46" s="292"/>
      <c r="M46" s="292"/>
      <c r="N46" s="222">
        <f t="shared" ref="N46:O46" si="24">N47+N48+N49+N50</f>
        <v>0</v>
      </c>
      <c r="O46" s="222">
        <f t="shared" si="24"/>
        <v>0</v>
      </c>
      <c r="P46" s="295"/>
      <c r="Q46" s="88"/>
      <c r="R46" s="88"/>
      <c r="S46" s="88"/>
    </row>
    <row r="47" spans="1:19" s="9" customFormat="1" ht="39" customHeight="1" x14ac:dyDescent="0.25">
      <c r="A47" s="267"/>
      <c r="B47" s="336"/>
      <c r="C47" s="299"/>
      <c r="D47" s="218" t="s">
        <v>40</v>
      </c>
      <c r="E47" s="222"/>
      <c r="F47" s="115">
        <f>SUM(I47:O47)</f>
        <v>0</v>
      </c>
      <c r="G47" s="213">
        <f>G51</f>
        <v>0</v>
      </c>
      <c r="H47" s="213">
        <f t="shared" ref="H47" si="25">H51</f>
        <v>0</v>
      </c>
      <c r="I47" s="279">
        <f>I51</f>
        <v>0</v>
      </c>
      <c r="J47" s="279"/>
      <c r="K47" s="279"/>
      <c r="L47" s="279"/>
      <c r="M47" s="279"/>
      <c r="N47" s="213">
        <f t="shared" ref="N47:O47" si="26">N51</f>
        <v>0</v>
      </c>
      <c r="O47" s="213">
        <f t="shared" si="26"/>
        <v>0</v>
      </c>
      <c r="P47" s="295"/>
      <c r="Q47" s="88"/>
      <c r="R47" s="88"/>
      <c r="S47" s="88"/>
    </row>
    <row r="48" spans="1:19" s="9" customFormat="1" ht="41.25" customHeight="1" x14ac:dyDescent="0.25">
      <c r="A48" s="267"/>
      <c r="B48" s="336"/>
      <c r="C48" s="299"/>
      <c r="D48" s="218" t="s">
        <v>1</v>
      </c>
      <c r="E48" s="213" t="e">
        <f>#REF!+#REF!</f>
        <v>#REF!</v>
      </c>
      <c r="F48" s="115">
        <f>SUM(G48:O48)</f>
        <v>7019</v>
      </c>
      <c r="G48" s="213">
        <f t="shared" ref="G48:H48" si="27">G52+G62</f>
        <v>333</v>
      </c>
      <c r="H48" s="213">
        <f t="shared" si="27"/>
        <v>2178</v>
      </c>
      <c r="I48" s="279">
        <f>I52+I62</f>
        <v>4508</v>
      </c>
      <c r="J48" s="279"/>
      <c r="K48" s="279"/>
      <c r="L48" s="279"/>
      <c r="M48" s="279"/>
      <c r="N48" s="213">
        <f t="shared" ref="N48:O48" si="28">N52+N62</f>
        <v>0</v>
      </c>
      <c r="O48" s="213">
        <f t="shared" si="28"/>
        <v>0</v>
      </c>
      <c r="P48" s="295"/>
      <c r="Q48" s="88"/>
      <c r="R48" s="88"/>
      <c r="S48" s="88"/>
    </row>
    <row r="49" spans="1:19" s="9" customFormat="1" ht="56.25" customHeight="1" x14ac:dyDescent="0.25">
      <c r="A49" s="267"/>
      <c r="B49" s="336"/>
      <c r="C49" s="299"/>
      <c r="D49" s="218" t="s">
        <v>48</v>
      </c>
      <c r="E49" s="226" t="e">
        <f>#REF!+#REF!</f>
        <v>#REF!</v>
      </c>
      <c r="F49" s="115">
        <f>SUM(I49:O49)</f>
        <v>0</v>
      </c>
      <c r="G49" s="226">
        <f t="shared" ref="G49:H49" si="29">G53+G63</f>
        <v>0</v>
      </c>
      <c r="H49" s="226">
        <f t="shared" si="29"/>
        <v>0</v>
      </c>
      <c r="I49" s="307">
        <f>I53+I63</f>
        <v>0</v>
      </c>
      <c r="J49" s="307"/>
      <c r="K49" s="307"/>
      <c r="L49" s="307"/>
      <c r="M49" s="307"/>
      <c r="N49" s="226">
        <f t="shared" ref="N49:O49" si="30">N53+N63</f>
        <v>0</v>
      </c>
      <c r="O49" s="226">
        <f t="shared" si="30"/>
        <v>0</v>
      </c>
      <c r="P49" s="295"/>
      <c r="Q49" s="88"/>
      <c r="R49" s="88"/>
      <c r="S49" s="88"/>
    </row>
    <row r="50" spans="1:19" s="9" customFormat="1" ht="37.5" x14ac:dyDescent="0.25">
      <c r="A50" s="267"/>
      <c r="B50" s="336"/>
      <c r="C50" s="299"/>
      <c r="D50" s="218" t="s">
        <v>87</v>
      </c>
      <c r="E50" s="226"/>
      <c r="F50" s="115">
        <f>SUM(I50:O50)</f>
        <v>0</v>
      </c>
      <c r="G50" s="226">
        <f>G54</f>
        <v>0</v>
      </c>
      <c r="H50" s="226">
        <f t="shared" ref="H50" si="31">H54</f>
        <v>0</v>
      </c>
      <c r="I50" s="307">
        <f>I54</f>
        <v>0</v>
      </c>
      <c r="J50" s="307"/>
      <c r="K50" s="307"/>
      <c r="L50" s="307"/>
      <c r="M50" s="307"/>
      <c r="N50" s="226">
        <f t="shared" ref="N50:O50" si="32">N54</f>
        <v>0</v>
      </c>
      <c r="O50" s="226">
        <f t="shared" si="32"/>
        <v>0</v>
      </c>
      <c r="P50" s="295"/>
      <c r="Q50" s="88"/>
      <c r="R50" s="88"/>
      <c r="S50" s="88"/>
    </row>
    <row r="51" spans="1:19" s="39" customFormat="1" ht="43.5" customHeight="1" x14ac:dyDescent="0.25">
      <c r="A51" s="270" t="s">
        <v>34</v>
      </c>
      <c r="B51" s="323" t="s">
        <v>194</v>
      </c>
      <c r="C51" s="324" t="s">
        <v>244</v>
      </c>
      <c r="D51" s="241" t="s">
        <v>40</v>
      </c>
      <c r="E51" s="234"/>
      <c r="F51" s="115">
        <f>SUM(I51:O51)</f>
        <v>0</v>
      </c>
      <c r="G51" s="234">
        <v>0</v>
      </c>
      <c r="H51" s="234">
        <v>0</v>
      </c>
      <c r="I51" s="325">
        <v>0</v>
      </c>
      <c r="J51" s="325"/>
      <c r="K51" s="325"/>
      <c r="L51" s="325"/>
      <c r="M51" s="325"/>
      <c r="N51" s="234">
        <v>0</v>
      </c>
      <c r="O51" s="234">
        <v>0</v>
      </c>
      <c r="P51" s="319" t="s">
        <v>3</v>
      </c>
      <c r="Q51" s="98"/>
      <c r="R51" s="98"/>
      <c r="S51" s="98"/>
    </row>
    <row r="52" spans="1:19" s="39" customFormat="1" ht="37.5" x14ac:dyDescent="0.25">
      <c r="A52" s="270"/>
      <c r="B52" s="323"/>
      <c r="C52" s="324"/>
      <c r="D52" s="241" t="s">
        <v>1</v>
      </c>
      <c r="E52" s="234"/>
      <c r="F52" s="115">
        <f>SUM(G52:O52)</f>
        <v>7019</v>
      </c>
      <c r="G52" s="234">
        <v>333</v>
      </c>
      <c r="H52" s="234">
        <v>2178</v>
      </c>
      <c r="I52" s="325">
        <v>4508</v>
      </c>
      <c r="J52" s="325"/>
      <c r="K52" s="325"/>
      <c r="L52" s="325"/>
      <c r="M52" s="325"/>
      <c r="N52" s="234">
        <v>0</v>
      </c>
      <c r="O52" s="234">
        <v>0</v>
      </c>
      <c r="P52" s="319"/>
      <c r="Q52" s="98"/>
      <c r="R52" s="98"/>
      <c r="S52" s="98"/>
    </row>
    <row r="53" spans="1:19" s="39" customFormat="1" ht="56.25" x14ac:dyDescent="0.25">
      <c r="A53" s="270"/>
      <c r="B53" s="323"/>
      <c r="C53" s="324"/>
      <c r="D53" s="241" t="s">
        <v>48</v>
      </c>
      <c r="E53" s="234">
        <v>0</v>
      </c>
      <c r="F53" s="115">
        <f>SUM(I53:O53)</f>
        <v>0</v>
      </c>
      <c r="G53" s="234">
        <v>0</v>
      </c>
      <c r="H53" s="234">
        <v>0</v>
      </c>
      <c r="I53" s="325">
        <v>0</v>
      </c>
      <c r="J53" s="325"/>
      <c r="K53" s="325"/>
      <c r="L53" s="325"/>
      <c r="M53" s="325"/>
      <c r="N53" s="234">
        <v>0</v>
      </c>
      <c r="O53" s="234">
        <v>0</v>
      </c>
      <c r="P53" s="319"/>
      <c r="Q53" s="98"/>
      <c r="R53" s="98"/>
      <c r="S53" s="98"/>
    </row>
    <row r="54" spans="1:19" s="39" customFormat="1" ht="39.75" customHeight="1" x14ac:dyDescent="0.25">
      <c r="A54" s="270"/>
      <c r="B54" s="323"/>
      <c r="C54" s="324"/>
      <c r="D54" s="241" t="s">
        <v>87</v>
      </c>
      <c r="E54" s="234"/>
      <c r="F54" s="115">
        <f>SUM(I54:O54)</f>
        <v>0</v>
      </c>
      <c r="G54" s="234">
        <v>0</v>
      </c>
      <c r="H54" s="234">
        <v>0</v>
      </c>
      <c r="I54" s="325">
        <v>0</v>
      </c>
      <c r="J54" s="325"/>
      <c r="K54" s="325"/>
      <c r="L54" s="325"/>
      <c r="M54" s="325"/>
      <c r="N54" s="234">
        <v>0</v>
      </c>
      <c r="O54" s="234">
        <v>0</v>
      </c>
      <c r="P54" s="319"/>
      <c r="Q54" s="98"/>
      <c r="R54" s="98"/>
      <c r="S54" s="98"/>
    </row>
    <row r="55" spans="1:19" s="39" customFormat="1" ht="27.6" customHeight="1" x14ac:dyDescent="0.25">
      <c r="A55" s="270"/>
      <c r="B55" s="296" t="s">
        <v>236</v>
      </c>
      <c r="C55" s="278" t="s">
        <v>116</v>
      </c>
      <c r="D55" s="278" t="s">
        <v>116</v>
      </c>
      <c r="E55" s="215"/>
      <c r="F55" s="285" t="s">
        <v>117</v>
      </c>
      <c r="G55" s="212" t="s">
        <v>211</v>
      </c>
      <c r="H55" s="212" t="s">
        <v>212</v>
      </c>
      <c r="I55" s="277" t="s">
        <v>123</v>
      </c>
      <c r="J55" s="281" t="s">
        <v>118</v>
      </c>
      <c r="K55" s="281"/>
      <c r="L55" s="281"/>
      <c r="M55" s="281"/>
      <c r="N55" s="212" t="s">
        <v>124</v>
      </c>
      <c r="O55" s="212" t="s">
        <v>125</v>
      </c>
      <c r="P55" s="257" t="s">
        <v>116</v>
      </c>
      <c r="Q55" s="40"/>
    </row>
    <row r="56" spans="1:19" s="39" customFormat="1" ht="27" customHeight="1" x14ac:dyDescent="0.25">
      <c r="A56" s="270"/>
      <c r="B56" s="296"/>
      <c r="C56" s="278"/>
      <c r="D56" s="278"/>
      <c r="E56" s="215"/>
      <c r="F56" s="285"/>
      <c r="G56" s="215"/>
      <c r="H56" s="215"/>
      <c r="I56" s="277"/>
      <c r="J56" s="215" t="s">
        <v>119</v>
      </c>
      <c r="K56" s="215" t="s">
        <v>120</v>
      </c>
      <c r="L56" s="215" t="s">
        <v>121</v>
      </c>
      <c r="M56" s="215" t="s">
        <v>122</v>
      </c>
      <c r="N56" s="215"/>
      <c r="O56" s="215"/>
      <c r="P56" s="257"/>
      <c r="Q56" s="40"/>
    </row>
    <row r="57" spans="1:19" s="39" customFormat="1" ht="62.25" customHeight="1" x14ac:dyDescent="0.25">
      <c r="A57" s="270"/>
      <c r="B57" s="296"/>
      <c r="C57" s="278"/>
      <c r="D57" s="278"/>
      <c r="E57" s="215"/>
      <c r="F57" s="116">
        <f>G57+H57</f>
        <v>228</v>
      </c>
      <c r="G57" s="106">
        <v>74</v>
      </c>
      <c r="H57" s="106">
        <v>154</v>
      </c>
      <c r="I57" s="185" t="s">
        <v>254</v>
      </c>
      <c r="J57" s="185" t="s">
        <v>254</v>
      </c>
      <c r="K57" s="185" t="s">
        <v>254</v>
      </c>
      <c r="L57" s="185" t="s">
        <v>254</v>
      </c>
      <c r="M57" s="185" t="s">
        <v>254</v>
      </c>
      <c r="N57" s="106" t="s">
        <v>254</v>
      </c>
      <c r="O57" s="106" t="s">
        <v>254</v>
      </c>
      <c r="P57" s="257"/>
      <c r="Q57" s="40"/>
    </row>
    <row r="58" spans="1:19" s="39" customFormat="1" ht="27.75" customHeight="1" x14ac:dyDescent="0.25">
      <c r="A58" s="270"/>
      <c r="B58" s="296" t="s">
        <v>251</v>
      </c>
      <c r="C58" s="278" t="s">
        <v>116</v>
      </c>
      <c r="D58" s="278" t="s">
        <v>116</v>
      </c>
      <c r="E58" s="215"/>
      <c r="F58" s="285" t="s">
        <v>117</v>
      </c>
      <c r="G58" s="212" t="s">
        <v>211</v>
      </c>
      <c r="H58" s="212" t="s">
        <v>212</v>
      </c>
      <c r="I58" s="277" t="s">
        <v>123</v>
      </c>
      <c r="J58" s="281" t="s">
        <v>118</v>
      </c>
      <c r="K58" s="281"/>
      <c r="L58" s="281"/>
      <c r="M58" s="281"/>
      <c r="N58" s="212" t="s">
        <v>124</v>
      </c>
      <c r="O58" s="212" t="s">
        <v>125</v>
      </c>
      <c r="P58" s="257" t="s">
        <v>116</v>
      </c>
      <c r="Q58" s="40"/>
    </row>
    <row r="59" spans="1:19" s="39" customFormat="1" ht="28.5" customHeight="1" x14ac:dyDescent="0.25">
      <c r="A59" s="270"/>
      <c r="B59" s="296"/>
      <c r="C59" s="278"/>
      <c r="D59" s="278"/>
      <c r="E59" s="215"/>
      <c r="F59" s="285"/>
      <c r="G59" s="215"/>
      <c r="H59" s="215"/>
      <c r="I59" s="277"/>
      <c r="J59" s="215" t="s">
        <v>119</v>
      </c>
      <c r="K59" s="215" t="s">
        <v>120</v>
      </c>
      <c r="L59" s="215" t="s">
        <v>121</v>
      </c>
      <c r="M59" s="215" t="s">
        <v>122</v>
      </c>
      <c r="N59" s="215"/>
      <c r="O59" s="215"/>
      <c r="P59" s="257"/>
      <c r="Q59" s="40"/>
    </row>
    <row r="60" spans="1:19" s="39" customFormat="1" ht="62.25" customHeight="1" x14ac:dyDescent="0.25">
      <c r="A60" s="270"/>
      <c r="B60" s="296"/>
      <c r="C60" s="278"/>
      <c r="D60" s="278"/>
      <c r="E60" s="215"/>
      <c r="F60" s="116">
        <v>100</v>
      </c>
      <c r="G60" s="106" t="s">
        <v>254</v>
      </c>
      <c r="H60" s="106" t="s">
        <v>254</v>
      </c>
      <c r="I60" s="185">
        <v>100</v>
      </c>
      <c r="J60" s="185">
        <v>100</v>
      </c>
      <c r="K60" s="185">
        <v>100</v>
      </c>
      <c r="L60" s="185">
        <v>100</v>
      </c>
      <c r="M60" s="185">
        <v>100</v>
      </c>
      <c r="N60" s="106">
        <v>0</v>
      </c>
      <c r="O60" s="106">
        <v>0</v>
      </c>
      <c r="P60" s="257"/>
      <c r="Q60" s="40"/>
    </row>
    <row r="61" spans="1:19" s="9" customFormat="1" ht="29.25" customHeight="1" x14ac:dyDescent="0.25">
      <c r="A61" s="267" t="s">
        <v>37</v>
      </c>
      <c r="B61" s="336" t="s">
        <v>109</v>
      </c>
      <c r="C61" s="299" t="s">
        <v>86</v>
      </c>
      <c r="D61" s="111" t="s">
        <v>2</v>
      </c>
      <c r="E61" s="222" t="e">
        <f>E63+E64</f>
        <v>#REF!</v>
      </c>
      <c r="F61" s="115">
        <f t="shared" ref="F61:F65" si="33">SUM(G61:O61)</f>
        <v>175559.71100000001</v>
      </c>
      <c r="G61" s="222">
        <f t="shared" ref="G61:H61" si="34">G62+G63+G64+G65</f>
        <v>12718.079</v>
      </c>
      <c r="H61" s="222">
        <f t="shared" si="34"/>
        <v>35778.392</v>
      </c>
      <c r="I61" s="292">
        <f>I62+I63+I64+I65</f>
        <v>46815.24</v>
      </c>
      <c r="J61" s="292"/>
      <c r="K61" s="292"/>
      <c r="L61" s="292"/>
      <c r="M61" s="292"/>
      <c r="N61" s="222">
        <f t="shared" ref="N61:O61" si="35">N62+N63+N64+N65</f>
        <v>40124</v>
      </c>
      <c r="O61" s="222">
        <f t="shared" si="35"/>
        <v>40124</v>
      </c>
      <c r="P61" s="295"/>
      <c r="Q61" s="88"/>
      <c r="R61" s="88"/>
      <c r="S61" s="88"/>
    </row>
    <row r="62" spans="1:19" s="9" customFormat="1" ht="37.5" x14ac:dyDescent="0.25">
      <c r="A62" s="267"/>
      <c r="B62" s="336"/>
      <c r="C62" s="299"/>
      <c r="D62" s="218" t="s">
        <v>40</v>
      </c>
      <c r="E62" s="222"/>
      <c r="F62" s="115">
        <f t="shared" si="33"/>
        <v>0</v>
      </c>
      <c r="G62" s="213">
        <f>G66</f>
        <v>0</v>
      </c>
      <c r="H62" s="213">
        <f>H66</f>
        <v>0</v>
      </c>
      <c r="I62" s="279">
        <f>I66</f>
        <v>0</v>
      </c>
      <c r="J62" s="279"/>
      <c r="K62" s="279"/>
      <c r="L62" s="279"/>
      <c r="M62" s="279"/>
      <c r="N62" s="213">
        <f>N66</f>
        <v>0</v>
      </c>
      <c r="O62" s="213">
        <f>O66</f>
        <v>0</v>
      </c>
      <c r="P62" s="295"/>
      <c r="Q62" s="88"/>
      <c r="R62" s="88"/>
      <c r="S62" s="88"/>
    </row>
    <row r="63" spans="1:19" s="9" customFormat="1" ht="37.5" x14ac:dyDescent="0.25">
      <c r="A63" s="267"/>
      <c r="B63" s="336"/>
      <c r="C63" s="299"/>
      <c r="D63" s="218" t="s">
        <v>1</v>
      </c>
      <c r="E63" s="213" t="e">
        <f>#REF!+#REF!</f>
        <v>#REF!</v>
      </c>
      <c r="F63" s="115">
        <f t="shared" si="33"/>
        <v>0</v>
      </c>
      <c r="G63" s="213">
        <f t="shared" ref="G63:I63" si="36">G67</f>
        <v>0</v>
      </c>
      <c r="H63" s="213">
        <f t="shared" si="36"/>
        <v>0</v>
      </c>
      <c r="I63" s="279">
        <f t="shared" si="36"/>
        <v>0</v>
      </c>
      <c r="J63" s="279"/>
      <c r="K63" s="279"/>
      <c r="L63" s="279"/>
      <c r="M63" s="279"/>
      <c r="N63" s="213">
        <f t="shared" ref="N63:O63" si="37">N67</f>
        <v>0</v>
      </c>
      <c r="O63" s="213">
        <f t="shared" si="37"/>
        <v>0</v>
      </c>
      <c r="P63" s="295"/>
      <c r="Q63" s="88"/>
      <c r="R63" s="88"/>
      <c r="S63" s="88"/>
    </row>
    <row r="64" spans="1:19" s="9" customFormat="1" ht="56.25" x14ac:dyDescent="0.25">
      <c r="A64" s="267"/>
      <c r="B64" s="336"/>
      <c r="C64" s="299"/>
      <c r="D64" s="218" t="s">
        <v>48</v>
      </c>
      <c r="E64" s="226" t="e">
        <f>#REF!+#REF!</f>
        <v>#REF!</v>
      </c>
      <c r="F64" s="115">
        <f t="shared" si="33"/>
        <v>175559.71100000001</v>
      </c>
      <c r="G64" s="213">
        <f t="shared" ref="G64:I64" si="38">G68</f>
        <v>12718.079</v>
      </c>
      <c r="H64" s="213">
        <f t="shared" si="38"/>
        <v>35778.392</v>
      </c>
      <c r="I64" s="279">
        <f t="shared" si="38"/>
        <v>46815.24</v>
      </c>
      <c r="J64" s="279"/>
      <c r="K64" s="279"/>
      <c r="L64" s="279"/>
      <c r="M64" s="279"/>
      <c r="N64" s="213">
        <f t="shared" ref="N64:O64" si="39">N68</f>
        <v>40124</v>
      </c>
      <c r="O64" s="213">
        <f t="shared" si="39"/>
        <v>40124</v>
      </c>
      <c r="P64" s="295"/>
      <c r="Q64" s="88"/>
      <c r="R64" s="88"/>
      <c r="S64" s="88"/>
    </row>
    <row r="65" spans="1:21" s="9" customFormat="1" ht="37.5" x14ac:dyDescent="0.25">
      <c r="A65" s="267"/>
      <c r="B65" s="336"/>
      <c r="C65" s="299"/>
      <c r="D65" s="218" t="s">
        <v>87</v>
      </c>
      <c r="E65" s="226"/>
      <c r="F65" s="115">
        <f t="shared" si="33"/>
        <v>0</v>
      </c>
      <c r="G65" s="213">
        <f t="shared" ref="G65:I65" si="40">G69</f>
        <v>0</v>
      </c>
      <c r="H65" s="213">
        <f t="shared" si="40"/>
        <v>0</v>
      </c>
      <c r="I65" s="279">
        <f t="shared" si="40"/>
        <v>0</v>
      </c>
      <c r="J65" s="279"/>
      <c r="K65" s="279"/>
      <c r="L65" s="279"/>
      <c r="M65" s="279"/>
      <c r="N65" s="213">
        <f t="shared" ref="N65:O65" si="41">N69</f>
        <v>0</v>
      </c>
      <c r="O65" s="213">
        <f t="shared" si="41"/>
        <v>0</v>
      </c>
      <c r="P65" s="295"/>
      <c r="Q65" s="88"/>
      <c r="R65" s="88"/>
      <c r="S65" s="88"/>
    </row>
    <row r="66" spans="1:21" s="39" customFormat="1" ht="37.5" x14ac:dyDescent="0.25">
      <c r="A66" s="266" t="s">
        <v>195</v>
      </c>
      <c r="B66" s="323" t="s">
        <v>199</v>
      </c>
      <c r="C66" s="324" t="s">
        <v>198</v>
      </c>
      <c r="D66" s="241" t="s">
        <v>40</v>
      </c>
      <c r="E66" s="234"/>
      <c r="F66" s="115">
        <f>SUM(G66:O66)</f>
        <v>0</v>
      </c>
      <c r="G66" s="234">
        <v>0</v>
      </c>
      <c r="H66" s="234">
        <v>0</v>
      </c>
      <c r="I66" s="325">
        <v>0</v>
      </c>
      <c r="J66" s="325"/>
      <c r="K66" s="325"/>
      <c r="L66" s="325"/>
      <c r="M66" s="325"/>
      <c r="N66" s="234">
        <v>0</v>
      </c>
      <c r="O66" s="234">
        <v>0</v>
      </c>
      <c r="P66" s="319" t="s">
        <v>65</v>
      </c>
      <c r="Q66" s="98"/>
      <c r="R66" s="98"/>
      <c r="S66" s="98"/>
    </row>
    <row r="67" spans="1:21" s="39" customFormat="1" ht="37.5" x14ac:dyDescent="0.25">
      <c r="A67" s="258"/>
      <c r="B67" s="323"/>
      <c r="C67" s="324"/>
      <c r="D67" s="241" t="s">
        <v>1</v>
      </c>
      <c r="E67" s="234"/>
      <c r="F67" s="115">
        <f>SUM(G67:O67)</f>
        <v>0</v>
      </c>
      <c r="G67" s="234">
        <v>0</v>
      </c>
      <c r="H67" s="234">
        <v>0</v>
      </c>
      <c r="I67" s="325">
        <v>0</v>
      </c>
      <c r="J67" s="325"/>
      <c r="K67" s="325"/>
      <c r="L67" s="325"/>
      <c r="M67" s="325"/>
      <c r="N67" s="234">
        <v>0</v>
      </c>
      <c r="O67" s="234">
        <v>0</v>
      </c>
      <c r="P67" s="319"/>
      <c r="Q67" s="98"/>
      <c r="R67" s="98"/>
      <c r="S67" s="98"/>
    </row>
    <row r="68" spans="1:21" s="39" customFormat="1" ht="56.25" x14ac:dyDescent="0.25">
      <c r="A68" s="258"/>
      <c r="B68" s="323"/>
      <c r="C68" s="324"/>
      <c r="D68" s="241" t="s">
        <v>48</v>
      </c>
      <c r="E68" s="234">
        <v>0</v>
      </c>
      <c r="F68" s="115">
        <f>SUM(G68:O68)</f>
        <v>175559.71100000001</v>
      </c>
      <c r="G68" s="234">
        <v>12718.079</v>
      </c>
      <c r="H68" s="234">
        <v>35778.392</v>
      </c>
      <c r="I68" s="325">
        <f>40124+12659.24-5968</f>
        <v>46815.24</v>
      </c>
      <c r="J68" s="325"/>
      <c r="K68" s="325"/>
      <c r="L68" s="325"/>
      <c r="M68" s="325"/>
      <c r="N68" s="234">
        <v>40124</v>
      </c>
      <c r="O68" s="234">
        <v>40124</v>
      </c>
      <c r="P68" s="319"/>
      <c r="Q68" s="98"/>
      <c r="R68" s="98"/>
      <c r="S68" s="98"/>
    </row>
    <row r="69" spans="1:21" s="39" customFormat="1" ht="37.5" x14ac:dyDescent="0.25">
      <c r="A69" s="258"/>
      <c r="B69" s="323"/>
      <c r="C69" s="324"/>
      <c r="D69" s="241" t="s">
        <v>87</v>
      </c>
      <c r="E69" s="234"/>
      <c r="F69" s="115">
        <f>SUM(G69:O69)</f>
        <v>0</v>
      </c>
      <c r="G69" s="234">
        <v>0</v>
      </c>
      <c r="H69" s="234">
        <v>0</v>
      </c>
      <c r="I69" s="325">
        <v>0</v>
      </c>
      <c r="J69" s="325"/>
      <c r="K69" s="325"/>
      <c r="L69" s="325"/>
      <c r="M69" s="325"/>
      <c r="N69" s="234">
        <v>0</v>
      </c>
      <c r="O69" s="234">
        <v>0</v>
      </c>
      <c r="P69" s="319"/>
      <c r="Q69" s="98"/>
      <c r="R69" s="98"/>
      <c r="S69" s="98"/>
    </row>
    <row r="70" spans="1:21" s="39" customFormat="1" ht="28.15" customHeight="1" x14ac:dyDescent="0.25">
      <c r="A70" s="258"/>
      <c r="B70" s="296" t="s">
        <v>174</v>
      </c>
      <c r="C70" s="278" t="s">
        <v>116</v>
      </c>
      <c r="D70" s="278" t="s">
        <v>116</v>
      </c>
      <c r="E70" s="215"/>
      <c r="F70" s="285" t="s">
        <v>117</v>
      </c>
      <c r="G70" s="212" t="s">
        <v>211</v>
      </c>
      <c r="H70" s="212" t="s">
        <v>212</v>
      </c>
      <c r="I70" s="277" t="s">
        <v>123</v>
      </c>
      <c r="J70" s="281" t="s">
        <v>118</v>
      </c>
      <c r="K70" s="281"/>
      <c r="L70" s="281"/>
      <c r="M70" s="281"/>
      <c r="N70" s="212" t="s">
        <v>124</v>
      </c>
      <c r="O70" s="212" t="s">
        <v>125</v>
      </c>
      <c r="P70" s="257" t="s">
        <v>116</v>
      </c>
      <c r="Q70" s="40"/>
    </row>
    <row r="71" spans="1:21" s="39" customFormat="1" ht="28.5" customHeight="1" x14ac:dyDescent="0.25">
      <c r="A71" s="258"/>
      <c r="B71" s="296"/>
      <c r="C71" s="278"/>
      <c r="D71" s="278"/>
      <c r="E71" s="215"/>
      <c r="F71" s="285"/>
      <c r="G71" s="215"/>
      <c r="H71" s="215"/>
      <c r="I71" s="277"/>
      <c r="J71" s="215" t="s">
        <v>119</v>
      </c>
      <c r="K71" s="215" t="s">
        <v>120</v>
      </c>
      <c r="L71" s="215" t="s">
        <v>121</v>
      </c>
      <c r="M71" s="215" t="s">
        <v>122</v>
      </c>
      <c r="N71" s="215"/>
      <c r="O71" s="215"/>
      <c r="P71" s="257"/>
      <c r="Q71" s="40"/>
    </row>
    <row r="72" spans="1:21" s="39" customFormat="1" ht="36" customHeight="1" x14ac:dyDescent="0.25">
      <c r="A72" s="259"/>
      <c r="B72" s="296"/>
      <c r="C72" s="278"/>
      <c r="D72" s="278"/>
      <c r="E72" s="215"/>
      <c r="F72" s="116">
        <v>100</v>
      </c>
      <c r="G72" s="106">
        <v>100</v>
      </c>
      <c r="H72" s="106">
        <v>100</v>
      </c>
      <c r="I72" s="106">
        <v>100</v>
      </c>
      <c r="J72" s="106">
        <v>100</v>
      </c>
      <c r="K72" s="106">
        <v>100</v>
      </c>
      <c r="L72" s="106">
        <v>100</v>
      </c>
      <c r="M72" s="106">
        <v>100</v>
      </c>
      <c r="N72" s="106">
        <v>100</v>
      </c>
      <c r="O72" s="106">
        <v>100</v>
      </c>
      <c r="P72" s="257"/>
      <c r="Q72" s="40"/>
    </row>
    <row r="73" spans="1:21" s="9" customFormat="1" ht="32.25" customHeight="1" x14ac:dyDescent="0.25">
      <c r="A73" s="274" t="s">
        <v>9</v>
      </c>
      <c r="B73" s="342" t="s">
        <v>225</v>
      </c>
      <c r="C73" s="342" t="s">
        <v>46</v>
      </c>
      <c r="D73" s="237" t="s">
        <v>2</v>
      </c>
      <c r="E73" s="227" t="e">
        <f>E75+E76+E74</f>
        <v>#REF!</v>
      </c>
      <c r="F73" s="115">
        <f t="shared" ref="F73:F81" si="42">SUM(G73:O73)</f>
        <v>15267.931240000002</v>
      </c>
      <c r="G73" s="227">
        <f t="shared" ref="G73:H73" si="43">G74+G75+G76+G77</f>
        <v>0</v>
      </c>
      <c r="H73" s="227">
        <f t="shared" si="43"/>
        <v>15267.931240000002</v>
      </c>
      <c r="I73" s="308">
        <f>I74+I75+I76+I77</f>
        <v>0</v>
      </c>
      <c r="J73" s="308"/>
      <c r="K73" s="308"/>
      <c r="L73" s="308"/>
      <c r="M73" s="308"/>
      <c r="N73" s="227">
        <f t="shared" ref="N73:O73" si="44">N74+N75+N76+N77</f>
        <v>0</v>
      </c>
      <c r="O73" s="227">
        <f t="shared" si="44"/>
        <v>0</v>
      </c>
      <c r="P73" s="304"/>
      <c r="Q73" s="99"/>
      <c r="R73" s="99"/>
      <c r="S73" s="99"/>
      <c r="T73" s="44"/>
      <c r="U73" s="44"/>
    </row>
    <row r="74" spans="1:21" s="9" customFormat="1" ht="37.5" x14ac:dyDescent="0.25">
      <c r="A74" s="274"/>
      <c r="B74" s="342"/>
      <c r="C74" s="342"/>
      <c r="D74" s="237" t="s">
        <v>40</v>
      </c>
      <c r="E74" s="211">
        <f>E133</f>
        <v>0</v>
      </c>
      <c r="F74" s="115">
        <f t="shared" si="42"/>
        <v>11309.578670000001</v>
      </c>
      <c r="G74" s="211">
        <f t="shared" ref="G74:H74" si="45">G78</f>
        <v>0</v>
      </c>
      <c r="H74" s="211">
        <f t="shared" si="45"/>
        <v>11309.578670000001</v>
      </c>
      <c r="I74" s="276">
        <f>I78</f>
        <v>0</v>
      </c>
      <c r="J74" s="276"/>
      <c r="K74" s="276"/>
      <c r="L74" s="276"/>
      <c r="M74" s="276"/>
      <c r="N74" s="211">
        <f t="shared" ref="N74:O74" si="46">N78</f>
        <v>0</v>
      </c>
      <c r="O74" s="211">
        <f t="shared" si="46"/>
        <v>0</v>
      </c>
      <c r="P74" s="304"/>
      <c r="Q74" s="99"/>
      <c r="R74" s="99"/>
      <c r="S74" s="99"/>
      <c r="T74" s="44"/>
      <c r="U74" s="44"/>
    </row>
    <row r="75" spans="1:21" s="9" customFormat="1" ht="37.5" x14ac:dyDescent="0.25">
      <c r="A75" s="274"/>
      <c r="B75" s="342"/>
      <c r="C75" s="342"/>
      <c r="D75" s="237" t="s">
        <v>1</v>
      </c>
      <c r="E75" s="211" t="e">
        <f>#REF!+E78+E79+E115+#REF!+#REF!+E134+E139</f>
        <v>#REF!</v>
      </c>
      <c r="F75" s="115">
        <f t="shared" si="42"/>
        <v>3769.8595700000001</v>
      </c>
      <c r="G75" s="211">
        <f t="shared" ref="G75:H75" si="47">G79</f>
        <v>0</v>
      </c>
      <c r="H75" s="211">
        <f t="shared" si="47"/>
        <v>3769.8595700000001</v>
      </c>
      <c r="I75" s="276">
        <f>I79</f>
        <v>0</v>
      </c>
      <c r="J75" s="276"/>
      <c r="K75" s="276"/>
      <c r="L75" s="276"/>
      <c r="M75" s="276"/>
      <c r="N75" s="211">
        <f t="shared" ref="N75:O75" si="48">N79</f>
        <v>0</v>
      </c>
      <c r="O75" s="211">
        <f t="shared" si="48"/>
        <v>0</v>
      </c>
      <c r="P75" s="304"/>
      <c r="Q75" s="99"/>
      <c r="R75" s="99"/>
      <c r="S75" s="99"/>
      <c r="T75" s="44"/>
      <c r="U75" s="44"/>
    </row>
    <row r="76" spans="1:21" s="9" customFormat="1" ht="56.25" x14ac:dyDescent="0.25">
      <c r="A76" s="274"/>
      <c r="B76" s="342"/>
      <c r="C76" s="342"/>
      <c r="D76" s="237" t="s">
        <v>48</v>
      </c>
      <c r="E76" s="211" t="e">
        <f>#REF!+E119+#REF!+#REF!+#REF!+E135+E141</f>
        <v>#REF!</v>
      </c>
      <c r="F76" s="115">
        <f t="shared" si="42"/>
        <v>188.49299999999999</v>
      </c>
      <c r="G76" s="211">
        <f t="shared" ref="G76:H76" si="49">G80</f>
        <v>0</v>
      </c>
      <c r="H76" s="211">
        <f t="shared" si="49"/>
        <v>188.49299999999999</v>
      </c>
      <c r="I76" s="276">
        <f>I80</f>
        <v>0</v>
      </c>
      <c r="J76" s="276"/>
      <c r="K76" s="276"/>
      <c r="L76" s="276"/>
      <c r="M76" s="276"/>
      <c r="N76" s="211">
        <f t="shared" ref="N76:O76" si="50">N80</f>
        <v>0</v>
      </c>
      <c r="O76" s="211">
        <f t="shared" si="50"/>
        <v>0</v>
      </c>
      <c r="P76" s="304"/>
      <c r="Q76" s="99"/>
      <c r="R76" s="99"/>
      <c r="S76" s="99"/>
      <c r="T76" s="44"/>
      <c r="U76" s="44"/>
    </row>
    <row r="77" spans="1:21" s="9" customFormat="1" ht="37.5" x14ac:dyDescent="0.25">
      <c r="A77" s="274"/>
      <c r="B77" s="342"/>
      <c r="C77" s="342"/>
      <c r="D77" s="237" t="s">
        <v>87</v>
      </c>
      <c r="E77" s="211"/>
      <c r="F77" s="115">
        <f t="shared" si="42"/>
        <v>0</v>
      </c>
      <c r="G77" s="211">
        <f t="shared" ref="G77:H77" si="51">G81</f>
        <v>0</v>
      </c>
      <c r="H77" s="211">
        <f t="shared" si="51"/>
        <v>0</v>
      </c>
      <c r="I77" s="276">
        <f>I81</f>
        <v>0</v>
      </c>
      <c r="J77" s="276"/>
      <c r="K77" s="276"/>
      <c r="L77" s="276"/>
      <c r="M77" s="276"/>
      <c r="N77" s="211">
        <f t="shared" ref="N77:O77" si="52">N81</f>
        <v>0</v>
      </c>
      <c r="O77" s="211">
        <f t="shared" si="52"/>
        <v>0</v>
      </c>
      <c r="P77" s="304"/>
      <c r="Q77" s="99"/>
      <c r="R77" s="99"/>
      <c r="S77" s="99"/>
      <c r="T77" s="44"/>
      <c r="U77" s="44"/>
    </row>
    <row r="78" spans="1:21" s="39" customFormat="1" ht="37.5" x14ac:dyDescent="0.25">
      <c r="A78" s="269" t="s">
        <v>52</v>
      </c>
      <c r="B78" s="366" t="s">
        <v>111</v>
      </c>
      <c r="C78" s="286" t="s">
        <v>46</v>
      </c>
      <c r="D78" s="241" t="s">
        <v>40</v>
      </c>
      <c r="E78" s="217">
        <v>200475</v>
      </c>
      <c r="F78" s="115">
        <f t="shared" si="42"/>
        <v>11309.578670000001</v>
      </c>
      <c r="G78" s="217">
        <v>0</v>
      </c>
      <c r="H78" s="217">
        <v>11309.578670000001</v>
      </c>
      <c r="I78" s="290">
        <v>0</v>
      </c>
      <c r="J78" s="290"/>
      <c r="K78" s="290"/>
      <c r="L78" s="290"/>
      <c r="M78" s="290"/>
      <c r="N78" s="217">
        <v>0</v>
      </c>
      <c r="O78" s="217">
        <v>0</v>
      </c>
      <c r="P78" s="300" t="s">
        <v>3</v>
      </c>
      <c r="Q78" s="98"/>
      <c r="R78" s="98"/>
      <c r="S78" s="98"/>
    </row>
    <row r="79" spans="1:21" s="39" customFormat="1" ht="37.5" x14ac:dyDescent="0.25">
      <c r="A79" s="269"/>
      <c r="B79" s="366"/>
      <c r="C79" s="286"/>
      <c r="D79" s="241" t="s">
        <v>1</v>
      </c>
      <c r="E79" s="217">
        <v>93</v>
      </c>
      <c r="F79" s="115">
        <f t="shared" si="42"/>
        <v>3769.8595700000001</v>
      </c>
      <c r="G79" s="217">
        <v>0</v>
      </c>
      <c r="H79" s="217">
        <v>3769.8595700000001</v>
      </c>
      <c r="I79" s="290">
        <v>0</v>
      </c>
      <c r="J79" s="290"/>
      <c r="K79" s="290"/>
      <c r="L79" s="290"/>
      <c r="M79" s="290"/>
      <c r="N79" s="217">
        <v>0</v>
      </c>
      <c r="O79" s="217">
        <v>0</v>
      </c>
      <c r="P79" s="300"/>
      <c r="Q79" s="98"/>
      <c r="R79" s="98"/>
      <c r="S79" s="98"/>
    </row>
    <row r="80" spans="1:21" s="39" customFormat="1" ht="56.25" x14ac:dyDescent="0.25">
      <c r="A80" s="269"/>
      <c r="B80" s="366"/>
      <c r="C80" s="286"/>
      <c r="D80" s="241" t="s">
        <v>47</v>
      </c>
      <c r="E80" s="217"/>
      <c r="F80" s="115">
        <f t="shared" si="42"/>
        <v>188.49299999999999</v>
      </c>
      <c r="G80" s="217">
        <v>0</v>
      </c>
      <c r="H80" s="217">
        <v>188.49299999999999</v>
      </c>
      <c r="I80" s="290">
        <v>0</v>
      </c>
      <c r="J80" s="290"/>
      <c r="K80" s="290"/>
      <c r="L80" s="290"/>
      <c r="M80" s="290"/>
      <c r="N80" s="217">
        <v>0</v>
      </c>
      <c r="O80" s="217">
        <v>0</v>
      </c>
      <c r="P80" s="300"/>
      <c r="Q80" s="98"/>
      <c r="R80" s="98"/>
      <c r="S80" s="98"/>
    </row>
    <row r="81" spans="1:21" s="39" customFormat="1" ht="37.5" x14ac:dyDescent="0.25">
      <c r="A81" s="269"/>
      <c r="B81" s="366"/>
      <c r="C81" s="286"/>
      <c r="D81" s="241" t="s">
        <v>87</v>
      </c>
      <c r="E81" s="217"/>
      <c r="F81" s="115">
        <f t="shared" si="42"/>
        <v>0</v>
      </c>
      <c r="G81" s="217">
        <v>0</v>
      </c>
      <c r="H81" s="217">
        <v>0</v>
      </c>
      <c r="I81" s="290">
        <v>0</v>
      </c>
      <c r="J81" s="290"/>
      <c r="K81" s="290"/>
      <c r="L81" s="290"/>
      <c r="M81" s="290"/>
      <c r="N81" s="217">
        <v>0</v>
      </c>
      <c r="O81" s="217">
        <v>0</v>
      </c>
      <c r="P81" s="300"/>
      <c r="Q81" s="98"/>
      <c r="R81" s="98"/>
      <c r="S81" s="98"/>
    </row>
    <row r="82" spans="1:21" s="39" customFormat="1" ht="28.15" customHeight="1" x14ac:dyDescent="0.25">
      <c r="A82" s="269"/>
      <c r="B82" s="296" t="s">
        <v>175</v>
      </c>
      <c r="C82" s="278" t="s">
        <v>116</v>
      </c>
      <c r="D82" s="278" t="s">
        <v>116</v>
      </c>
      <c r="E82" s="215"/>
      <c r="F82" s="285" t="s">
        <v>117</v>
      </c>
      <c r="G82" s="212" t="s">
        <v>211</v>
      </c>
      <c r="H82" s="212" t="s">
        <v>212</v>
      </c>
      <c r="I82" s="277" t="s">
        <v>123</v>
      </c>
      <c r="J82" s="281" t="s">
        <v>118</v>
      </c>
      <c r="K82" s="281"/>
      <c r="L82" s="281"/>
      <c r="M82" s="281"/>
      <c r="N82" s="212" t="s">
        <v>124</v>
      </c>
      <c r="O82" s="212" t="s">
        <v>125</v>
      </c>
      <c r="P82" s="257" t="s">
        <v>116</v>
      </c>
      <c r="Q82" s="40"/>
    </row>
    <row r="83" spans="1:21" s="39" customFormat="1" ht="29.25" customHeight="1" x14ac:dyDescent="0.25">
      <c r="A83" s="269"/>
      <c r="B83" s="296"/>
      <c r="C83" s="278"/>
      <c r="D83" s="278"/>
      <c r="E83" s="215"/>
      <c r="F83" s="285"/>
      <c r="G83" s="215"/>
      <c r="H83" s="215"/>
      <c r="I83" s="277"/>
      <c r="J83" s="215" t="s">
        <v>119</v>
      </c>
      <c r="K83" s="215" t="s">
        <v>120</v>
      </c>
      <c r="L83" s="215" t="s">
        <v>121</v>
      </c>
      <c r="M83" s="215" t="s">
        <v>122</v>
      </c>
      <c r="N83" s="215"/>
      <c r="O83" s="215"/>
      <c r="P83" s="257"/>
      <c r="Q83" s="40"/>
    </row>
    <row r="84" spans="1:21" s="39" customFormat="1" ht="30.75" customHeight="1" x14ac:dyDescent="0.25">
      <c r="A84" s="269"/>
      <c r="B84" s="296"/>
      <c r="C84" s="278"/>
      <c r="D84" s="278"/>
      <c r="E84" s="215"/>
      <c r="F84" s="116">
        <f>I84+G84+H84+N84+O84</f>
        <v>1</v>
      </c>
      <c r="G84" s="106">
        <v>0</v>
      </c>
      <c r="H84" s="106">
        <v>1</v>
      </c>
      <c r="I84" s="106">
        <v>0</v>
      </c>
      <c r="J84" s="106">
        <v>0</v>
      </c>
      <c r="K84" s="106">
        <v>0</v>
      </c>
      <c r="L84" s="106">
        <v>0</v>
      </c>
      <c r="M84" s="106">
        <v>0</v>
      </c>
      <c r="N84" s="106">
        <v>0</v>
      </c>
      <c r="O84" s="106">
        <v>0</v>
      </c>
      <c r="P84" s="257"/>
      <c r="Q84" s="40"/>
    </row>
    <row r="85" spans="1:21" s="9" customFormat="1" ht="26.25" customHeight="1" x14ac:dyDescent="0.25">
      <c r="A85" s="274" t="s">
        <v>35</v>
      </c>
      <c r="B85" s="342" t="s">
        <v>149</v>
      </c>
      <c r="C85" s="342" t="s">
        <v>45</v>
      </c>
      <c r="D85" s="237" t="s">
        <v>2</v>
      </c>
      <c r="E85" s="227" t="e">
        <f>E87+E88+E86</f>
        <v>#REF!</v>
      </c>
      <c r="F85" s="115">
        <f t="shared" ref="F85:F93" si="53">SUM(G85:O85)</f>
        <v>799.83450000000005</v>
      </c>
      <c r="G85" s="227">
        <f t="shared" ref="G85:H85" si="54">G86+G87+G88+G89</f>
        <v>799.83450000000005</v>
      </c>
      <c r="H85" s="227">
        <f t="shared" si="54"/>
        <v>0</v>
      </c>
      <c r="I85" s="308">
        <f>I86+I87+I88+I89</f>
        <v>0</v>
      </c>
      <c r="J85" s="308"/>
      <c r="K85" s="308"/>
      <c r="L85" s="308"/>
      <c r="M85" s="308"/>
      <c r="N85" s="227">
        <f t="shared" ref="N85:O85" si="55">N86+N87+N88+N89</f>
        <v>0</v>
      </c>
      <c r="O85" s="227">
        <f t="shared" si="55"/>
        <v>0</v>
      </c>
      <c r="P85" s="304"/>
      <c r="Q85" s="99"/>
      <c r="R85" s="99"/>
      <c r="S85" s="99"/>
      <c r="T85" s="44"/>
      <c r="U85" s="44"/>
    </row>
    <row r="86" spans="1:21" s="9" customFormat="1" ht="37.5" x14ac:dyDescent="0.25">
      <c r="A86" s="274"/>
      <c r="B86" s="342"/>
      <c r="C86" s="342"/>
      <c r="D86" s="237" t="s">
        <v>40</v>
      </c>
      <c r="E86" s="211">
        <f>E124</f>
        <v>0</v>
      </c>
      <c r="F86" s="115">
        <f t="shared" si="53"/>
        <v>592.47</v>
      </c>
      <c r="G86" s="211">
        <f t="shared" ref="G86:H86" si="56">G90</f>
        <v>592.47</v>
      </c>
      <c r="H86" s="211">
        <f t="shared" si="56"/>
        <v>0</v>
      </c>
      <c r="I86" s="276">
        <f>I90</f>
        <v>0</v>
      </c>
      <c r="J86" s="276"/>
      <c r="K86" s="276"/>
      <c r="L86" s="276"/>
      <c r="M86" s="276"/>
      <c r="N86" s="211">
        <f t="shared" ref="N86:O86" si="57">N90</f>
        <v>0</v>
      </c>
      <c r="O86" s="211">
        <f t="shared" si="57"/>
        <v>0</v>
      </c>
      <c r="P86" s="304"/>
      <c r="Q86" s="99"/>
      <c r="R86" s="99"/>
      <c r="S86" s="99"/>
      <c r="T86" s="44"/>
      <c r="U86" s="44"/>
    </row>
    <row r="87" spans="1:21" s="9" customFormat="1" ht="37.5" x14ac:dyDescent="0.25">
      <c r="A87" s="274"/>
      <c r="B87" s="342"/>
      <c r="C87" s="342"/>
      <c r="D87" s="237" t="s">
        <v>1</v>
      </c>
      <c r="E87" s="211" t="e">
        <f>#REF!+E90+E91+#REF!+#REF!+#REF!+E125+E130</f>
        <v>#REF!</v>
      </c>
      <c r="F87" s="115">
        <f t="shared" si="53"/>
        <v>197.49</v>
      </c>
      <c r="G87" s="211">
        <f t="shared" ref="G87:H87" si="58">G91</f>
        <v>197.49</v>
      </c>
      <c r="H87" s="211">
        <f t="shared" si="58"/>
        <v>0</v>
      </c>
      <c r="I87" s="276">
        <f>I91</f>
        <v>0</v>
      </c>
      <c r="J87" s="276"/>
      <c r="K87" s="276"/>
      <c r="L87" s="276"/>
      <c r="M87" s="276"/>
      <c r="N87" s="211">
        <f t="shared" ref="N87:O87" si="59">N91</f>
        <v>0</v>
      </c>
      <c r="O87" s="211">
        <f t="shared" si="59"/>
        <v>0</v>
      </c>
      <c r="P87" s="304"/>
      <c r="Q87" s="99"/>
      <c r="R87" s="99"/>
      <c r="S87" s="99"/>
      <c r="T87" s="44"/>
      <c r="U87" s="44"/>
    </row>
    <row r="88" spans="1:21" s="9" customFormat="1" ht="56.25" x14ac:dyDescent="0.25">
      <c r="A88" s="274"/>
      <c r="B88" s="342"/>
      <c r="C88" s="342"/>
      <c r="D88" s="237" t="s">
        <v>48</v>
      </c>
      <c r="E88" s="211" t="e">
        <f>#REF!+E109+#REF!+#REF!+#REF!+E126+E132</f>
        <v>#REF!</v>
      </c>
      <c r="F88" s="115">
        <f t="shared" si="53"/>
        <v>9.8744999999999994</v>
      </c>
      <c r="G88" s="211">
        <f t="shared" ref="G88:H88" si="60">G92</f>
        <v>9.8744999999999994</v>
      </c>
      <c r="H88" s="211">
        <f t="shared" si="60"/>
        <v>0</v>
      </c>
      <c r="I88" s="276">
        <f>I92</f>
        <v>0</v>
      </c>
      <c r="J88" s="276"/>
      <c r="K88" s="276"/>
      <c r="L88" s="276"/>
      <c r="M88" s="276"/>
      <c r="N88" s="211">
        <f t="shared" ref="N88:O88" si="61">N92</f>
        <v>0</v>
      </c>
      <c r="O88" s="211">
        <f t="shared" si="61"/>
        <v>0</v>
      </c>
      <c r="P88" s="304"/>
      <c r="Q88" s="99"/>
      <c r="R88" s="99"/>
      <c r="S88" s="99"/>
      <c r="T88" s="44"/>
      <c r="U88" s="44"/>
    </row>
    <row r="89" spans="1:21" s="9" customFormat="1" ht="37.5" x14ac:dyDescent="0.25">
      <c r="A89" s="274"/>
      <c r="B89" s="342"/>
      <c r="C89" s="342"/>
      <c r="D89" s="237" t="s">
        <v>87</v>
      </c>
      <c r="E89" s="211"/>
      <c r="F89" s="115">
        <f t="shared" si="53"/>
        <v>0</v>
      </c>
      <c r="G89" s="211">
        <f t="shared" ref="G89:H89" si="62">G93</f>
        <v>0</v>
      </c>
      <c r="H89" s="211">
        <f t="shared" si="62"/>
        <v>0</v>
      </c>
      <c r="I89" s="276">
        <f>I93</f>
        <v>0</v>
      </c>
      <c r="J89" s="276"/>
      <c r="K89" s="276"/>
      <c r="L89" s="276"/>
      <c r="M89" s="276"/>
      <c r="N89" s="211">
        <f t="shared" ref="N89:O89" si="63">N93</f>
        <v>0</v>
      </c>
      <c r="O89" s="211">
        <f t="shared" si="63"/>
        <v>0</v>
      </c>
      <c r="P89" s="304"/>
      <c r="Q89" s="99"/>
      <c r="R89" s="99"/>
      <c r="S89" s="99"/>
      <c r="T89" s="44"/>
      <c r="U89" s="44"/>
    </row>
    <row r="90" spans="1:21" s="39" customFormat="1" ht="37.5" x14ac:dyDescent="0.25">
      <c r="A90" s="269" t="s">
        <v>57</v>
      </c>
      <c r="B90" s="366" t="s">
        <v>110</v>
      </c>
      <c r="C90" s="286" t="s">
        <v>45</v>
      </c>
      <c r="D90" s="241" t="s">
        <v>40</v>
      </c>
      <c r="E90" s="217">
        <v>200475</v>
      </c>
      <c r="F90" s="115">
        <f t="shared" si="53"/>
        <v>592.47</v>
      </c>
      <c r="G90" s="217">
        <v>592.47</v>
      </c>
      <c r="H90" s="217">
        <f>202841-202841</f>
        <v>0</v>
      </c>
      <c r="I90" s="290">
        <v>0</v>
      </c>
      <c r="J90" s="290"/>
      <c r="K90" s="290"/>
      <c r="L90" s="290"/>
      <c r="M90" s="290"/>
      <c r="N90" s="217">
        <v>0</v>
      </c>
      <c r="O90" s="217">
        <v>0</v>
      </c>
      <c r="P90" s="300" t="s">
        <v>3</v>
      </c>
      <c r="Q90" s="98"/>
      <c r="R90" s="98"/>
      <c r="S90" s="98"/>
    </row>
    <row r="91" spans="1:21" s="39" customFormat="1" ht="37.5" x14ac:dyDescent="0.25">
      <c r="A91" s="269"/>
      <c r="B91" s="366"/>
      <c r="C91" s="286"/>
      <c r="D91" s="241" t="s">
        <v>1</v>
      </c>
      <c r="E91" s="217">
        <v>93</v>
      </c>
      <c r="F91" s="115">
        <f t="shared" si="53"/>
        <v>197.49</v>
      </c>
      <c r="G91" s="217">
        <v>197.49</v>
      </c>
      <c r="H91" s="217">
        <v>0</v>
      </c>
      <c r="I91" s="290">
        <v>0</v>
      </c>
      <c r="J91" s="290"/>
      <c r="K91" s="290"/>
      <c r="L91" s="290"/>
      <c r="M91" s="290"/>
      <c r="N91" s="217">
        <v>0</v>
      </c>
      <c r="O91" s="217">
        <v>0</v>
      </c>
      <c r="P91" s="300"/>
      <c r="Q91" s="98"/>
      <c r="R91" s="98"/>
      <c r="S91" s="98"/>
    </row>
    <row r="92" spans="1:21" s="39" customFormat="1" ht="56.25" x14ac:dyDescent="0.25">
      <c r="A92" s="269"/>
      <c r="B92" s="366"/>
      <c r="C92" s="286"/>
      <c r="D92" s="241" t="s">
        <v>47</v>
      </c>
      <c r="E92" s="217"/>
      <c r="F92" s="115">
        <f t="shared" si="53"/>
        <v>9.8744999999999994</v>
      </c>
      <c r="G92" s="217">
        <v>9.8744999999999994</v>
      </c>
      <c r="H92" s="217">
        <v>0</v>
      </c>
      <c r="I92" s="290">
        <v>0</v>
      </c>
      <c r="J92" s="290"/>
      <c r="K92" s="290"/>
      <c r="L92" s="290"/>
      <c r="M92" s="290"/>
      <c r="N92" s="217">
        <v>0</v>
      </c>
      <c r="O92" s="217">
        <v>0</v>
      </c>
      <c r="P92" s="300"/>
      <c r="Q92" s="98"/>
      <c r="R92" s="98"/>
      <c r="S92" s="98"/>
    </row>
    <row r="93" spans="1:21" s="39" customFormat="1" ht="37.5" x14ac:dyDescent="0.25">
      <c r="A93" s="269"/>
      <c r="B93" s="366"/>
      <c r="C93" s="286"/>
      <c r="D93" s="241" t="s">
        <v>87</v>
      </c>
      <c r="E93" s="217"/>
      <c r="F93" s="115">
        <f t="shared" si="53"/>
        <v>0</v>
      </c>
      <c r="G93" s="217">
        <v>0</v>
      </c>
      <c r="H93" s="217">
        <v>0</v>
      </c>
      <c r="I93" s="290">
        <v>0</v>
      </c>
      <c r="J93" s="290"/>
      <c r="K93" s="290"/>
      <c r="L93" s="290"/>
      <c r="M93" s="290"/>
      <c r="N93" s="217">
        <v>0</v>
      </c>
      <c r="O93" s="217">
        <v>0</v>
      </c>
      <c r="P93" s="300"/>
      <c r="Q93" s="98"/>
      <c r="R93" s="98"/>
      <c r="S93" s="98"/>
    </row>
    <row r="94" spans="1:21" s="39" customFormat="1" ht="28.5" customHeight="1" x14ac:dyDescent="0.25">
      <c r="A94" s="269"/>
      <c r="B94" s="296" t="s">
        <v>207</v>
      </c>
      <c r="C94" s="278" t="s">
        <v>116</v>
      </c>
      <c r="D94" s="278" t="s">
        <v>116</v>
      </c>
      <c r="E94" s="215"/>
      <c r="F94" s="285" t="s">
        <v>117</v>
      </c>
      <c r="G94" s="212" t="s">
        <v>211</v>
      </c>
      <c r="H94" s="212" t="s">
        <v>212</v>
      </c>
      <c r="I94" s="277" t="s">
        <v>123</v>
      </c>
      <c r="J94" s="281" t="s">
        <v>118</v>
      </c>
      <c r="K94" s="281"/>
      <c r="L94" s="281"/>
      <c r="M94" s="281"/>
      <c r="N94" s="212" t="s">
        <v>124</v>
      </c>
      <c r="O94" s="212" t="s">
        <v>125</v>
      </c>
      <c r="P94" s="257" t="s">
        <v>116</v>
      </c>
      <c r="Q94" s="40"/>
    </row>
    <row r="95" spans="1:21" s="39" customFormat="1" ht="28.5" customHeight="1" x14ac:dyDescent="0.25">
      <c r="A95" s="269"/>
      <c r="B95" s="296"/>
      <c r="C95" s="278"/>
      <c r="D95" s="278"/>
      <c r="E95" s="215"/>
      <c r="F95" s="285"/>
      <c r="G95" s="215"/>
      <c r="H95" s="215"/>
      <c r="I95" s="277"/>
      <c r="J95" s="215" t="s">
        <v>119</v>
      </c>
      <c r="K95" s="215" t="s">
        <v>120</v>
      </c>
      <c r="L95" s="215" t="s">
        <v>121</v>
      </c>
      <c r="M95" s="215" t="s">
        <v>122</v>
      </c>
      <c r="N95" s="215"/>
      <c r="O95" s="215"/>
      <c r="P95" s="257"/>
      <c r="Q95" s="40"/>
    </row>
    <row r="96" spans="1:21" s="39" customFormat="1" ht="27" customHeight="1" x14ac:dyDescent="0.25">
      <c r="A96" s="269"/>
      <c r="B96" s="296"/>
      <c r="C96" s="278"/>
      <c r="D96" s="278"/>
      <c r="E96" s="215"/>
      <c r="F96" s="116">
        <v>13</v>
      </c>
      <c r="G96" s="106">
        <v>13</v>
      </c>
      <c r="H96" s="106">
        <v>13</v>
      </c>
      <c r="I96" s="106">
        <v>0</v>
      </c>
      <c r="J96" s="106">
        <v>0</v>
      </c>
      <c r="K96" s="106">
        <v>0</v>
      </c>
      <c r="L96" s="106">
        <v>0</v>
      </c>
      <c r="M96" s="106">
        <v>0</v>
      </c>
      <c r="N96" s="106">
        <v>0</v>
      </c>
      <c r="O96" s="106">
        <v>0</v>
      </c>
      <c r="P96" s="257"/>
      <c r="Q96" s="40"/>
    </row>
    <row r="97" spans="1:31" s="9" customFormat="1" ht="46.9" customHeight="1" x14ac:dyDescent="0.25">
      <c r="A97" s="392" t="s">
        <v>180</v>
      </c>
      <c r="B97" s="392"/>
      <c r="C97" s="392"/>
      <c r="D97" s="392"/>
      <c r="E97" s="123" t="e">
        <f>E98+E99+E100+E102</f>
        <v>#REF!</v>
      </c>
      <c r="F97" s="125">
        <f t="shared" ref="F97:F102" si="64">SUM(G97:O97)</f>
        <v>857697.33404999995</v>
      </c>
      <c r="G97" s="123">
        <f t="shared" ref="G97:H97" si="65">G98+G99+G100+G101</f>
        <v>135554.28376000002</v>
      </c>
      <c r="H97" s="123">
        <f t="shared" si="65"/>
        <v>183362.95158999995</v>
      </c>
      <c r="I97" s="308">
        <f>I98+I99+I100+I101</f>
        <v>189416.3707</v>
      </c>
      <c r="J97" s="308"/>
      <c r="K97" s="308"/>
      <c r="L97" s="308"/>
      <c r="M97" s="308"/>
      <c r="N97" s="123">
        <f t="shared" ref="N97:O97" si="66">N98+N99+N100+N101</f>
        <v>174681.864</v>
      </c>
      <c r="O97" s="123">
        <f t="shared" si="66"/>
        <v>174681.864</v>
      </c>
      <c r="P97" s="124"/>
      <c r="Q97" s="90"/>
      <c r="R97" s="90"/>
      <c r="S97" s="90"/>
      <c r="W97" s="44"/>
      <c r="X97" s="44"/>
      <c r="Y97" s="44"/>
      <c r="Z97" s="44"/>
    </row>
    <row r="98" spans="1:31" ht="33.75" customHeight="1" x14ac:dyDescent="0.25">
      <c r="A98" s="340" t="s">
        <v>40</v>
      </c>
      <c r="B98" s="340"/>
      <c r="C98" s="340"/>
      <c r="D98" s="340"/>
      <c r="E98" s="47" t="e">
        <f>#REF!+#REF!+#REF!</f>
        <v>#REF!</v>
      </c>
      <c r="F98" s="125">
        <f t="shared" si="64"/>
        <v>11902.04867</v>
      </c>
      <c r="G98" s="47">
        <f t="shared" ref="G98:I101" si="67">G7+G19+G62+G86+G74+G47</f>
        <v>592.47</v>
      </c>
      <c r="H98" s="47">
        <f t="shared" si="67"/>
        <v>11309.578670000001</v>
      </c>
      <c r="I98" s="290">
        <f t="shared" si="67"/>
        <v>0</v>
      </c>
      <c r="J98" s="290"/>
      <c r="K98" s="290"/>
      <c r="L98" s="290"/>
      <c r="M98" s="290"/>
      <c r="N98" s="47">
        <f>N7+N19+N62+N86+N74+N47</f>
        <v>0</v>
      </c>
      <c r="O98" s="47">
        <f>O7+O19+O62+O86+O74+O47</f>
        <v>0</v>
      </c>
      <c r="P98" s="13"/>
      <c r="Q98" s="35"/>
      <c r="R98" s="35"/>
      <c r="S98" s="35"/>
      <c r="T98" s="35" t="e">
        <f>#REF!+#REF!+#REF!+#REF!</f>
        <v>#REF!</v>
      </c>
      <c r="U98" s="35"/>
      <c r="W98" s="44"/>
      <c r="X98" s="44"/>
      <c r="Y98" s="44"/>
      <c r="Z98" s="44"/>
    </row>
    <row r="99" spans="1:31" ht="26.25" customHeight="1" x14ac:dyDescent="0.25">
      <c r="A99" s="340" t="s">
        <v>1</v>
      </c>
      <c r="B99" s="340"/>
      <c r="C99" s="340"/>
      <c r="D99" s="340"/>
      <c r="E99" s="47" t="e">
        <f>E63+#REF!+#REF!+#REF!+#REF!</f>
        <v>#REF!</v>
      </c>
      <c r="F99" s="125">
        <f t="shared" si="64"/>
        <v>20451.349569999998</v>
      </c>
      <c r="G99" s="47">
        <f t="shared" si="67"/>
        <v>530.49</v>
      </c>
      <c r="H99" s="47">
        <f t="shared" si="67"/>
        <v>9699.8595700000005</v>
      </c>
      <c r="I99" s="290">
        <f t="shared" si="67"/>
        <v>10221</v>
      </c>
      <c r="J99" s="290"/>
      <c r="K99" s="290"/>
      <c r="L99" s="290"/>
      <c r="M99" s="290"/>
      <c r="N99" s="47">
        <f t="shared" ref="N99:O99" si="68">N8+N20+N63+N87+N75+N48</f>
        <v>0</v>
      </c>
      <c r="O99" s="47">
        <f t="shared" si="68"/>
        <v>0</v>
      </c>
      <c r="P99" s="13"/>
      <c r="Q99" s="35"/>
      <c r="R99" s="35"/>
      <c r="S99" s="35"/>
      <c r="T99" s="35" t="e">
        <f>#REF!+#REF!+#REF!+#REF!</f>
        <v>#REF!</v>
      </c>
      <c r="U99" s="35"/>
      <c r="W99" s="44"/>
      <c r="X99" s="44"/>
      <c r="Y99" s="44"/>
      <c r="Z99" s="44"/>
    </row>
    <row r="100" spans="1:31" ht="27.75" customHeight="1" x14ac:dyDescent="0.25">
      <c r="A100" s="340" t="s">
        <v>48</v>
      </c>
      <c r="B100" s="340"/>
      <c r="C100" s="340"/>
      <c r="D100" s="340"/>
      <c r="E100" s="47" t="e">
        <f>E9+E21+E64+#REF!+#REF!+#REF!+#REF!+#REF!+#REF!</f>
        <v>#REF!</v>
      </c>
      <c r="F100" s="125">
        <f t="shared" si="64"/>
        <v>711226.34380999999</v>
      </c>
      <c r="G100" s="47">
        <f t="shared" si="67"/>
        <v>113176.13176</v>
      </c>
      <c r="H100" s="47">
        <f t="shared" si="67"/>
        <v>138774.71334999998</v>
      </c>
      <c r="I100" s="290">
        <f t="shared" si="67"/>
        <v>157509.3707</v>
      </c>
      <c r="J100" s="290"/>
      <c r="K100" s="290"/>
      <c r="L100" s="290"/>
      <c r="M100" s="290"/>
      <c r="N100" s="47">
        <f t="shared" ref="N100:O100" si="69">N9+N21+N64+N88+N76+N49</f>
        <v>150883.06400000001</v>
      </c>
      <c r="O100" s="47">
        <f t="shared" si="69"/>
        <v>150883.06400000001</v>
      </c>
      <c r="P100" s="13"/>
      <c r="Q100" s="161">
        <f>I100</f>
        <v>157509.3707</v>
      </c>
      <c r="R100" s="35"/>
      <c r="S100" s="35"/>
      <c r="T100" s="35" t="e">
        <f>#REF!+#REF!+#REF!+#REF!+#REF!+#REF!+#REF!+#REF!+#REF!+#REF!+#REF!</f>
        <v>#REF!</v>
      </c>
      <c r="U100" s="35"/>
      <c r="W100" s="44"/>
      <c r="X100" s="44"/>
      <c r="Y100" s="44"/>
      <c r="Z100" s="44"/>
    </row>
    <row r="101" spans="1:31" ht="30.75" customHeight="1" x14ac:dyDescent="0.25">
      <c r="A101" s="340" t="s">
        <v>87</v>
      </c>
      <c r="B101" s="340"/>
      <c r="C101" s="340"/>
      <c r="D101" s="340"/>
      <c r="E101" s="47"/>
      <c r="F101" s="125">
        <f t="shared" si="64"/>
        <v>114117.592</v>
      </c>
      <c r="G101" s="47">
        <f t="shared" si="67"/>
        <v>21255.191999999999</v>
      </c>
      <c r="H101" s="47">
        <f t="shared" si="67"/>
        <v>23578.799999999999</v>
      </c>
      <c r="I101" s="290">
        <f t="shared" si="67"/>
        <v>21686</v>
      </c>
      <c r="J101" s="290"/>
      <c r="K101" s="290"/>
      <c r="L101" s="290"/>
      <c r="M101" s="290"/>
      <c r="N101" s="47">
        <f t="shared" ref="N101:O101" si="70">N10+N22+N65+N89+N77+N50</f>
        <v>23798.799999999999</v>
      </c>
      <c r="O101" s="47">
        <f t="shared" si="70"/>
        <v>23798.799999999999</v>
      </c>
      <c r="P101" s="13"/>
      <c r="Q101" s="35"/>
      <c r="R101" s="35"/>
      <c r="S101" s="35"/>
      <c r="T101" s="35"/>
      <c r="U101" s="35"/>
      <c r="W101" s="44"/>
      <c r="X101" s="44"/>
      <c r="Y101" s="44"/>
      <c r="Z101" s="44"/>
    </row>
    <row r="102" spans="1:31" ht="30.75" customHeight="1" x14ac:dyDescent="0.3">
      <c r="A102" s="377" t="s">
        <v>88</v>
      </c>
      <c r="B102" s="377"/>
      <c r="C102" s="377"/>
      <c r="D102" s="377"/>
      <c r="E102" s="83">
        <f>E23</f>
        <v>13879.4</v>
      </c>
      <c r="F102" s="125">
        <f t="shared" si="64"/>
        <v>114117.592</v>
      </c>
      <c r="G102" s="83">
        <f>G23</f>
        <v>21255.191999999999</v>
      </c>
      <c r="H102" s="83">
        <f>H23</f>
        <v>23578.799999999999</v>
      </c>
      <c r="I102" s="334">
        <f>I23</f>
        <v>21686</v>
      </c>
      <c r="J102" s="334"/>
      <c r="K102" s="334"/>
      <c r="L102" s="334"/>
      <c r="M102" s="334"/>
      <c r="N102" s="83">
        <f>N23</f>
        <v>23798.799999999999</v>
      </c>
      <c r="O102" s="83">
        <f>O23</f>
        <v>23798.799999999999</v>
      </c>
      <c r="P102" s="6"/>
      <c r="Q102" s="34"/>
      <c r="R102" s="34"/>
      <c r="S102" s="34"/>
      <c r="T102" s="34" t="e">
        <f>#REF!+#REF!</f>
        <v>#REF!</v>
      </c>
      <c r="U102" s="51"/>
      <c r="W102" s="44"/>
      <c r="X102" s="44"/>
      <c r="Y102" s="44"/>
      <c r="Z102" s="44"/>
    </row>
    <row r="103" spans="1:31" x14ac:dyDescent="0.25">
      <c r="F103" s="126"/>
      <c r="H103" s="48"/>
      <c r="N103" s="45"/>
      <c r="O103" s="45"/>
    </row>
    <row r="104" spans="1:31" x14ac:dyDescent="0.25">
      <c r="G104" s="38"/>
      <c r="H104" s="48"/>
      <c r="N104" s="45"/>
      <c r="O104" s="45"/>
    </row>
    <row r="105" spans="1:31" ht="18.75" x14ac:dyDescent="0.3">
      <c r="B105" s="399" t="s">
        <v>19</v>
      </c>
      <c r="C105" s="400"/>
      <c r="D105" s="400"/>
      <c r="E105" s="54">
        <v>0</v>
      </c>
      <c r="F105" s="55">
        <f t="shared" ref="F105:F113" si="71">SUM(I105:O105)</f>
        <v>0</v>
      </c>
      <c r="G105" s="54">
        <v>0</v>
      </c>
      <c r="H105" s="54">
        <v>0</v>
      </c>
      <c r="I105" s="393">
        <v>0</v>
      </c>
      <c r="J105" s="394"/>
      <c r="K105" s="394"/>
      <c r="L105" s="394"/>
      <c r="M105" s="395"/>
      <c r="N105" s="54">
        <v>0</v>
      </c>
      <c r="O105" s="54">
        <v>0</v>
      </c>
      <c r="P105" s="45"/>
      <c r="U105" s="1"/>
      <c r="V105" s="1"/>
      <c r="W105" s="45"/>
      <c r="X105" s="45"/>
      <c r="Y105" s="1"/>
      <c r="Z105" s="1"/>
      <c r="AA105" s="1"/>
      <c r="AB105" s="1"/>
      <c r="AC105" s="1"/>
      <c r="AD105" s="1"/>
      <c r="AE105" s="1"/>
    </row>
    <row r="106" spans="1:31" ht="18.75" x14ac:dyDescent="0.3">
      <c r="B106" s="399" t="s">
        <v>21</v>
      </c>
      <c r="C106" s="400"/>
      <c r="D106" s="400"/>
      <c r="E106" s="54">
        <v>0</v>
      </c>
      <c r="F106" s="55">
        <f t="shared" si="71"/>
        <v>495</v>
      </c>
      <c r="G106" s="54">
        <v>165</v>
      </c>
      <c r="H106" s="54">
        <v>165</v>
      </c>
      <c r="I106" s="393">
        <v>165</v>
      </c>
      <c r="J106" s="394"/>
      <c r="K106" s="394"/>
      <c r="L106" s="394"/>
      <c r="M106" s="395"/>
      <c r="N106" s="54">
        <v>165</v>
      </c>
      <c r="O106" s="54">
        <v>165</v>
      </c>
      <c r="U106" s="1"/>
      <c r="V106" s="1"/>
      <c r="W106" s="45"/>
      <c r="X106" s="45"/>
      <c r="Y106" s="1"/>
      <c r="Z106" s="1"/>
      <c r="AA106" s="1"/>
      <c r="AB106" s="1"/>
      <c r="AC106" s="1"/>
      <c r="AD106" s="1"/>
      <c r="AE106" s="1"/>
    </row>
    <row r="107" spans="1:31" ht="18.75" x14ac:dyDescent="0.3">
      <c r="B107" s="401" t="s">
        <v>20</v>
      </c>
      <c r="C107" s="402"/>
      <c r="D107" s="402"/>
      <c r="E107" s="56">
        <f>SUM(E105:E106)</f>
        <v>0</v>
      </c>
      <c r="F107" s="55">
        <f t="shared" si="71"/>
        <v>495</v>
      </c>
      <c r="G107" s="56">
        <f>SUM(G105:G106)</f>
        <v>165</v>
      </c>
      <c r="H107" s="56">
        <f>SUM(H105:H106)</f>
        <v>165</v>
      </c>
      <c r="I107" s="396">
        <f>SUM(I105:I106)</f>
        <v>165</v>
      </c>
      <c r="J107" s="397"/>
      <c r="K107" s="397"/>
      <c r="L107" s="397"/>
      <c r="M107" s="398"/>
      <c r="N107" s="56">
        <f>SUM(N105:N106)</f>
        <v>165</v>
      </c>
      <c r="O107" s="56">
        <f>SUM(O105:O106)</f>
        <v>165</v>
      </c>
      <c r="U107" s="1"/>
      <c r="V107" s="1"/>
      <c r="W107" s="45"/>
      <c r="X107" s="45"/>
      <c r="Y107" s="1"/>
      <c r="Z107" s="1"/>
      <c r="AA107" s="1"/>
      <c r="AB107" s="1"/>
      <c r="AC107" s="1"/>
      <c r="AD107" s="1"/>
      <c r="AE107" s="1"/>
    </row>
    <row r="108" spans="1:31" ht="18.75" x14ac:dyDescent="0.3">
      <c r="B108" s="399" t="s">
        <v>40</v>
      </c>
      <c r="C108" s="400"/>
      <c r="D108" s="400"/>
      <c r="E108" s="54" t="e">
        <f>E98-#REF!</f>
        <v>#REF!</v>
      </c>
      <c r="F108" s="55">
        <f t="shared" si="71"/>
        <v>0</v>
      </c>
      <c r="G108" s="54">
        <f t="shared" ref="G108:H108" si="72">G98</f>
        <v>592.47</v>
      </c>
      <c r="H108" s="54">
        <f t="shared" si="72"/>
        <v>11309.578670000001</v>
      </c>
      <c r="I108" s="393">
        <f>I98</f>
        <v>0</v>
      </c>
      <c r="J108" s="394"/>
      <c r="K108" s="394"/>
      <c r="L108" s="394"/>
      <c r="M108" s="395"/>
      <c r="N108" s="54">
        <f t="shared" ref="N108:O108" si="73">N98</f>
        <v>0</v>
      </c>
      <c r="O108" s="54">
        <f t="shared" si="73"/>
        <v>0</v>
      </c>
      <c r="W108" s="45"/>
      <c r="X108" s="45"/>
    </row>
    <row r="109" spans="1:31" ht="18.75" x14ac:dyDescent="0.3">
      <c r="B109" s="399" t="s">
        <v>1</v>
      </c>
      <c r="C109" s="400"/>
      <c r="D109" s="400"/>
      <c r="E109" s="54" t="e">
        <f>E99-#REF!</f>
        <v>#REF!</v>
      </c>
      <c r="F109" s="55">
        <f t="shared" si="71"/>
        <v>10221</v>
      </c>
      <c r="G109" s="54">
        <f t="shared" ref="G109:H109" si="74">G99-G105</f>
        <v>530.49</v>
      </c>
      <c r="H109" s="54">
        <f t="shared" si="74"/>
        <v>9699.8595700000005</v>
      </c>
      <c r="I109" s="393">
        <f>I99-I105</f>
        <v>10221</v>
      </c>
      <c r="J109" s="394"/>
      <c r="K109" s="394"/>
      <c r="L109" s="394"/>
      <c r="M109" s="395"/>
      <c r="N109" s="54">
        <f t="shared" ref="N109:O109" si="75">N99-N105</f>
        <v>0</v>
      </c>
      <c r="O109" s="54">
        <f t="shared" si="75"/>
        <v>0</v>
      </c>
      <c r="W109" s="45"/>
      <c r="X109" s="45"/>
    </row>
    <row r="110" spans="1:31" ht="18.75" x14ac:dyDescent="0.3">
      <c r="B110" s="399" t="s">
        <v>48</v>
      </c>
      <c r="C110" s="400"/>
      <c r="D110" s="400"/>
      <c r="E110" s="54" t="e">
        <f>E100-#REF!</f>
        <v>#REF!</v>
      </c>
      <c r="F110" s="55">
        <f t="shared" si="71"/>
        <v>458780.4987</v>
      </c>
      <c r="G110" s="54">
        <f t="shared" ref="G110:H110" si="76">G100-G106</f>
        <v>113011.13176</v>
      </c>
      <c r="H110" s="54">
        <f t="shared" si="76"/>
        <v>138609.71334999998</v>
      </c>
      <c r="I110" s="393">
        <f>I100-I106</f>
        <v>157344.3707</v>
      </c>
      <c r="J110" s="394"/>
      <c r="K110" s="394"/>
      <c r="L110" s="394"/>
      <c r="M110" s="395"/>
      <c r="N110" s="54">
        <f t="shared" ref="N110:O110" si="77">N100-N106</f>
        <v>150718.06400000001</v>
      </c>
      <c r="O110" s="54">
        <f t="shared" si="77"/>
        <v>150718.06400000001</v>
      </c>
      <c r="W110" s="45"/>
      <c r="X110" s="45"/>
    </row>
    <row r="111" spans="1:31" ht="18.75" x14ac:dyDescent="0.3">
      <c r="B111" s="399" t="s">
        <v>87</v>
      </c>
      <c r="C111" s="400"/>
      <c r="D111" s="403"/>
      <c r="E111" s="54"/>
      <c r="F111" s="55">
        <f t="shared" si="71"/>
        <v>69283.600000000006</v>
      </c>
      <c r="G111" s="54">
        <f t="shared" ref="G111:H111" si="78">G112</f>
        <v>21255.191999999999</v>
      </c>
      <c r="H111" s="54">
        <f t="shared" si="78"/>
        <v>23578.799999999999</v>
      </c>
      <c r="I111" s="393">
        <f>I112</f>
        <v>21686</v>
      </c>
      <c r="J111" s="394"/>
      <c r="K111" s="394"/>
      <c r="L111" s="394"/>
      <c r="M111" s="395"/>
      <c r="N111" s="54">
        <f t="shared" ref="N111:O111" si="79">N112</f>
        <v>23798.799999999999</v>
      </c>
      <c r="O111" s="54">
        <f t="shared" si="79"/>
        <v>23798.799999999999</v>
      </c>
      <c r="W111" s="45"/>
      <c r="X111" s="45"/>
    </row>
    <row r="112" spans="1:31" ht="18.75" x14ac:dyDescent="0.3">
      <c r="B112" s="399" t="s">
        <v>88</v>
      </c>
      <c r="C112" s="400"/>
      <c r="D112" s="400"/>
      <c r="E112" s="54" t="e">
        <f>E102-#REF!</f>
        <v>#REF!</v>
      </c>
      <c r="F112" s="55">
        <f t="shared" si="71"/>
        <v>69283.600000000006</v>
      </c>
      <c r="G112" s="54">
        <f t="shared" ref="G112:H112" si="80">G102</f>
        <v>21255.191999999999</v>
      </c>
      <c r="H112" s="54">
        <f t="shared" si="80"/>
        <v>23578.799999999999</v>
      </c>
      <c r="I112" s="393">
        <f>I102</f>
        <v>21686</v>
      </c>
      <c r="J112" s="394"/>
      <c r="K112" s="394"/>
      <c r="L112" s="394"/>
      <c r="M112" s="395"/>
      <c r="N112" s="54">
        <f t="shared" ref="N112:O112" si="81">N102</f>
        <v>23798.799999999999</v>
      </c>
      <c r="O112" s="54">
        <f t="shared" si="81"/>
        <v>23798.799999999999</v>
      </c>
      <c r="W112" s="45"/>
      <c r="X112" s="45"/>
    </row>
    <row r="113" spans="2:24" ht="18.75" x14ac:dyDescent="0.3">
      <c r="B113" s="401" t="s">
        <v>25</v>
      </c>
      <c r="C113" s="402"/>
      <c r="D113" s="402"/>
      <c r="E113" s="56" t="e">
        <f>SUM(E108:E112)</f>
        <v>#REF!</v>
      </c>
      <c r="F113" s="55">
        <f t="shared" si="71"/>
        <v>538285.09869999997</v>
      </c>
      <c r="G113" s="56">
        <f t="shared" ref="G113:H113" si="82">G108+G109+G110+G111</f>
        <v>135389.28376000002</v>
      </c>
      <c r="H113" s="56">
        <f t="shared" si="82"/>
        <v>183197.95158999995</v>
      </c>
      <c r="I113" s="396">
        <f>I108+I109+I110+I111</f>
        <v>189251.3707</v>
      </c>
      <c r="J113" s="397"/>
      <c r="K113" s="397"/>
      <c r="L113" s="397"/>
      <c r="M113" s="398"/>
      <c r="N113" s="56">
        <f t="shared" ref="N113:O113" si="83">N108+N109+N110+N111</f>
        <v>174516.864</v>
      </c>
      <c r="O113" s="56">
        <f t="shared" si="83"/>
        <v>174516.864</v>
      </c>
      <c r="W113" s="45"/>
      <c r="X113" s="45"/>
    </row>
    <row r="114" spans="2:24" x14ac:dyDescent="0.25">
      <c r="E114" s="45"/>
      <c r="F114" s="128"/>
      <c r="G114" s="48"/>
      <c r="H114" s="48"/>
      <c r="I114" s="45"/>
      <c r="J114" s="45"/>
      <c r="K114" s="45"/>
      <c r="L114" s="45"/>
      <c r="M114" s="45"/>
      <c r="N114" s="45"/>
      <c r="O114" s="45"/>
    </row>
    <row r="115" spans="2:24" x14ac:dyDescent="0.25">
      <c r="E115" s="45"/>
      <c r="F115" s="128"/>
      <c r="G115" s="45"/>
      <c r="H115" s="45"/>
      <c r="I115" s="45"/>
      <c r="J115" s="45"/>
      <c r="K115" s="45"/>
      <c r="L115" s="45"/>
      <c r="M115" s="45"/>
      <c r="N115" s="45"/>
      <c r="O115" s="45"/>
      <c r="P115" s="45"/>
    </row>
    <row r="116" spans="2:24" x14ac:dyDescent="0.25">
      <c r="E116" s="45"/>
      <c r="F116" s="128"/>
      <c r="G116" s="48"/>
      <c r="H116" s="48"/>
      <c r="I116" s="45"/>
      <c r="J116" s="45"/>
      <c r="K116" s="45"/>
      <c r="L116" s="45"/>
      <c r="M116" s="45"/>
      <c r="N116" s="45"/>
      <c r="O116" s="45"/>
    </row>
    <row r="119" spans="2:24" x14ac:dyDescent="0.25">
      <c r="G119" s="48"/>
      <c r="H119" s="48"/>
      <c r="N119" s="48"/>
    </row>
  </sheetData>
  <mergeCells count="224">
    <mergeCell ref="I28:M28"/>
    <mergeCell ref="P82:P84"/>
    <mergeCell ref="D82:D84"/>
    <mergeCell ref="I34:M34"/>
    <mergeCell ref="I74:M74"/>
    <mergeCell ref="P24:P28"/>
    <mergeCell ref="I26:M26"/>
    <mergeCell ref="D29:D31"/>
    <mergeCell ref="P39:P42"/>
    <mergeCell ref="P43:P45"/>
    <mergeCell ref="I67:M67"/>
    <mergeCell ref="I68:M68"/>
    <mergeCell ref="I69:M69"/>
    <mergeCell ref="D70:D72"/>
    <mergeCell ref="F70:F71"/>
    <mergeCell ref="D43:D45"/>
    <mergeCell ref="F43:F44"/>
    <mergeCell ref="I43:I44"/>
    <mergeCell ref="J43:M43"/>
    <mergeCell ref="D58:D60"/>
    <mergeCell ref="I51:M51"/>
    <mergeCell ref="F58:F59"/>
    <mergeCell ref="I70:I71"/>
    <mergeCell ref="J70:M70"/>
    <mergeCell ref="J36:M36"/>
    <mergeCell ref="A46:A50"/>
    <mergeCell ref="B46:B50"/>
    <mergeCell ref="C46:C50"/>
    <mergeCell ref="C58:C60"/>
    <mergeCell ref="A51:A60"/>
    <mergeCell ref="B51:B54"/>
    <mergeCell ref="C51:C54"/>
    <mergeCell ref="B61:B65"/>
    <mergeCell ref="A61:A65"/>
    <mergeCell ref="B58:B60"/>
    <mergeCell ref="I50:M50"/>
    <mergeCell ref="I42:M42"/>
    <mergeCell ref="I41:M41"/>
    <mergeCell ref="I40:M40"/>
    <mergeCell ref="I39:M39"/>
    <mergeCell ref="C55:C57"/>
    <mergeCell ref="D55:D57"/>
    <mergeCell ref="P46:P50"/>
    <mergeCell ref="P58:P60"/>
    <mergeCell ref="I46:M46"/>
    <mergeCell ref="P51:P54"/>
    <mergeCell ref="I66:M66"/>
    <mergeCell ref="P61:P65"/>
    <mergeCell ref="I63:M63"/>
    <mergeCell ref="I62:M62"/>
    <mergeCell ref="I64:M64"/>
    <mergeCell ref="I61:M61"/>
    <mergeCell ref="I47:M47"/>
    <mergeCell ref="I48:M48"/>
    <mergeCell ref="I49:M49"/>
    <mergeCell ref="I58:I59"/>
    <mergeCell ref="J58:M58"/>
    <mergeCell ref="I65:M65"/>
    <mergeCell ref="I52:M52"/>
    <mergeCell ref="I53:M53"/>
    <mergeCell ref="I54:M54"/>
    <mergeCell ref="P66:P69"/>
    <mergeCell ref="J55:M55"/>
    <mergeCell ref="P55:P57"/>
    <mergeCell ref="P6:P10"/>
    <mergeCell ref="P36:P38"/>
    <mergeCell ref="F29:F30"/>
    <mergeCell ref="I29:I30"/>
    <mergeCell ref="J29:M29"/>
    <mergeCell ref="P29:P31"/>
    <mergeCell ref="P18:P23"/>
    <mergeCell ref="I9:M9"/>
    <mergeCell ref="B18:B23"/>
    <mergeCell ref="I7:M7"/>
    <mergeCell ref="I6:M6"/>
    <mergeCell ref="P11:P14"/>
    <mergeCell ref="B15:B17"/>
    <mergeCell ref="I32:M32"/>
    <mergeCell ref="I35:M35"/>
    <mergeCell ref="I33:M33"/>
    <mergeCell ref="D36:D38"/>
    <mergeCell ref="F36:F37"/>
    <mergeCell ref="I36:I37"/>
    <mergeCell ref="B24:B28"/>
    <mergeCell ref="C24:C28"/>
    <mergeCell ref="P15:P17"/>
    <mergeCell ref="P32:P35"/>
    <mergeCell ref="B36:B38"/>
    <mergeCell ref="I18:M18"/>
    <mergeCell ref="I8:M8"/>
    <mergeCell ref="A11:A17"/>
    <mergeCell ref="I14:M14"/>
    <mergeCell ref="I13:M13"/>
    <mergeCell ref="I12:M12"/>
    <mergeCell ref="I11:M11"/>
    <mergeCell ref="I10:M10"/>
    <mergeCell ref="B6:B10"/>
    <mergeCell ref="C6:C10"/>
    <mergeCell ref="A18:A23"/>
    <mergeCell ref="C15:C17"/>
    <mergeCell ref="A6:A10"/>
    <mergeCell ref="B11:B14"/>
    <mergeCell ref="C11:C14"/>
    <mergeCell ref="I27:M27"/>
    <mergeCell ref="I24:M24"/>
    <mergeCell ref="I3:M3"/>
    <mergeCell ref="P1:P3"/>
    <mergeCell ref="A1:A3"/>
    <mergeCell ref="I4:M4"/>
    <mergeCell ref="I25:M25"/>
    <mergeCell ref="B1:B3"/>
    <mergeCell ref="C1:C3"/>
    <mergeCell ref="D1:D3"/>
    <mergeCell ref="F1:F3"/>
    <mergeCell ref="A5:P5"/>
    <mergeCell ref="G1:O2"/>
    <mergeCell ref="C18:C23"/>
    <mergeCell ref="D15:D17"/>
    <mergeCell ref="F15:F16"/>
    <mergeCell ref="I15:I16"/>
    <mergeCell ref="J15:M15"/>
    <mergeCell ref="I23:M23"/>
    <mergeCell ref="I22:M22"/>
    <mergeCell ref="I21:M21"/>
    <mergeCell ref="I20:M20"/>
    <mergeCell ref="I19:M19"/>
    <mergeCell ref="E1:E3"/>
    <mergeCell ref="A24:A31"/>
    <mergeCell ref="A32:A38"/>
    <mergeCell ref="C36:C38"/>
    <mergeCell ref="A90:A96"/>
    <mergeCell ref="B29:B31"/>
    <mergeCell ref="C29:C31"/>
    <mergeCell ref="B43:B45"/>
    <mergeCell ref="C43:C45"/>
    <mergeCell ref="B32:B35"/>
    <mergeCell ref="C32:C35"/>
    <mergeCell ref="A39:A45"/>
    <mergeCell ref="C39:C42"/>
    <mergeCell ref="B39:B42"/>
    <mergeCell ref="B94:B96"/>
    <mergeCell ref="B85:B89"/>
    <mergeCell ref="B78:B81"/>
    <mergeCell ref="C78:C81"/>
    <mergeCell ref="B73:B77"/>
    <mergeCell ref="C61:C65"/>
    <mergeCell ref="C73:C77"/>
    <mergeCell ref="B82:B84"/>
    <mergeCell ref="C82:C84"/>
    <mergeCell ref="A78:A84"/>
    <mergeCell ref="B55:B57"/>
    <mergeCell ref="I113:M113"/>
    <mergeCell ref="I112:M112"/>
    <mergeCell ref="I111:M111"/>
    <mergeCell ref="I110:M110"/>
    <mergeCell ref="I109:M109"/>
    <mergeCell ref="I102:M102"/>
    <mergeCell ref="A102:D102"/>
    <mergeCell ref="B108:D108"/>
    <mergeCell ref="B105:D105"/>
    <mergeCell ref="B106:D106"/>
    <mergeCell ref="B107:D107"/>
    <mergeCell ref="B111:D111"/>
    <mergeCell ref="B113:D113"/>
    <mergeCell ref="B109:D109"/>
    <mergeCell ref="B110:D110"/>
    <mergeCell ref="B112:D112"/>
    <mergeCell ref="I105:M105"/>
    <mergeCell ref="I101:M101"/>
    <mergeCell ref="I100:M100"/>
    <mergeCell ref="I99:M99"/>
    <mergeCell ref="I108:M108"/>
    <mergeCell ref="I107:M107"/>
    <mergeCell ref="I106:M106"/>
    <mergeCell ref="I90:M90"/>
    <mergeCell ref="I98:M98"/>
    <mergeCell ref="I97:M97"/>
    <mergeCell ref="J94:M94"/>
    <mergeCell ref="I93:M93"/>
    <mergeCell ref="I92:M92"/>
    <mergeCell ref="I91:M91"/>
    <mergeCell ref="I94:I95"/>
    <mergeCell ref="A101:D101"/>
    <mergeCell ref="A66:A72"/>
    <mergeCell ref="F55:F56"/>
    <mergeCell ref="I55:I56"/>
    <mergeCell ref="I81:M81"/>
    <mergeCell ref="I80:M80"/>
    <mergeCell ref="I79:M79"/>
    <mergeCell ref="F82:F83"/>
    <mergeCell ref="I82:I83"/>
    <mergeCell ref="J82:M82"/>
    <mergeCell ref="I78:M78"/>
    <mergeCell ref="I77:M77"/>
    <mergeCell ref="I76:M76"/>
    <mergeCell ref="I75:M75"/>
    <mergeCell ref="I73:M73"/>
    <mergeCell ref="D94:D96"/>
    <mergeCell ref="C94:C96"/>
    <mergeCell ref="B90:B93"/>
    <mergeCell ref="C90:C93"/>
    <mergeCell ref="C85:C89"/>
    <mergeCell ref="I87:M87"/>
    <mergeCell ref="I86:M86"/>
    <mergeCell ref="I89:M89"/>
    <mergeCell ref="I85:M85"/>
    <mergeCell ref="P70:P72"/>
    <mergeCell ref="P78:P81"/>
    <mergeCell ref="P73:P77"/>
    <mergeCell ref="A73:A77"/>
    <mergeCell ref="B66:B69"/>
    <mergeCell ref="C66:C69"/>
    <mergeCell ref="C70:C72"/>
    <mergeCell ref="B70:B72"/>
    <mergeCell ref="A100:D100"/>
    <mergeCell ref="A99:D99"/>
    <mergeCell ref="A97:D97"/>
    <mergeCell ref="A98:D98"/>
    <mergeCell ref="A85:A89"/>
    <mergeCell ref="P94:P96"/>
    <mergeCell ref="P85:P89"/>
    <mergeCell ref="I88:M88"/>
    <mergeCell ref="P90:P93"/>
    <mergeCell ref="F94:F95"/>
  </mergeCells>
  <phoneticPr fontId="29" type="noConversion"/>
  <pageMargins left="0.19685039370078741" right="0.19685039370078741" top="0.59055118110236227" bottom="0.19685039370078741" header="0.39370078740157483" footer="0"/>
  <pageSetup paperSize="9" scale="48" firstPageNumber="15" fitToHeight="0" orientation="landscape" useFirstPageNumber="1" r:id="rId1"/>
  <headerFooter alignWithMargins="0">
    <oddHeader>&amp;C&amp;"Times New Roman,обычный"&amp;12&amp;K000000&amp;P</oddHeader>
  </headerFooter>
  <rowBreaks count="2" manualBreakCount="2">
    <brk id="57" max="15" man="1"/>
    <brk id="84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FFFF00"/>
  </sheetPr>
  <dimension ref="A1:Y83"/>
  <sheetViews>
    <sheetView tabSelected="1" view="pageBreakPreview" topLeftCell="D1" zoomScale="70" zoomScaleNormal="70" zoomScaleSheetLayoutView="70" workbookViewId="0">
      <selection activeCell="F39" sqref="F39"/>
    </sheetView>
  </sheetViews>
  <sheetFormatPr defaultColWidth="9.140625" defaultRowHeight="15" x14ac:dyDescent="0.25"/>
  <cols>
    <col min="1" max="1" width="6.7109375" style="1" customWidth="1"/>
    <col min="2" max="2" width="69" style="1" customWidth="1"/>
    <col min="3" max="3" width="18.42578125" style="1" customWidth="1"/>
    <col min="4" max="4" width="31.85546875" style="1" customWidth="1"/>
    <col min="5" max="5" width="21.28515625" style="1" hidden="1" customWidth="1"/>
    <col min="6" max="6" width="22.7109375" style="127" customWidth="1"/>
    <col min="7" max="7" width="23.140625" style="39" customWidth="1"/>
    <col min="8" max="8" width="23.42578125" style="39" customWidth="1"/>
    <col min="9" max="13" width="8" style="1" customWidth="1"/>
    <col min="14" max="15" width="22.42578125" style="1" customWidth="1"/>
    <col min="16" max="16" width="21" style="1" customWidth="1"/>
    <col min="17" max="17" width="31" style="1" hidden="1" customWidth="1"/>
    <col min="18" max="18" width="27.140625" style="1" hidden="1" customWidth="1"/>
    <col min="19" max="19" width="24.42578125" style="1" hidden="1" customWidth="1"/>
    <col min="20" max="20" width="0.140625" style="1" hidden="1" customWidth="1"/>
    <col min="21" max="21" width="19.42578125" style="1" customWidth="1"/>
    <col min="22" max="22" width="23.42578125" style="1" customWidth="1"/>
    <col min="23" max="23" width="19" style="1" customWidth="1"/>
    <col min="24" max="24" width="22.85546875" style="1" customWidth="1"/>
    <col min="25" max="25" width="19.28515625" style="1" customWidth="1"/>
    <col min="26" max="16384" width="9.140625" style="1"/>
  </cols>
  <sheetData>
    <row r="1" spans="1:19" ht="29.25" customHeight="1" x14ac:dyDescent="0.25">
      <c r="A1" s="413" t="s">
        <v>0</v>
      </c>
      <c r="B1" s="413" t="s">
        <v>5</v>
      </c>
      <c r="C1" s="413" t="s">
        <v>50</v>
      </c>
      <c r="D1" s="413" t="s">
        <v>6</v>
      </c>
      <c r="E1" s="413" t="s">
        <v>55</v>
      </c>
      <c r="F1" s="418" t="s">
        <v>7</v>
      </c>
      <c r="G1" s="413" t="s">
        <v>16</v>
      </c>
      <c r="H1" s="413"/>
      <c r="I1" s="413"/>
      <c r="J1" s="413"/>
      <c r="K1" s="413"/>
      <c r="L1" s="413"/>
      <c r="M1" s="413"/>
      <c r="N1" s="413"/>
      <c r="O1" s="413"/>
      <c r="P1" s="413" t="s">
        <v>230</v>
      </c>
      <c r="Q1" s="107"/>
      <c r="R1" s="107"/>
      <c r="S1" s="107"/>
    </row>
    <row r="2" spans="1:19" ht="57" customHeight="1" x14ac:dyDescent="0.25">
      <c r="A2" s="413"/>
      <c r="B2" s="413"/>
      <c r="C2" s="413"/>
      <c r="D2" s="413"/>
      <c r="E2" s="413"/>
      <c r="F2" s="418"/>
      <c r="G2" s="177" t="s">
        <v>45</v>
      </c>
      <c r="H2" s="177" t="s">
        <v>46</v>
      </c>
      <c r="I2" s="351" t="s">
        <v>82</v>
      </c>
      <c r="J2" s="351"/>
      <c r="K2" s="351"/>
      <c r="L2" s="351"/>
      <c r="M2" s="351"/>
      <c r="N2" s="177" t="s">
        <v>83</v>
      </c>
      <c r="O2" s="177" t="s">
        <v>84</v>
      </c>
      <c r="P2" s="413"/>
      <c r="Q2" s="107" t="s">
        <v>41</v>
      </c>
      <c r="R2" s="107" t="s">
        <v>42</v>
      </c>
      <c r="S2" s="107"/>
    </row>
    <row r="3" spans="1:19" ht="18.75" x14ac:dyDescent="0.25">
      <c r="A3" s="176" t="s">
        <v>13</v>
      </c>
      <c r="B3" s="176">
        <v>2</v>
      </c>
      <c r="C3" s="176" t="s">
        <v>8</v>
      </c>
      <c r="D3" s="176" t="s">
        <v>37</v>
      </c>
      <c r="E3" s="176" t="s">
        <v>9</v>
      </c>
      <c r="F3" s="114" t="s">
        <v>9</v>
      </c>
      <c r="G3" s="176" t="s">
        <v>35</v>
      </c>
      <c r="H3" s="176" t="s">
        <v>36</v>
      </c>
      <c r="I3" s="269" t="s">
        <v>10</v>
      </c>
      <c r="J3" s="269"/>
      <c r="K3" s="269"/>
      <c r="L3" s="269"/>
      <c r="M3" s="269"/>
      <c r="N3" s="176" t="s">
        <v>11</v>
      </c>
      <c r="O3" s="176" t="s">
        <v>12</v>
      </c>
      <c r="P3" s="176" t="s">
        <v>14</v>
      </c>
      <c r="Q3" s="29"/>
      <c r="R3" s="29"/>
      <c r="S3" s="29"/>
    </row>
    <row r="4" spans="1:19" ht="34.5" customHeight="1" x14ac:dyDescent="0.25">
      <c r="A4" s="382" t="s">
        <v>145</v>
      </c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93"/>
      <c r="R4" s="93"/>
      <c r="S4" s="93"/>
    </row>
    <row r="5" spans="1:19" s="9" customFormat="1" ht="36.75" customHeight="1" x14ac:dyDescent="0.25">
      <c r="A5" s="272" t="s">
        <v>13</v>
      </c>
      <c r="B5" s="419" t="s">
        <v>76</v>
      </c>
      <c r="C5" s="419" t="s">
        <v>86</v>
      </c>
      <c r="D5" s="129" t="s">
        <v>2</v>
      </c>
      <c r="E5" s="248">
        <f>E8</f>
        <v>181275.1586</v>
      </c>
      <c r="F5" s="132">
        <f t="shared" ref="F5:F14" si="0">SUM(G5:O5)</f>
        <v>2122935.4346000003</v>
      </c>
      <c r="G5" s="248">
        <f t="shared" ref="G5:H5" si="1">G6+G7+G8+G9</f>
        <v>407683.76996000001</v>
      </c>
      <c r="H5" s="248">
        <f t="shared" si="1"/>
        <v>447571.36115000001</v>
      </c>
      <c r="I5" s="417">
        <f>I6+I7+I8+I9</f>
        <v>438441.69749000005</v>
      </c>
      <c r="J5" s="417"/>
      <c r="K5" s="417"/>
      <c r="L5" s="417"/>
      <c r="M5" s="417"/>
      <c r="N5" s="248">
        <f t="shared" ref="N5:O5" si="2">N6+N7+N8+N9</f>
        <v>414504.28049999999</v>
      </c>
      <c r="O5" s="248">
        <f t="shared" si="2"/>
        <v>414734.32550000004</v>
      </c>
      <c r="P5" s="303"/>
      <c r="Q5" s="93"/>
      <c r="R5" s="93"/>
      <c r="S5" s="93"/>
    </row>
    <row r="6" spans="1:19" s="9" customFormat="1" ht="42.75" customHeight="1" x14ac:dyDescent="0.25">
      <c r="A6" s="272"/>
      <c r="B6" s="419"/>
      <c r="C6" s="419"/>
      <c r="D6" s="129" t="s">
        <v>40</v>
      </c>
      <c r="E6" s="248"/>
      <c r="F6" s="132">
        <f t="shared" si="0"/>
        <v>0</v>
      </c>
      <c r="G6" s="220">
        <f t="shared" ref="G6:H6" si="3">G11+G18+G26</f>
        <v>0</v>
      </c>
      <c r="H6" s="220">
        <f t="shared" si="3"/>
        <v>0</v>
      </c>
      <c r="I6" s="293">
        <f>I11+I18+I26</f>
        <v>0</v>
      </c>
      <c r="J6" s="293"/>
      <c r="K6" s="293"/>
      <c r="L6" s="293"/>
      <c r="M6" s="293"/>
      <c r="N6" s="220">
        <f t="shared" ref="N6:O6" si="4">N11+N18+N26</f>
        <v>0</v>
      </c>
      <c r="O6" s="220">
        <f t="shared" si="4"/>
        <v>0</v>
      </c>
      <c r="P6" s="303"/>
      <c r="Q6" s="93"/>
      <c r="R6" s="93"/>
      <c r="S6" s="93"/>
    </row>
    <row r="7" spans="1:19" s="9" customFormat="1" ht="44.25" customHeight="1" x14ac:dyDescent="0.25">
      <c r="A7" s="272"/>
      <c r="B7" s="419"/>
      <c r="C7" s="419"/>
      <c r="D7" s="129" t="s">
        <v>1</v>
      </c>
      <c r="E7" s="248"/>
      <c r="F7" s="132">
        <f t="shared" si="0"/>
        <v>988.57065999999998</v>
      </c>
      <c r="G7" s="220">
        <f t="shared" ref="G7:H7" si="5">G12+G19+G27</f>
        <v>141.46065999999999</v>
      </c>
      <c r="H7" s="220">
        <f t="shared" si="5"/>
        <v>397.11</v>
      </c>
      <c r="I7" s="293">
        <f>I12+I19+I27</f>
        <v>450</v>
      </c>
      <c r="J7" s="293"/>
      <c r="K7" s="293"/>
      <c r="L7" s="293"/>
      <c r="M7" s="293"/>
      <c r="N7" s="220">
        <f t="shared" ref="N7:O7" si="6">N12+N19+N27</f>
        <v>0</v>
      </c>
      <c r="O7" s="220">
        <f t="shared" si="6"/>
        <v>0</v>
      </c>
      <c r="P7" s="303"/>
      <c r="Q7" s="93"/>
      <c r="R7" s="93"/>
      <c r="S7" s="93"/>
    </row>
    <row r="8" spans="1:19" s="9" customFormat="1" ht="56.25" x14ac:dyDescent="0.25">
      <c r="A8" s="272"/>
      <c r="B8" s="419"/>
      <c r="C8" s="419"/>
      <c r="D8" s="129" t="s">
        <v>48</v>
      </c>
      <c r="E8" s="247">
        <f>E13+E20+E28</f>
        <v>181275.1586</v>
      </c>
      <c r="F8" s="132">
        <f t="shared" si="0"/>
        <v>1140923.0628200001</v>
      </c>
      <c r="G8" s="247">
        <f t="shared" ref="G8:H8" si="7">G13+G20+G28</f>
        <v>236926.81779999999</v>
      </c>
      <c r="H8" s="247">
        <f t="shared" si="7"/>
        <v>249704.64145</v>
      </c>
      <c r="I8" s="416">
        <f>I13+I20+I28</f>
        <v>219992.21697000001</v>
      </c>
      <c r="J8" s="416"/>
      <c r="K8" s="416"/>
      <c r="L8" s="416"/>
      <c r="M8" s="416"/>
      <c r="N8" s="247">
        <f t="shared" ref="N8:O8" si="8">N13+N20+N28</f>
        <v>217034.67079999999</v>
      </c>
      <c r="O8" s="247">
        <f t="shared" si="8"/>
        <v>217264.71580000001</v>
      </c>
      <c r="P8" s="303"/>
      <c r="Q8" s="31"/>
      <c r="R8" s="31"/>
      <c r="S8" s="31"/>
    </row>
    <row r="9" spans="1:19" s="9" customFormat="1" ht="39.75" customHeight="1" x14ac:dyDescent="0.25">
      <c r="A9" s="272"/>
      <c r="B9" s="419"/>
      <c r="C9" s="419"/>
      <c r="D9" s="129" t="s">
        <v>87</v>
      </c>
      <c r="E9" s="247"/>
      <c r="F9" s="132">
        <f t="shared" si="0"/>
        <v>981023.80112000008</v>
      </c>
      <c r="G9" s="247">
        <f t="shared" ref="G9:H9" si="9">G14+G21+G29</f>
        <v>170615.4915</v>
      </c>
      <c r="H9" s="247">
        <f t="shared" si="9"/>
        <v>197469.6097</v>
      </c>
      <c r="I9" s="416">
        <f>I14+I21+I29</f>
        <v>217999.48052000001</v>
      </c>
      <c r="J9" s="416"/>
      <c r="K9" s="416"/>
      <c r="L9" s="416"/>
      <c r="M9" s="416"/>
      <c r="N9" s="247">
        <f t="shared" ref="N9:O9" si="10">N14+N21+N29</f>
        <v>197469.6097</v>
      </c>
      <c r="O9" s="247">
        <f t="shared" si="10"/>
        <v>197469.6097</v>
      </c>
      <c r="P9" s="303"/>
      <c r="Q9" s="31"/>
      <c r="R9" s="31"/>
      <c r="S9" s="31"/>
    </row>
    <row r="10" spans="1:19" s="9" customFormat="1" ht="99" customHeight="1" x14ac:dyDescent="0.25">
      <c r="A10" s="272"/>
      <c r="B10" s="419"/>
      <c r="C10" s="419"/>
      <c r="D10" s="129" t="s">
        <v>88</v>
      </c>
      <c r="E10" s="247"/>
      <c r="F10" s="132">
        <f t="shared" si="0"/>
        <v>981023.80112000008</v>
      </c>
      <c r="G10" s="247">
        <f t="shared" ref="G10:H10" si="11">G22</f>
        <v>170615.4915</v>
      </c>
      <c r="H10" s="247">
        <f t="shared" si="11"/>
        <v>197469.6097</v>
      </c>
      <c r="I10" s="416">
        <f>I22</f>
        <v>217999.48052000001</v>
      </c>
      <c r="J10" s="416"/>
      <c r="K10" s="416"/>
      <c r="L10" s="416"/>
      <c r="M10" s="416"/>
      <c r="N10" s="247">
        <f t="shared" ref="N10:O10" si="12">N22</f>
        <v>197469.6097</v>
      </c>
      <c r="O10" s="247">
        <f t="shared" si="12"/>
        <v>197469.6097</v>
      </c>
      <c r="P10" s="303"/>
      <c r="Q10" s="31"/>
      <c r="R10" s="31"/>
      <c r="S10" s="31"/>
    </row>
    <row r="11" spans="1:19" s="9" customFormat="1" ht="47.25" customHeight="1" x14ac:dyDescent="0.25">
      <c r="A11" s="424" t="s">
        <v>26</v>
      </c>
      <c r="B11" s="389" t="s">
        <v>245</v>
      </c>
      <c r="C11" s="382" t="s">
        <v>86</v>
      </c>
      <c r="D11" s="92" t="s">
        <v>40</v>
      </c>
      <c r="E11" s="94"/>
      <c r="F11" s="132">
        <f t="shared" si="0"/>
        <v>0</v>
      </c>
      <c r="G11" s="216">
        <v>0</v>
      </c>
      <c r="H11" s="216">
        <v>0</v>
      </c>
      <c r="I11" s="289">
        <v>0</v>
      </c>
      <c r="J11" s="289"/>
      <c r="K11" s="289"/>
      <c r="L11" s="289"/>
      <c r="M11" s="289"/>
      <c r="N11" s="216">
        <v>0</v>
      </c>
      <c r="O11" s="216">
        <v>0</v>
      </c>
      <c r="P11" s="321" t="s">
        <v>3</v>
      </c>
      <c r="Q11" s="31"/>
      <c r="R11" s="31"/>
      <c r="S11" s="31"/>
    </row>
    <row r="12" spans="1:19" ht="37.5" x14ac:dyDescent="0.25">
      <c r="A12" s="424"/>
      <c r="B12" s="389"/>
      <c r="C12" s="382"/>
      <c r="D12" s="246" t="s">
        <v>1</v>
      </c>
      <c r="E12" s="249"/>
      <c r="F12" s="132">
        <f t="shared" si="0"/>
        <v>988.57065999999998</v>
      </c>
      <c r="G12" s="216">
        <v>141.46065999999999</v>
      </c>
      <c r="H12" s="216">
        <v>397.11</v>
      </c>
      <c r="I12" s="289">
        <v>450</v>
      </c>
      <c r="J12" s="289"/>
      <c r="K12" s="289"/>
      <c r="L12" s="289"/>
      <c r="M12" s="289"/>
      <c r="N12" s="216">
        <v>0</v>
      </c>
      <c r="O12" s="216">
        <v>0</v>
      </c>
      <c r="P12" s="321"/>
      <c r="Q12" s="31"/>
      <c r="R12" s="31"/>
      <c r="S12" s="31"/>
    </row>
    <row r="13" spans="1:19" ht="56.25" x14ac:dyDescent="0.25">
      <c r="A13" s="424"/>
      <c r="B13" s="389"/>
      <c r="C13" s="382"/>
      <c r="D13" s="245" t="s">
        <v>48</v>
      </c>
      <c r="E13" s="216">
        <v>97858.007519999999</v>
      </c>
      <c r="F13" s="132">
        <f t="shared" si="0"/>
        <v>587528.55027000001</v>
      </c>
      <c r="G13" s="216">
        <v>116139.13128</v>
      </c>
      <c r="H13" s="216">
        <v>114975.76281</v>
      </c>
      <c r="I13" s="288">
        <v>119848.42318</v>
      </c>
      <c r="J13" s="288"/>
      <c r="K13" s="288"/>
      <c r="L13" s="288"/>
      <c r="M13" s="288"/>
      <c r="N13" s="251">
        <v>118167.594</v>
      </c>
      <c r="O13" s="216">
        <v>118397.639</v>
      </c>
      <c r="P13" s="321"/>
      <c r="Q13" s="50" t="e">
        <f>('[1]Лист 1'!$F$476+'[1]Лист 1'!$F$477)/1000</f>
        <v>#REF!</v>
      </c>
      <c r="R13" s="108">
        <v>16611.023000000001</v>
      </c>
      <c r="S13" s="33" t="e">
        <f>Q13-R13</f>
        <v>#REF!</v>
      </c>
    </row>
    <row r="14" spans="1:19" ht="37.5" x14ac:dyDescent="0.25">
      <c r="A14" s="424"/>
      <c r="B14" s="389"/>
      <c r="C14" s="382"/>
      <c r="D14" s="245" t="s">
        <v>87</v>
      </c>
      <c r="E14" s="216"/>
      <c r="F14" s="132">
        <f t="shared" si="0"/>
        <v>0</v>
      </c>
      <c r="G14" s="216">
        <v>0</v>
      </c>
      <c r="H14" s="216">
        <v>0</v>
      </c>
      <c r="I14" s="289">
        <v>0</v>
      </c>
      <c r="J14" s="289"/>
      <c r="K14" s="289"/>
      <c r="L14" s="289"/>
      <c r="M14" s="289"/>
      <c r="N14" s="216">
        <v>0</v>
      </c>
      <c r="O14" s="216">
        <v>0</v>
      </c>
      <c r="P14" s="321"/>
      <c r="Q14" s="50"/>
      <c r="R14" s="109"/>
      <c r="S14" s="33"/>
    </row>
    <row r="15" spans="1:19" s="39" customFormat="1" ht="35.25" customHeight="1" x14ac:dyDescent="0.25">
      <c r="A15" s="424"/>
      <c r="B15" s="296" t="s">
        <v>176</v>
      </c>
      <c r="C15" s="278" t="s">
        <v>116</v>
      </c>
      <c r="D15" s="278" t="s">
        <v>116</v>
      </c>
      <c r="E15" s="215"/>
      <c r="F15" s="285" t="s">
        <v>117</v>
      </c>
      <c r="G15" s="212" t="s">
        <v>211</v>
      </c>
      <c r="H15" s="212" t="s">
        <v>212</v>
      </c>
      <c r="I15" s="277" t="s">
        <v>123</v>
      </c>
      <c r="J15" s="281" t="s">
        <v>118</v>
      </c>
      <c r="K15" s="281"/>
      <c r="L15" s="281"/>
      <c r="M15" s="281"/>
      <c r="N15" s="212" t="s">
        <v>124</v>
      </c>
      <c r="O15" s="212" t="s">
        <v>125</v>
      </c>
      <c r="P15" s="257" t="s">
        <v>116</v>
      </c>
      <c r="Q15" s="91"/>
      <c r="R15" s="9"/>
      <c r="S15" s="9"/>
    </row>
    <row r="16" spans="1:19" s="39" customFormat="1" ht="25.5" customHeight="1" x14ac:dyDescent="0.25">
      <c r="A16" s="424"/>
      <c r="B16" s="296"/>
      <c r="C16" s="278"/>
      <c r="D16" s="278"/>
      <c r="E16" s="215"/>
      <c r="F16" s="285"/>
      <c r="G16" s="215"/>
      <c r="H16" s="215"/>
      <c r="I16" s="277"/>
      <c r="J16" s="215" t="s">
        <v>119</v>
      </c>
      <c r="K16" s="215" t="s">
        <v>120</v>
      </c>
      <c r="L16" s="215" t="s">
        <v>121</v>
      </c>
      <c r="M16" s="215" t="s">
        <v>122</v>
      </c>
      <c r="N16" s="215"/>
      <c r="O16" s="215"/>
      <c r="P16" s="257"/>
      <c r="Q16" s="91"/>
      <c r="R16" s="9"/>
      <c r="S16" s="9"/>
    </row>
    <row r="17" spans="1:21" s="39" customFormat="1" ht="39" customHeight="1" x14ac:dyDescent="0.25">
      <c r="A17" s="424"/>
      <c r="B17" s="296"/>
      <c r="C17" s="278"/>
      <c r="D17" s="278"/>
      <c r="E17" s="215"/>
      <c r="F17" s="116">
        <v>100</v>
      </c>
      <c r="G17" s="106">
        <v>100</v>
      </c>
      <c r="H17" s="106">
        <v>100</v>
      </c>
      <c r="I17" s="106">
        <v>100</v>
      </c>
      <c r="J17" s="106">
        <v>100</v>
      </c>
      <c r="K17" s="106">
        <v>100</v>
      </c>
      <c r="L17" s="106">
        <v>100</v>
      </c>
      <c r="M17" s="106">
        <v>100</v>
      </c>
      <c r="N17" s="106">
        <v>100</v>
      </c>
      <c r="O17" s="106">
        <v>100</v>
      </c>
      <c r="P17" s="257"/>
      <c r="Q17" s="91"/>
      <c r="R17" s="9"/>
      <c r="S17" s="9"/>
    </row>
    <row r="18" spans="1:21" ht="37.5" customHeight="1" x14ac:dyDescent="0.25">
      <c r="A18" s="424" t="s">
        <v>27</v>
      </c>
      <c r="B18" s="389" t="s">
        <v>246</v>
      </c>
      <c r="C18" s="382" t="s">
        <v>86</v>
      </c>
      <c r="D18" s="245" t="s">
        <v>40</v>
      </c>
      <c r="E18" s="216"/>
      <c r="F18" s="132">
        <f>SUM(G18:O18)</f>
        <v>0</v>
      </c>
      <c r="G18" s="216">
        <v>0</v>
      </c>
      <c r="H18" s="216">
        <v>0</v>
      </c>
      <c r="I18" s="289">
        <v>0</v>
      </c>
      <c r="J18" s="289"/>
      <c r="K18" s="289"/>
      <c r="L18" s="289"/>
      <c r="M18" s="289"/>
      <c r="N18" s="216">
        <v>0</v>
      </c>
      <c r="O18" s="216">
        <v>0</v>
      </c>
      <c r="P18" s="321" t="s">
        <v>81</v>
      </c>
      <c r="Q18" s="50"/>
      <c r="R18" s="109"/>
      <c r="S18" s="33"/>
    </row>
    <row r="19" spans="1:21" ht="43.5" customHeight="1" x14ac:dyDescent="0.25">
      <c r="A19" s="424"/>
      <c r="B19" s="389"/>
      <c r="C19" s="382"/>
      <c r="D19" s="245" t="s">
        <v>1</v>
      </c>
      <c r="E19" s="216"/>
      <c r="F19" s="132">
        <f>SUM(G19:O19)</f>
        <v>0</v>
      </c>
      <c r="G19" s="216">
        <v>0</v>
      </c>
      <c r="H19" s="216">
        <v>0</v>
      </c>
      <c r="I19" s="289">
        <v>0</v>
      </c>
      <c r="J19" s="289"/>
      <c r="K19" s="289"/>
      <c r="L19" s="289"/>
      <c r="M19" s="289"/>
      <c r="N19" s="216">
        <v>0</v>
      </c>
      <c r="O19" s="216">
        <v>0</v>
      </c>
      <c r="P19" s="321"/>
      <c r="Q19" s="50"/>
      <c r="R19" s="109"/>
      <c r="S19" s="33"/>
    </row>
    <row r="20" spans="1:21" ht="56.25" customHeight="1" x14ac:dyDescent="0.25">
      <c r="A20" s="424"/>
      <c r="B20" s="389"/>
      <c r="C20" s="382"/>
      <c r="D20" s="245" t="s">
        <v>48</v>
      </c>
      <c r="E20" s="216">
        <v>39046.151080000003</v>
      </c>
      <c r="F20" s="132">
        <f>SUM(G20:O20)</f>
        <v>503051.14554999996</v>
      </c>
      <c r="G20" s="216">
        <v>110760.19452</v>
      </c>
      <c r="H20" s="216">
        <v>125993.87864</v>
      </c>
      <c r="I20" s="288">
        <v>91680.918789999996</v>
      </c>
      <c r="J20" s="288"/>
      <c r="K20" s="288"/>
      <c r="L20" s="288"/>
      <c r="M20" s="288"/>
      <c r="N20" s="216">
        <f>87120+188.0768</f>
        <v>87308.076799999995</v>
      </c>
      <c r="O20" s="216">
        <f>87120+188.0768</f>
        <v>87308.076799999995</v>
      </c>
      <c r="P20" s="321"/>
      <c r="Q20" s="50" t="e">
        <f>'[1]Лист 1'!$F$478/1000</f>
        <v>#REF!</v>
      </c>
      <c r="R20" s="109">
        <v>0.27</v>
      </c>
      <c r="S20" s="33" t="e">
        <f>Q20-R20</f>
        <v>#REF!</v>
      </c>
    </row>
    <row r="21" spans="1:21" ht="37.5" x14ac:dyDescent="0.25">
      <c r="A21" s="424"/>
      <c r="B21" s="389"/>
      <c r="C21" s="382"/>
      <c r="D21" s="245" t="s">
        <v>87</v>
      </c>
      <c r="E21" s="216"/>
      <c r="F21" s="132">
        <f>SUM(G21:O21)</f>
        <v>981023.80112000008</v>
      </c>
      <c r="G21" s="216">
        <f>G22</f>
        <v>170615.4915</v>
      </c>
      <c r="H21" s="216">
        <f>H22</f>
        <v>197469.6097</v>
      </c>
      <c r="I21" s="288">
        <f>I22</f>
        <v>217999.48052000001</v>
      </c>
      <c r="J21" s="288"/>
      <c r="K21" s="288"/>
      <c r="L21" s="288"/>
      <c r="M21" s="288"/>
      <c r="N21" s="216">
        <f t="shared" ref="N21:O21" si="13">N22</f>
        <v>197469.6097</v>
      </c>
      <c r="O21" s="216">
        <f t="shared" si="13"/>
        <v>197469.6097</v>
      </c>
      <c r="P21" s="321"/>
      <c r="Q21" s="50"/>
      <c r="R21" s="109"/>
      <c r="S21" s="33"/>
    </row>
    <row r="22" spans="1:21" ht="93.75" x14ac:dyDescent="0.25">
      <c r="A22" s="424"/>
      <c r="B22" s="389"/>
      <c r="C22" s="382"/>
      <c r="D22" s="245" t="s">
        <v>88</v>
      </c>
      <c r="E22" s="216"/>
      <c r="F22" s="132">
        <f>SUM(G22:O22)</f>
        <v>981023.80112000008</v>
      </c>
      <c r="G22" s="249">
        <v>170615.4915</v>
      </c>
      <c r="H22" s="249">
        <v>197469.6097</v>
      </c>
      <c r="I22" s="425">
        <f>250+217749.48052</f>
        <v>217999.48052000001</v>
      </c>
      <c r="J22" s="425"/>
      <c r="K22" s="425"/>
      <c r="L22" s="425"/>
      <c r="M22" s="425"/>
      <c r="N22" s="249">
        <f>H22</f>
        <v>197469.6097</v>
      </c>
      <c r="O22" s="249">
        <f>N22</f>
        <v>197469.6097</v>
      </c>
      <c r="P22" s="321"/>
      <c r="Q22" s="50"/>
      <c r="R22" s="109"/>
      <c r="S22" s="33"/>
    </row>
    <row r="23" spans="1:21" s="39" customFormat="1" ht="39" customHeight="1" x14ac:dyDescent="0.25">
      <c r="A23" s="424"/>
      <c r="B23" s="296" t="s">
        <v>182</v>
      </c>
      <c r="C23" s="278" t="s">
        <v>116</v>
      </c>
      <c r="D23" s="278" t="s">
        <v>116</v>
      </c>
      <c r="E23" s="215"/>
      <c r="F23" s="285" t="s">
        <v>117</v>
      </c>
      <c r="G23" s="212" t="s">
        <v>211</v>
      </c>
      <c r="H23" s="212" t="s">
        <v>212</v>
      </c>
      <c r="I23" s="277" t="s">
        <v>123</v>
      </c>
      <c r="J23" s="281" t="s">
        <v>118</v>
      </c>
      <c r="K23" s="281"/>
      <c r="L23" s="281"/>
      <c r="M23" s="281"/>
      <c r="N23" s="212" t="s">
        <v>124</v>
      </c>
      <c r="O23" s="212" t="s">
        <v>125</v>
      </c>
      <c r="P23" s="257" t="s">
        <v>116</v>
      </c>
      <c r="Q23" s="91"/>
      <c r="R23" s="9"/>
      <c r="S23" s="9"/>
    </row>
    <row r="24" spans="1:21" s="39" customFormat="1" ht="31.5" customHeight="1" x14ac:dyDescent="0.25">
      <c r="A24" s="424"/>
      <c r="B24" s="296"/>
      <c r="C24" s="278"/>
      <c r="D24" s="278"/>
      <c r="E24" s="215"/>
      <c r="F24" s="285"/>
      <c r="G24" s="215"/>
      <c r="H24" s="215"/>
      <c r="I24" s="277"/>
      <c r="J24" s="215" t="s">
        <v>119</v>
      </c>
      <c r="K24" s="215" t="s">
        <v>120</v>
      </c>
      <c r="L24" s="215" t="s">
        <v>121</v>
      </c>
      <c r="M24" s="215" t="s">
        <v>122</v>
      </c>
      <c r="N24" s="215"/>
      <c r="O24" s="215"/>
      <c r="P24" s="257"/>
      <c r="Q24" s="91"/>
      <c r="R24" s="9"/>
      <c r="S24" s="9"/>
    </row>
    <row r="25" spans="1:21" s="39" customFormat="1" ht="27" customHeight="1" x14ac:dyDescent="0.25">
      <c r="A25" s="424"/>
      <c r="B25" s="296"/>
      <c r="C25" s="278"/>
      <c r="D25" s="278"/>
      <c r="E25" s="215"/>
      <c r="F25" s="116">
        <v>3</v>
      </c>
      <c r="G25" s="106">
        <v>3</v>
      </c>
      <c r="H25" s="106">
        <v>3</v>
      </c>
      <c r="I25" s="106">
        <v>3</v>
      </c>
      <c r="J25" s="106">
        <v>3</v>
      </c>
      <c r="K25" s="106">
        <v>3</v>
      </c>
      <c r="L25" s="106">
        <v>3</v>
      </c>
      <c r="M25" s="106">
        <v>3</v>
      </c>
      <c r="N25" s="106">
        <v>3</v>
      </c>
      <c r="O25" s="106">
        <v>3</v>
      </c>
      <c r="P25" s="257"/>
      <c r="Q25" s="91"/>
      <c r="R25" s="9"/>
      <c r="S25" s="9"/>
    </row>
    <row r="26" spans="1:21" ht="46.5" customHeight="1" x14ac:dyDescent="0.25">
      <c r="A26" s="424" t="s">
        <v>28</v>
      </c>
      <c r="B26" s="389" t="s">
        <v>146</v>
      </c>
      <c r="C26" s="382" t="s">
        <v>86</v>
      </c>
      <c r="D26" s="245" t="s">
        <v>40</v>
      </c>
      <c r="E26" s="216"/>
      <c r="F26" s="132">
        <f>SUM(G26:O26)</f>
        <v>0</v>
      </c>
      <c r="G26" s="216">
        <v>0</v>
      </c>
      <c r="H26" s="216">
        <v>0</v>
      </c>
      <c r="I26" s="289">
        <v>0</v>
      </c>
      <c r="J26" s="289"/>
      <c r="K26" s="289"/>
      <c r="L26" s="289"/>
      <c r="M26" s="289"/>
      <c r="N26" s="216">
        <v>0</v>
      </c>
      <c r="O26" s="216">
        <v>0</v>
      </c>
      <c r="P26" s="321" t="s">
        <v>38</v>
      </c>
      <c r="Q26" s="50"/>
      <c r="R26" s="109"/>
      <c r="S26" s="33"/>
    </row>
    <row r="27" spans="1:21" ht="37.5" x14ac:dyDescent="0.25">
      <c r="A27" s="424"/>
      <c r="B27" s="389"/>
      <c r="C27" s="382"/>
      <c r="D27" s="245" t="s">
        <v>1</v>
      </c>
      <c r="E27" s="216"/>
      <c r="F27" s="132">
        <f>SUM(G27:O27)</f>
        <v>0</v>
      </c>
      <c r="G27" s="216">
        <v>0</v>
      </c>
      <c r="H27" s="216">
        <v>0</v>
      </c>
      <c r="I27" s="289">
        <v>0</v>
      </c>
      <c r="J27" s="289"/>
      <c r="K27" s="289"/>
      <c r="L27" s="289"/>
      <c r="M27" s="289"/>
      <c r="N27" s="216">
        <v>0</v>
      </c>
      <c r="O27" s="216">
        <v>0</v>
      </c>
      <c r="P27" s="321"/>
      <c r="Q27" s="50"/>
      <c r="R27" s="109"/>
      <c r="S27" s="33"/>
    </row>
    <row r="28" spans="1:21" ht="57.75" customHeight="1" x14ac:dyDescent="0.25">
      <c r="A28" s="424"/>
      <c r="B28" s="389"/>
      <c r="C28" s="382"/>
      <c r="D28" s="245" t="s">
        <v>48</v>
      </c>
      <c r="E28" s="216">
        <v>44371</v>
      </c>
      <c r="F28" s="132">
        <f>SUM(G28:O28)</f>
        <v>50343.366999999998</v>
      </c>
      <c r="G28" s="216">
        <v>10027.492</v>
      </c>
      <c r="H28" s="216">
        <v>8735</v>
      </c>
      <c r="I28" s="288">
        <v>8462.875</v>
      </c>
      <c r="J28" s="288"/>
      <c r="K28" s="288"/>
      <c r="L28" s="288"/>
      <c r="M28" s="288"/>
      <c r="N28" s="216">
        <v>11559</v>
      </c>
      <c r="O28" s="216">
        <v>11559</v>
      </c>
      <c r="P28" s="321"/>
      <c r="Q28" s="50">
        <v>0</v>
      </c>
      <c r="R28" s="109">
        <v>0</v>
      </c>
      <c r="S28" s="33">
        <f>Q28-R28</f>
        <v>0</v>
      </c>
      <c r="T28" s="5"/>
      <c r="U28" s="5"/>
    </row>
    <row r="29" spans="1:21" ht="37.5" x14ac:dyDescent="0.25">
      <c r="A29" s="424"/>
      <c r="B29" s="389"/>
      <c r="C29" s="382"/>
      <c r="D29" s="245" t="s">
        <v>87</v>
      </c>
      <c r="E29" s="216"/>
      <c r="F29" s="132">
        <f>SUM(G29:O29)</f>
        <v>0</v>
      </c>
      <c r="G29" s="216">
        <v>0</v>
      </c>
      <c r="H29" s="216">
        <v>0</v>
      </c>
      <c r="I29" s="289">
        <v>0</v>
      </c>
      <c r="J29" s="289"/>
      <c r="K29" s="289"/>
      <c r="L29" s="289"/>
      <c r="M29" s="289"/>
      <c r="N29" s="216">
        <v>0</v>
      </c>
      <c r="O29" s="216">
        <v>0</v>
      </c>
      <c r="P29" s="321"/>
      <c r="Q29" s="33"/>
      <c r="R29" s="110"/>
      <c r="S29" s="33"/>
      <c r="T29" s="5"/>
      <c r="U29" s="5"/>
    </row>
    <row r="30" spans="1:21" s="39" customFormat="1" ht="30" customHeight="1" x14ac:dyDescent="0.25">
      <c r="A30" s="424"/>
      <c r="B30" s="296" t="s">
        <v>253</v>
      </c>
      <c r="C30" s="278" t="s">
        <v>116</v>
      </c>
      <c r="D30" s="278" t="s">
        <v>116</v>
      </c>
      <c r="E30" s="215"/>
      <c r="F30" s="285" t="s">
        <v>117</v>
      </c>
      <c r="G30" s="212" t="s">
        <v>211</v>
      </c>
      <c r="H30" s="212" t="s">
        <v>46</v>
      </c>
      <c r="I30" s="277" t="s">
        <v>123</v>
      </c>
      <c r="J30" s="281" t="s">
        <v>118</v>
      </c>
      <c r="K30" s="281"/>
      <c r="L30" s="281"/>
      <c r="M30" s="281"/>
      <c r="N30" s="212" t="s">
        <v>124</v>
      </c>
      <c r="O30" s="212" t="s">
        <v>125</v>
      </c>
      <c r="P30" s="257" t="s">
        <v>116</v>
      </c>
      <c r="Q30" s="91"/>
      <c r="R30" s="9"/>
      <c r="S30" s="9"/>
    </row>
    <row r="31" spans="1:21" s="39" customFormat="1" ht="27.75" customHeight="1" x14ac:dyDescent="0.25">
      <c r="A31" s="424"/>
      <c r="B31" s="296"/>
      <c r="C31" s="278"/>
      <c r="D31" s="278"/>
      <c r="E31" s="215"/>
      <c r="F31" s="285"/>
      <c r="G31" s="215"/>
      <c r="H31" s="215"/>
      <c r="I31" s="277"/>
      <c r="J31" s="215" t="s">
        <v>119</v>
      </c>
      <c r="K31" s="215" t="s">
        <v>120</v>
      </c>
      <c r="L31" s="215" t="s">
        <v>121</v>
      </c>
      <c r="M31" s="215" t="s">
        <v>122</v>
      </c>
      <c r="N31" s="215"/>
      <c r="O31" s="215"/>
      <c r="P31" s="257"/>
      <c r="Q31" s="91"/>
      <c r="R31" s="9"/>
      <c r="S31" s="9"/>
    </row>
    <row r="32" spans="1:21" s="39" customFormat="1" ht="33.75" customHeight="1" x14ac:dyDescent="0.25">
      <c r="A32" s="424"/>
      <c r="B32" s="296"/>
      <c r="C32" s="278"/>
      <c r="D32" s="278"/>
      <c r="E32" s="215"/>
      <c r="F32" s="116">
        <f>I32+G32+H32+N32+O32</f>
        <v>80</v>
      </c>
      <c r="G32" s="106">
        <v>16</v>
      </c>
      <c r="H32" s="106">
        <v>16</v>
      </c>
      <c r="I32" s="106">
        <v>16</v>
      </c>
      <c r="J32" s="106">
        <v>6</v>
      </c>
      <c r="K32" s="106">
        <v>6</v>
      </c>
      <c r="L32" s="106">
        <v>15</v>
      </c>
      <c r="M32" s="106">
        <v>16</v>
      </c>
      <c r="N32" s="106">
        <v>16</v>
      </c>
      <c r="O32" s="106">
        <v>16</v>
      </c>
      <c r="P32" s="257"/>
      <c r="Q32" s="91"/>
      <c r="R32" s="9"/>
      <c r="S32" s="9"/>
    </row>
    <row r="33" spans="1:25" s="9" customFormat="1" ht="42.75" customHeight="1" x14ac:dyDescent="0.25">
      <c r="A33" s="338" t="s">
        <v>181</v>
      </c>
      <c r="B33" s="339"/>
      <c r="C33" s="339"/>
      <c r="D33" s="339"/>
      <c r="E33" s="112">
        <f>E36</f>
        <v>181275.1586</v>
      </c>
      <c r="F33" s="117">
        <f t="shared" ref="F33:F46" si="14">SUM(G33:O33)</f>
        <v>2122935.4346000003</v>
      </c>
      <c r="G33" s="112">
        <f t="shared" ref="G33:H33" si="15">G34+G35+G36+G37</f>
        <v>407683.76996000001</v>
      </c>
      <c r="H33" s="112">
        <f t="shared" si="15"/>
        <v>447571.36115000001</v>
      </c>
      <c r="I33" s="333">
        <f>I34+I35+I36+I37</f>
        <v>438441.69749000005</v>
      </c>
      <c r="J33" s="333"/>
      <c r="K33" s="333"/>
      <c r="L33" s="333"/>
      <c r="M33" s="333"/>
      <c r="N33" s="112">
        <f t="shared" ref="N33:O33" si="16">N34+N35+N36+N37</f>
        <v>414504.28049999999</v>
      </c>
      <c r="O33" s="112">
        <f t="shared" si="16"/>
        <v>414734.32550000004</v>
      </c>
      <c r="P33" s="113"/>
      <c r="Q33" s="32"/>
      <c r="R33" s="32"/>
      <c r="S33" s="32"/>
      <c r="X33" s="44"/>
      <c r="Y33" s="44"/>
    </row>
    <row r="34" spans="1:25" s="9" customFormat="1" ht="18.75" x14ac:dyDescent="0.25">
      <c r="A34" s="421" t="s">
        <v>40</v>
      </c>
      <c r="B34" s="421"/>
      <c r="C34" s="421"/>
      <c r="D34" s="421"/>
      <c r="E34" s="89"/>
      <c r="F34" s="117">
        <f t="shared" si="14"/>
        <v>0</v>
      </c>
      <c r="G34" s="89">
        <f t="shared" ref="G34:H34" si="17">G6</f>
        <v>0</v>
      </c>
      <c r="H34" s="89">
        <f t="shared" si="17"/>
        <v>0</v>
      </c>
      <c r="I34" s="420">
        <f>I6</f>
        <v>0</v>
      </c>
      <c r="J34" s="420"/>
      <c r="K34" s="420"/>
      <c r="L34" s="420"/>
      <c r="M34" s="420"/>
      <c r="N34" s="89">
        <f t="shared" ref="N34:O34" si="18">N6</f>
        <v>0</v>
      </c>
      <c r="O34" s="89">
        <f t="shared" si="18"/>
        <v>0</v>
      </c>
      <c r="P34" s="12"/>
      <c r="Q34" s="32"/>
      <c r="R34" s="32"/>
      <c r="S34" s="32"/>
      <c r="X34" s="44"/>
      <c r="Y34" s="44"/>
    </row>
    <row r="35" spans="1:25" ht="18.75" x14ac:dyDescent="0.25">
      <c r="A35" s="340" t="s">
        <v>1</v>
      </c>
      <c r="B35" s="340"/>
      <c r="C35" s="340"/>
      <c r="D35" s="340"/>
      <c r="E35" s="47">
        <f>E7</f>
        <v>0</v>
      </c>
      <c r="F35" s="117">
        <f t="shared" si="14"/>
        <v>988.57065999999998</v>
      </c>
      <c r="G35" s="47">
        <f t="shared" ref="G35:H35" si="19">G7</f>
        <v>141.46065999999999</v>
      </c>
      <c r="H35" s="47">
        <f t="shared" si="19"/>
        <v>397.11</v>
      </c>
      <c r="I35" s="290">
        <f>I7</f>
        <v>450</v>
      </c>
      <c r="J35" s="290"/>
      <c r="K35" s="290"/>
      <c r="L35" s="290"/>
      <c r="M35" s="290"/>
      <c r="N35" s="47">
        <f t="shared" ref="N35:O35" si="20">N7</f>
        <v>0</v>
      </c>
      <c r="O35" s="47">
        <f t="shared" si="20"/>
        <v>0</v>
      </c>
      <c r="P35" s="12"/>
      <c r="Q35" s="32"/>
      <c r="R35" s="32"/>
      <c r="S35" s="32"/>
      <c r="X35" s="45"/>
      <c r="Y35" s="45"/>
    </row>
    <row r="36" spans="1:25" ht="18.75" x14ac:dyDescent="0.25">
      <c r="A36" s="340" t="s">
        <v>48</v>
      </c>
      <c r="B36" s="340"/>
      <c r="C36" s="340"/>
      <c r="D36" s="340"/>
      <c r="E36" s="47">
        <f>E8</f>
        <v>181275.1586</v>
      </c>
      <c r="F36" s="117">
        <f t="shared" si="14"/>
        <v>1140923.0628200001</v>
      </c>
      <c r="G36" s="47">
        <f t="shared" ref="G36:H36" si="21">G8</f>
        <v>236926.81779999999</v>
      </c>
      <c r="H36" s="47">
        <f t="shared" si="21"/>
        <v>249704.64145</v>
      </c>
      <c r="I36" s="290">
        <f>I8</f>
        <v>219992.21697000001</v>
      </c>
      <c r="J36" s="290"/>
      <c r="K36" s="290"/>
      <c r="L36" s="290"/>
      <c r="M36" s="290"/>
      <c r="N36" s="47">
        <f t="shared" ref="N36:O36" si="22">N8</f>
        <v>217034.67079999999</v>
      </c>
      <c r="O36" s="47">
        <f t="shared" si="22"/>
        <v>217264.71580000001</v>
      </c>
      <c r="P36" s="12"/>
      <c r="Q36" s="32"/>
      <c r="R36" s="32"/>
      <c r="S36" s="32"/>
      <c r="U36" s="45">
        <f>I36</f>
        <v>219992.21697000001</v>
      </c>
      <c r="X36" s="45"/>
      <c r="Y36" s="45"/>
    </row>
    <row r="37" spans="1:25" ht="18.75" x14ac:dyDescent="0.25">
      <c r="A37" s="340" t="s">
        <v>87</v>
      </c>
      <c r="B37" s="340"/>
      <c r="C37" s="340"/>
      <c r="D37" s="340"/>
      <c r="E37" s="47"/>
      <c r="F37" s="117">
        <f t="shared" si="14"/>
        <v>981023.80112000008</v>
      </c>
      <c r="G37" s="47">
        <f t="shared" ref="G37:H37" si="23">G9</f>
        <v>170615.4915</v>
      </c>
      <c r="H37" s="47">
        <f t="shared" si="23"/>
        <v>197469.6097</v>
      </c>
      <c r="I37" s="290">
        <f>I9</f>
        <v>217999.48052000001</v>
      </c>
      <c r="J37" s="290"/>
      <c r="K37" s="290"/>
      <c r="L37" s="290"/>
      <c r="M37" s="290"/>
      <c r="N37" s="47">
        <f t="shared" ref="N37:O37" si="24">N9</f>
        <v>197469.6097</v>
      </c>
      <c r="O37" s="47">
        <f t="shared" si="24"/>
        <v>197469.6097</v>
      </c>
      <c r="P37" s="12"/>
      <c r="Q37" s="32"/>
      <c r="R37" s="32"/>
      <c r="S37" s="32"/>
      <c r="X37" s="45"/>
      <c r="Y37" s="45"/>
    </row>
    <row r="38" spans="1:25" ht="18.75" x14ac:dyDescent="0.3">
      <c r="A38" s="377" t="s">
        <v>88</v>
      </c>
      <c r="B38" s="377"/>
      <c r="C38" s="377"/>
      <c r="D38" s="377"/>
      <c r="E38" s="37" t="e">
        <f>#REF!+'Подпрограмма 1'!#REF!+'Подпрограмма 2'!#REF!</f>
        <v>#REF!</v>
      </c>
      <c r="F38" s="117">
        <f t="shared" si="14"/>
        <v>981023.80112000008</v>
      </c>
      <c r="G38" s="83">
        <f t="shared" ref="G38:H38" si="25">G10</f>
        <v>170615.4915</v>
      </c>
      <c r="H38" s="83">
        <f t="shared" si="25"/>
        <v>197469.6097</v>
      </c>
      <c r="I38" s="334">
        <f>I10</f>
        <v>217999.48052000001</v>
      </c>
      <c r="J38" s="334"/>
      <c r="K38" s="334"/>
      <c r="L38" s="334"/>
      <c r="M38" s="334"/>
      <c r="N38" s="83">
        <f t="shared" ref="N38:O38" si="26">N10</f>
        <v>197469.6097</v>
      </c>
      <c r="O38" s="83">
        <f t="shared" si="26"/>
        <v>197469.6097</v>
      </c>
      <c r="P38" s="6"/>
      <c r="Q38" s="96" t="e">
        <f>#REF!+'Подпрограмма 1'!#REF!+'Подпрограмма 2'!#REF!</f>
        <v>#REF!</v>
      </c>
      <c r="R38" s="9"/>
      <c r="S38" s="9"/>
      <c r="T38" s="4"/>
      <c r="U38" s="4"/>
      <c r="X38" s="45"/>
      <c r="Y38" s="45"/>
    </row>
    <row r="39" spans="1:25" s="9" customFormat="1" ht="36.75" customHeight="1" x14ac:dyDescent="0.25">
      <c r="A39" s="414" t="s">
        <v>17</v>
      </c>
      <c r="B39" s="414"/>
      <c r="C39" s="414"/>
      <c r="D39" s="414"/>
      <c r="E39" s="130" t="e">
        <f>E40+E41+E42+E45+E46</f>
        <v>#REF!</v>
      </c>
      <c r="F39" s="133">
        <f t="shared" si="14"/>
        <v>71337975.2007</v>
      </c>
      <c r="G39" s="180">
        <f>G40+G41+G42+G44</f>
        <v>12803361.490590002</v>
      </c>
      <c r="H39" s="180">
        <f t="shared" ref="H39" si="27">H40+H41+H42+H44</f>
        <v>13263134.16708</v>
      </c>
      <c r="I39" s="320">
        <f>I40+I41+I42+I44</f>
        <v>15976636.565170003</v>
      </c>
      <c r="J39" s="320"/>
      <c r="K39" s="320"/>
      <c r="L39" s="320"/>
      <c r="M39" s="320"/>
      <c r="N39" s="180">
        <f t="shared" ref="N39:O39" si="28">N40+N41+N42+N44</f>
        <v>14704992.342680002</v>
      </c>
      <c r="O39" s="180">
        <f t="shared" si="28"/>
        <v>14589850.63518</v>
      </c>
      <c r="P39" s="131"/>
      <c r="Q39" s="20"/>
      <c r="T39" s="8"/>
      <c r="U39" s="8"/>
      <c r="V39" s="104">
        <v>64839775.624750003</v>
      </c>
      <c r="W39" s="44">
        <f t="shared" ref="W39:W46" si="29">F39-V39</f>
        <v>6498199.5759499967</v>
      </c>
      <c r="X39" s="44">
        <v>12803361.490590002</v>
      </c>
      <c r="Y39" s="44"/>
    </row>
    <row r="40" spans="1:25" s="9" customFormat="1" ht="18.75" x14ac:dyDescent="0.25">
      <c r="A40" s="415" t="s">
        <v>40</v>
      </c>
      <c r="B40" s="415"/>
      <c r="C40" s="415"/>
      <c r="D40" s="415"/>
      <c r="E40" s="95" t="e">
        <f>'Подпрограмма 1'!E409+'Подпрограмма 2'!E98</f>
        <v>#REF!</v>
      </c>
      <c r="F40" s="133">
        <f t="shared" si="14"/>
        <v>2259877.7889200002</v>
      </c>
      <c r="G40" s="179">
        <f>'Подпрограмма 1'!G409+'Подпрограмма 2'!G98+'Подпрограмма 3'!G34</f>
        <v>398561.31916999992</v>
      </c>
      <c r="H40" s="179">
        <f>'Подпрограмма 1'!H409+'Подпрограмма 2'!H98+'Подпрограмма 3'!H34</f>
        <v>463676.47893000004</v>
      </c>
      <c r="I40" s="426">
        <f>'Подпрограмма 1'!I409+'Подпрограмма 2'!I98+'Подпрограмма 3'!I34</f>
        <v>481387.00226999994</v>
      </c>
      <c r="J40" s="426"/>
      <c r="K40" s="426"/>
      <c r="L40" s="426"/>
      <c r="M40" s="426"/>
      <c r="N40" s="179">
        <f>'Подпрограмма 1'!N409+'Подпрограмма 2'!N98+'Подпрограмма 3'!N34</f>
        <v>463826.77772000001</v>
      </c>
      <c r="O40" s="179">
        <f>'Подпрограмма 1'!O409+'Подпрограмма 2'!O98+'Подпрограмма 3'!O34</f>
        <v>452426.21083</v>
      </c>
      <c r="P40" s="19"/>
      <c r="Q40" s="20" t="e">
        <f>#REF!</f>
        <v>#REF!</v>
      </c>
      <c r="T40" s="8"/>
      <c r="U40" s="8"/>
      <c r="V40" s="104">
        <v>1872051.01917</v>
      </c>
      <c r="W40" s="44">
        <f t="shared" si="29"/>
        <v>387826.76975000021</v>
      </c>
      <c r="X40" s="105">
        <v>398561.31916999992</v>
      </c>
      <c r="Y40" s="105">
        <f t="shared" ref="Y40:Y46" si="30">G40-X40</f>
        <v>0</v>
      </c>
    </row>
    <row r="41" spans="1:25" s="9" customFormat="1" ht="18.75" x14ac:dyDescent="0.25">
      <c r="A41" s="415" t="s">
        <v>1</v>
      </c>
      <c r="B41" s="415"/>
      <c r="C41" s="415"/>
      <c r="D41" s="415"/>
      <c r="E41" s="95" t="e">
        <f>#REF!+'Подпрограмма 1'!E410+'Подпрограмма 2'!E99+#REF!</f>
        <v>#REF!</v>
      </c>
      <c r="F41" s="133">
        <f t="shared" si="14"/>
        <v>41384315.120169997</v>
      </c>
      <c r="G41" s="179">
        <f>'Подпрограмма 1'!G410+'Подпрограмма 2'!G99+'Подпрограмма 3'!G35</f>
        <v>7623938.0609600022</v>
      </c>
      <c r="H41" s="179">
        <f>'Подпрограмма 1'!H410+'Подпрограмма 2'!H99+'Подпрограмма 3'!H35</f>
        <v>7799971.7568800012</v>
      </c>
      <c r="I41" s="426">
        <f>'Подпрограмма 1'!I410+'Подпрограмма 2'!I99+'Подпрограмма 3'!I35</f>
        <v>9036240.9311300013</v>
      </c>
      <c r="J41" s="426"/>
      <c r="K41" s="426"/>
      <c r="L41" s="426"/>
      <c r="M41" s="426"/>
      <c r="N41" s="179">
        <f>'Подпрограмма 1'!N410+'Подпрограмма 2'!N99+'Подпрограмма 3'!N35</f>
        <v>8508214.7220300008</v>
      </c>
      <c r="O41" s="179">
        <f>'Подпрограмма 1'!O410+'Подпрограмма 2'!O99+'Подпрограмма 3'!O35</f>
        <v>8415949.6491700001</v>
      </c>
      <c r="P41" s="19"/>
      <c r="Q41" s="21" t="e">
        <f>#REF!+'Подпрограмма 1'!#REF!+'Подпрограмма 2'!#REF!+#REF!</f>
        <v>#REF!</v>
      </c>
      <c r="T41" s="8"/>
      <c r="U41" s="8"/>
      <c r="V41" s="104">
        <v>39441712.982210003</v>
      </c>
      <c r="W41" s="44">
        <f t="shared" si="29"/>
        <v>1942602.1379599944</v>
      </c>
      <c r="X41" s="105">
        <v>7623938.0609600022</v>
      </c>
      <c r="Y41" s="105">
        <f t="shared" si="30"/>
        <v>0</v>
      </c>
    </row>
    <row r="42" spans="1:25" s="9" customFormat="1" ht="18.75" x14ac:dyDescent="0.25">
      <c r="A42" s="415" t="s">
        <v>48</v>
      </c>
      <c r="B42" s="415"/>
      <c r="C42" s="415"/>
      <c r="D42" s="415"/>
      <c r="E42" s="95" t="e">
        <f>#REF!+'Подпрограмма 1'!E411+'Подпрограмма 2'!E100+#REF!+'Подпрограмма 3'!E36</f>
        <v>#REF!</v>
      </c>
      <c r="F42" s="133">
        <f t="shared" si="14"/>
        <v>23524879.790820003</v>
      </c>
      <c r="G42" s="179">
        <f>'Подпрограмма 1'!G411+'Подпрограмма 2'!G100+'Подпрограмма 3'!G36</f>
        <v>4095859.6682799999</v>
      </c>
      <c r="H42" s="179">
        <f>'Подпрограмма 1'!H411+'Подпрограмма 2'!H100+'Подпрограмма 3'!H36</f>
        <v>4128790.1930699996</v>
      </c>
      <c r="I42" s="426">
        <f>'Подпрограмма 1'!I411+'Подпрограмма 2'!I100+'Подпрограмма 3'!I36</f>
        <v>5542518.9837200008</v>
      </c>
      <c r="J42" s="426"/>
      <c r="K42" s="426"/>
      <c r="L42" s="426"/>
      <c r="M42" s="426"/>
      <c r="N42" s="179">
        <f>'Подпрограмма 1'!N411+'Подпрограмма 2'!N100+'Подпрограмма 3'!N36</f>
        <v>4884593.5067500006</v>
      </c>
      <c r="O42" s="179">
        <f>'Подпрограмма 1'!O411+'Подпрограмма 2'!O100+'Подпрограмма 3'!O36</f>
        <v>4873117.4390000012</v>
      </c>
      <c r="P42" s="19"/>
      <c r="Q42" s="21" t="e">
        <f>#REF!+'Подпрограмма 1'!#REF!+'Подпрограмма 2'!#REF!+#REF!+#REF!</f>
        <v>#REF!</v>
      </c>
      <c r="T42" s="8"/>
      <c r="U42" s="8"/>
      <c r="V42" s="104">
        <v>19909798.706069998</v>
      </c>
      <c r="W42" s="44">
        <f t="shared" si="29"/>
        <v>3615081.0847500041</v>
      </c>
      <c r="X42" s="105">
        <v>4095859.6682799999</v>
      </c>
      <c r="Y42" s="105">
        <f t="shared" si="30"/>
        <v>0</v>
      </c>
    </row>
    <row r="43" spans="1:25" s="9" customFormat="1" ht="18.75" x14ac:dyDescent="0.3">
      <c r="A43" s="377" t="s">
        <v>59</v>
      </c>
      <c r="B43" s="377"/>
      <c r="C43" s="377"/>
      <c r="D43" s="377"/>
      <c r="E43" s="181" t="e">
        <f>#REF!</f>
        <v>#REF!</v>
      </c>
      <c r="F43" s="134">
        <f t="shared" si="14"/>
        <v>2798298</v>
      </c>
      <c r="G43" s="178">
        <f>'Подпрограмма 1'!G412</f>
        <v>413035</v>
      </c>
      <c r="H43" s="178">
        <f>'Подпрограмма 1'!H412</f>
        <v>493052</v>
      </c>
      <c r="I43" s="334">
        <f>'Подпрограмма 1'!I412</f>
        <v>630737</v>
      </c>
      <c r="J43" s="334"/>
      <c r="K43" s="334"/>
      <c r="L43" s="334"/>
      <c r="M43" s="334"/>
      <c r="N43" s="178">
        <f>'Подпрограмма 1'!N412</f>
        <v>630737</v>
      </c>
      <c r="O43" s="178">
        <f>'Подпрограмма 1'!O412</f>
        <v>630737</v>
      </c>
      <c r="P43" s="6"/>
      <c r="V43" s="104">
        <v>2529243</v>
      </c>
      <c r="W43" s="44">
        <f t="shared" si="29"/>
        <v>269055</v>
      </c>
      <c r="X43" s="105">
        <v>413035</v>
      </c>
      <c r="Y43" s="105">
        <f t="shared" si="30"/>
        <v>0</v>
      </c>
    </row>
    <row r="44" spans="1:25" s="9" customFormat="1" ht="18.75" x14ac:dyDescent="0.3">
      <c r="A44" s="378" t="s">
        <v>87</v>
      </c>
      <c r="B44" s="378"/>
      <c r="C44" s="378"/>
      <c r="D44" s="378"/>
      <c r="E44" s="181"/>
      <c r="F44" s="133">
        <f t="shared" si="14"/>
        <v>4168902.5007900004</v>
      </c>
      <c r="G44" s="181">
        <f>G45+G46</f>
        <v>685002.44218000001</v>
      </c>
      <c r="H44" s="181">
        <f>H45+H46</f>
        <v>870695.73820000014</v>
      </c>
      <c r="I44" s="335">
        <f>I45+I46</f>
        <v>916489.64805000008</v>
      </c>
      <c r="J44" s="335"/>
      <c r="K44" s="335"/>
      <c r="L44" s="335"/>
      <c r="M44" s="335"/>
      <c r="N44" s="181">
        <f t="shared" ref="N44:O44" si="31">N45+N46</f>
        <v>848357.3361800001</v>
      </c>
      <c r="O44" s="181">
        <f t="shared" si="31"/>
        <v>848357.3361800001</v>
      </c>
      <c r="P44" s="6"/>
      <c r="V44" s="104">
        <v>3616212.9173000003</v>
      </c>
      <c r="W44" s="44">
        <f t="shared" si="29"/>
        <v>552689.58349000011</v>
      </c>
      <c r="X44" s="105">
        <v>685002.44218000001</v>
      </c>
      <c r="Y44" s="105">
        <f t="shared" si="30"/>
        <v>0</v>
      </c>
    </row>
    <row r="45" spans="1:25" s="9" customFormat="1" ht="18.75" x14ac:dyDescent="0.3">
      <c r="A45" s="377" t="s">
        <v>88</v>
      </c>
      <c r="B45" s="377"/>
      <c r="C45" s="377"/>
      <c r="D45" s="377"/>
      <c r="E45" s="97" t="e">
        <f>#REF!+'Подпрограмма 1'!E414+'Подпрограмма 2'!E102</f>
        <v>#REF!</v>
      </c>
      <c r="F45" s="134">
        <f t="shared" si="14"/>
        <v>4047217.5107899997</v>
      </c>
      <c r="G45" s="178">
        <f>'Подпрограмма 1'!G414+'Подпрограмма 2'!G102+'Подпрограмма 3'!G38</f>
        <v>661811.04018000001</v>
      </c>
      <c r="H45" s="178">
        <f>'Подпрограмма 1'!H414+'Подпрограмма 2'!H102+'Подпрограмма 3'!H38</f>
        <v>846169.42820000008</v>
      </c>
      <c r="I45" s="334">
        <f>'Подпрограмма 1'!I414+'Подпрограмма 2'!I102+'Подпрограмма 3'!I38</f>
        <v>891963.33805000002</v>
      </c>
      <c r="J45" s="334"/>
      <c r="K45" s="334"/>
      <c r="L45" s="334"/>
      <c r="M45" s="334"/>
      <c r="N45" s="178">
        <f>'Подпрограмма 1'!N414+'Подпрограмма 2'!N102+'Подпрограмма 3'!N38</f>
        <v>823636.85218000005</v>
      </c>
      <c r="O45" s="178">
        <f>'Подпрограмма 1'!O414+'Подпрограмма 2'!O102+'Подпрограмма 3'!O38</f>
        <v>823636.85218000005</v>
      </c>
      <c r="P45" s="6"/>
      <c r="Q45" s="96" t="e">
        <f>#REF!+'Подпрограмма 1'!F408+'Подпрограмма 2'!F97</f>
        <v>#REF!</v>
      </c>
      <c r="T45" s="8"/>
      <c r="U45" s="8"/>
      <c r="V45" s="104">
        <v>3494139.5792999999</v>
      </c>
      <c r="W45" s="44">
        <f t="shared" si="29"/>
        <v>553077.93148999987</v>
      </c>
      <c r="X45" s="105">
        <v>661811.04018000001</v>
      </c>
      <c r="Y45" s="105">
        <f t="shared" si="30"/>
        <v>0</v>
      </c>
    </row>
    <row r="46" spans="1:25" s="9" customFormat="1" ht="18.75" x14ac:dyDescent="0.3">
      <c r="A46" s="377" t="s">
        <v>89</v>
      </c>
      <c r="B46" s="377"/>
      <c r="C46" s="377"/>
      <c r="D46" s="377"/>
      <c r="E46" s="97" t="e">
        <f>#REF!+'Подпрограмма 1'!E415</f>
        <v>#REF!</v>
      </c>
      <c r="F46" s="134">
        <f t="shared" si="14"/>
        <v>121684.98999999999</v>
      </c>
      <c r="G46" s="178">
        <f>'Подпрограмма 1'!G415</f>
        <v>23191.402000000002</v>
      </c>
      <c r="H46" s="178">
        <f>'Подпрограмма 1'!H415</f>
        <v>24526.31</v>
      </c>
      <c r="I46" s="334">
        <f>'Подпрограмма 1'!I415</f>
        <v>24526.31</v>
      </c>
      <c r="J46" s="334"/>
      <c r="K46" s="334"/>
      <c r="L46" s="334"/>
      <c r="M46" s="334"/>
      <c r="N46" s="178">
        <f>'Подпрограмма 1'!N415</f>
        <v>24720.484</v>
      </c>
      <c r="O46" s="178">
        <f>'Подпрограмма 1'!O415</f>
        <v>24720.484</v>
      </c>
      <c r="P46" s="6"/>
      <c r="Q46" s="96" t="e">
        <f>#REF!+'Подпрограмма 1'!F409</f>
        <v>#REF!</v>
      </c>
      <c r="T46" s="8"/>
      <c r="U46" s="8"/>
      <c r="V46" s="104">
        <v>122073.33799999999</v>
      </c>
      <c r="W46" s="44">
        <f t="shared" si="29"/>
        <v>-388.34799999999814</v>
      </c>
      <c r="X46" s="105">
        <v>23191.402000000002</v>
      </c>
      <c r="Y46" s="105">
        <f t="shared" si="30"/>
        <v>0</v>
      </c>
    </row>
    <row r="47" spans="1:25" s="9" customFormat="1" ht="18.75" x14ac:dyDescent="0.3">
      <c r="A47" s="61"/>
      <c r="B47" s="61"/>
      <c r="C47" s="61"/>
      <c r="D47" s="61"/>
      <c r="E47" s="62"/>
      <c r="F47" s="140"/>
      <c r="G47" s="63"/>
      <c r="H47" s="63"/>
      <c r="I47" s="63"/>
      <c r="J47" s="63"/>
      <c r="K47" s="63"/>
      <c r="L47" s="63"/>
      <c r="M47" s="63"/>
      <c r="N47" s="63"/>
      <c r="O47" s="63"/>
      <c r="P47" s="64"/>
      <c r="Q47" s="96"/>
      <c r="T47" s="8"/>
      <c r="U47" s="8"/>
    </row>
    <row r="48" spans="1:25" s="9" customFormat="1" ht="18" x14ac:dyDescent="0.25">
      <c r="A48" s="20"/>
      <c r="B48" s="20"/>
      <c r="C48" s="20"/>
      <c r="D48" s="20"/>
      <c r="E48" s="20"/>
      <c r="F48" s="141"/>
      <c r="G48" s="21"/>
      <c r="H48" s="157"/>
      <c r="I48" s="427"/>
      <c r="J48" s="427"/>
      <c r="K48" s="427"/>
      <c r="L48" s="427"/>
      <c r="M48" s="21"/>
      <c r="N48" s="141"/>
      <c r="O48" s="21"/>
      <c r="P48" s="22" t="s">
        <v>115</v>
      </c>
      <c r="Q48" s="22"/>
      <c r="U48" s="44">
        <f>U36+'Подпрограмма 2'!Q100+'Подпрограмма 1'!Q411</f>
        <v>5542518.9837200008</v>
      </c>
    </row>
    <row r="49" spans="1:17" s="9" customFormat="1" ht="18.75" x14ac:dyDescent="0.25">
      <c r="A49" s="23"/>
      <c r="B49" s="42" t="s">
        <v>283</v>
      </c>
      <c r="C49" s="23"/>
      <c r="D49" s="23"/>
      <c r="E49" s="23"/>
      <c r="F49" s="23" t="s">
        <v>214</v>
      </c>
      <c r="G49" s="23" t="s">
        <v>276</v>
      </c>
      <c r="H49" s="27"/>
      <c r="I49" s="23"/>
      <c r="J49" s="23"/>
      <c r="K49" s="23"/>
      <c r="L49" s="23"/>
      <c r="M49" s="23"/>
      <c r="N49" s="26"/>
      <c r="O49" s="26"/>
      <c r="P49" s="26"/>
      <c r="Q49" s="23"/>
    </row>
    <row r="50" spans="1:17" s="9" customFormat="1" ht="18.75" x14ac:dyDescent="0.25">
      <c r="A50" s="23"/>
      <c r="B50" s="27"/>
      <c r="C50" s="27"/>
      <c r="D50" s="142"/>
      <c r="E50" s="27"/>
      <c r="F50" s="27"/>
      <c r="G50" s="143"/>
      <c r="H50" s="144"/>
      <c r="I50" s="427"/>
      <c r="J50" s="427"/>
      <c r="K50" s="427"/>
      <c r="L50" s="427"/>
      <c r="M50" s="27"/>
      <c r="N50" s="27"/>
      <c r="O50" s="27"/>
      <c r="P50" s="27"/>
      <c r="Q50" s="27"/>
    </row>
    <row r="51" spans="1:17" s="9" customFormat="1" ht="35.1" customHeight="1" x14ac:dyDescent="0.25">
      <c r="A51" s="20"/>
      <c r="B51" s="20"/>
      <c r="C51" s="142"/>
      <c r="D51" s="142"/>
      <c r="E51" s="142"/>
      <c r="F51" s="142"/>
      <c r="G51" s="42"/>
      <c r="H51" s="42"/>
      <c r="I51" s="427"/>
      <c r="J51" s="427"/>
      <c r="K51" s="427"/>
      <c r="L51" s="427"/>
      <c r="M51" s="23"/>
      <c r="N51" s="175"/>
      <c r="O51" s="175"/>
      <c r="P51" s="20"/>
      <c r="Q51" s="20"/>
    </row>
    <row r="52" spans="1:17" s="9" customFormat="1" ht="18.75" x14ac:dyDescent="0.25">
      <c r="A52" s="20"/>
      <c r="B52" s="23" t="s">
        <v>18</v>
      </c>
      <c r="C52" s="23"/>
      <c r="D52" s="23"/>
      <c r="E52" s="23"/>
      <c r="F52" s="23" t="s">
        <v>214</v>
      </c>
      <c r="G52" s="42" t="s">
        <v>39</v>
      </c>
      <c r="H52" s="42"/>
      <c r="I52" s="23"/>
      <c r="J52" s="23"/>
      <c r="K52" s="23"/>
      <c r="L52" s="23"/>
      <c r="M52" s="23"/>
      <c r="N52" s="42"/>
      <c r="O52" s="42"/>
      <c r="P52" s="20"/>
      <c r="Q52" s="20"/>
    </row>
    <row r="53" spans="1:17" ht="18.75" x14ac:dyDescent="0.25">
      <c r="A53" s="20"/>
      <c r="B53" s="28"/>
      <c r="C53" s="28"/>
      <c r="D53" s="28"/>
      <c r="E53" s="28"/>
      <c r="F53" s="135"/>
      <c r="G53" s="24"/>
      <c r="H53" s="24"/>
      <c r="I53" s="23"/>
      <c r="J53" s="23"/>
      <c r="K53" s="23"/>
      <c r="L53" s="23"/>
      <c r="M53" s="23"/>
      <c r="N53" s="42"/>
      <c r="O53" s="42"/>
      <c r="P53" s="20"/>
      <c r="Q53" s="20"/>
    </row>
    <row r="54" spans="1:17" ht="18.75" x14ac:dyDescent="0.25">
      <c r="A54" s="20"/>
      <c r="B54" s="28"/>
      <c r="C54" s="28"/>
      <c r="D54" s="28"/>
      <c r="E54" s="28"/>
      <c r="F54" s="136"/>
      <c r="G54" s="24"/>
      <c r="H54" s="24"/>
      <c r="I54" s="25"/>
      <c r="J54" s="23"/>
      <c r="K54" s="23"/>
      <c r="L54" s="23"/>
      <c r="M54" s="23"/>
      <c r="N54" s="42"/>
      <c r="O54" s="42"/>
      <c r="P54" s="20"/>
      <c r="Q54" s="20"/>
    </row>
    <row r="55" spans="1:17" ht="18.75" hidden="1" x14ac:dyDescent="0.3">
      <c r="B55" s="399" t="s">
        <v>19</v>
      </c>
      <c r="C55" s="400"/>
      <c r="D55" s="400"/>
      <c r="E55" s="54" t="e">
        <f>#REF!+'Подпрограмма 1'!E418+'Подпрограмма 2'!E106</f>
        <v>#REF!</v>
      </c>
      <c r="F55" s="55">
        <f t="shared" ref="F55:F67" si="32">SUM(I55:O55)</f>
        <v>0</v>
      </c>
      <c r="G55" s="54">
        <f>'Подпрограмма 1'!F417+'Подпрограмма 2'!F105</f>
        <v>0</v>
      </c>
      <c r="H55" s="54" t="e">
        <f>'Подпрограмма 1'!#REF!+'Подпрограмма 2'!#REF!</f>
        <v>#REF!</v>
      </c>
      <c r="I55" s="393">
        <f>'Подпрограмма 1'!I417+'Подпрограмма 2'!I105</f>
        <v>0</v>
      </c>
      <c r="J55" s="394"/>
      <c r="K55" s="394"/>
      <c r="L55" s="394"/>
      <c r="M55" s="395"/>
      <c r="N55" s="54">
        <f>'Подпрограмма 1'!N417+'Подпрограмма 2'!N105</f>
        <v>0</v>
      </c>
      <c r="O55" s="54">
        <f>'Подпрограмма 1'!O417+'Подпрограмма 2'!O105</f>
        <v>0</v>
      </c>
      <c r="P55" s="7"/>
    </row>
    <row r="56" spans="1:17" ht="18.75" hidden="1" x14ac:dyDescent="0.3">
      <c r="B56" s="399" t="s">
        <v>21</v>
      </c>
      <c r="C56" s="400"/>
      <c r="D56" s="400"/>
      <c r="E56" s="54" t="e">
        <f>#REF!+'Подпрограмма 1'!E417</f>
        <v>#REF!</v>
      </c>
      <c r="F56" s="55">
        <f t="shared" si="32"/>
        <v>426113.27789999999</v>
      </c>
      <c r="G56" s="54">
        <f>'Подпрограмма 1'!F418+'Подпрограмма 2'!F106</f>
        <v>426113.27789999999</v>
      </c>
      <c r="H56" s="54" t="e">
        <f>'Подпрограмма 1'!#REF!+'Подпрограмма 2'!#REF!</f>
        <v>#REF!</v>
      </c>
      <c r="I56" s="393">
        <f>'Подпрограмма 1'!I418+'Подпрограмма 2'!I106</f>
        <v>95328.797900000005</v>
      </c>
      <c r="J56" s="394"/>
      <c r="K56" s="394"/>
      <c r="L56" s="394"/>
      <c r="M56" s="395"/>
      <c r="N56" s="54">
        <f>'Подпрограмма 1'!N418+'Подпрограмма 2'!N106</f>
        <v>165392.24</v>
      </c>
      <c r="O56" s="54">
        <f>'Подпрограмма 1'!O418+'Подпрограмма 2'!O106</f>
        <v>165392.24</v>
      </c>
      <c r="P56" s="7"/>
    </row>
    <row r="57" spans="1:17" ht="18.75" hidden="1" x14ac:dyDescent="0.3">
      <c r="B57" s="401" t="s">
        <v>20</v>
      </c>
      <c r="C57" s="402"/>
      <c r="D57" s="402"/>
      <c r="E57" s="56" t="e">
        <f>SUM(E55:E56)</f>
        <v>#REF!</v>
      </c>
      <c r="F57" s="55">
        <f t="shared" si="32"/>
        <v>426113.27789999999</v>
      </c>
      <c r="G57" s="56">
        <f>SUM(G55:G56)</f>
        <v>426113.27789999999</v>
      </c>
      <c r="H57" s="56" t="e">
        <f>SUM(H55:H56)</f>
        <v>#REF!</v>
      </c>
      <c r="I57" s="396">
        <f>SUM(I55:I56)</f>
        <v>95328.797900000005</v>
      </c>
      <c r="J57" s="397"/>
      <c r="K57" s="397"/>
      <c r="L57" s="397"/>
      <c r="M57" s="398"/>
      <c r="N57" s="56">
        <f>SUM(N55:N56)</f>
        <v>165392.24</v>
      </c>
      <c r="O57" s="56">
        <f>SUM(O55:O56)</f>
        <v>165392.24</v>
      </c>
      <c r="P57" s="7"/>
    </row>
    <row r="58" spans="1:17" ht="18.75" hidden="1" x14ac:dyDescent="0.3">
      <c r="B58" s="399" t="s">
        <v>61</v>
      </c>
      <c r="C58" s="400"/>
      <c r="D58" s="400"/>
      <c r="E58" s="54" t="e">
        <f>#REF!+'Подпрограмма 1'!E420</f>
        <v>#REF!</v>
      </c>
      <c r="F58" s="55">
        <f t="shared" si="32"/>
        <v>0</v>
      </c>
      <c r="G58" s="54">
        <f>'Подпрограмма 1'!F420</f>
        <v>0</v>
      </c>
      <c r="H58" s="54" t="e">
        <f>'Подпрограмма 1'!#REF!</f>
        <v>#REF!</v>
      </c>
      <c r="I58" s="393">
        <f>'Подпрограмма 1'!I420</f>
        <v>0</v>
      </c>
      <c r="J58" s="394"/>
      <c r="K58" s="394"/>
      <c r="L58" s="394"/>
      <c r="M58" s="395"/>
      <c r="N58" s="54">
        <f>'Подпрограмма 1'!N420</f>
        <v>0</v>
      </c>
      <c r="O58" s="54">
        <f>'Подпрограмма 1'!O420</f>
        <v>0</v>
      </c>
      <c r="P58" s="7"/>
    </row>
    <row r="59" spans="1:17" ht="18.75" hidden="1" x14ac:dyDescent="0.3">
      <c r="B59" s="399" t="s">
        <v>62</v>
      </c>
      <c r="C59" s="400"/>
      <c r="D59" s="400"/>
      <c r="E59" s="54" t="e">
        <f>#REF!+'Подпрограмма 1'!E421</f>
        <v>#REF!</v>
      </c>
      <c r="F59" s="55">
        <f t="shared" si="32"/>
        <v>20700</v>
      </c>
      <c r="G59" s="54">
        <f>'Подпрограмма 1'!F421</f>
        <v>20700</v>
      </c>
      <c r="H59" s="54" t="e">
        <f>'Подпрограмма 1'!#REF!</f>
        <v>#REF!</v>
      </c>
      <c r="I59" s="393">
        <f>'Подпрограмма 1'!I421</f>
        <v>6900</v>
      </c>
      <c r="J59" s="394"/>
      <c r="K59" s="394"/>
      <c r="L59" s="394"/>
      <c r="M59" s="395"/>
      <c r="N59" s="54">
        <f>'Подпрограмма 1'!N421</f>
        <v>6900</v>
      </c>
      <c r="O59" s="54">
        <f>'Подпрограмма 1'!O421</f>
        <v>6900</v>
      </c>
      <c r="P59" s="7"/>
    </row>
    <row r="60" spans="1:17" ht="18.75" hidden="1" x14ac:dyDescent="0.3">
      <c r="B60" s="401" t="s">
        <v>63</v>
      </c>
      <c r="C60" s="402"/>
      <c r="D60" s="402"/>
      <c r="E60" s="56" t="e">
        <f>SUM(E58:E59)</f>
        <v>#REF!</v>
      </c>
      <c r="F60" s="55">
        <f t="shared" si="32"/>
        <v>20700</v>
      </c>
      <c r="G60" s="56">
        <f>SUM(G58:G59)</f>
        <v>20700</v>
      </c>
      <c r="H60" s="56" t="e">
        <f>SUM(H58:H59)</f>
        <v>#REF!</v>
      </c>
      <c r="I60" s="396">
        <f>SUM(I58:I59)</f>
        <v>6900</v>
      </c>
      <c r="J60" s="397"/>
      <c r="K60" s="397"/>
      <c r="L60" s="397"/>
      <c r="M60" s="398"/>
      <c r="N60" s="56">
        <f>SUM(N58:N59)</f>
        <v>6900</v>
      </c>
      <c r="O60" s="56">
        <f>SUM(O58:O59)</f>
        <v>6900</v>
      </c>
      <c r="P60" s="7"/>
    </row>
    <row r="61" spans="1:17" ht="18.75" hidden="1" x14ac:dyDescent="0.3">
      <c r="B61" s="399" t="s">
        <v>43</v>
      </c>
      <c r="C61" s="400"/>
      <c r="D61" s="400"/>
      <c r="E61" s="46" t="e">
        <f>E40</f>
        <v>#REF!</v>
      </c>
      <c r="F61" s="55">
        <f t="shared" si="32"/>
        <v>1397639.9908199999</v>
      </c>
      <c r="G61" s="46">
        <f t="shared" ref="G61:H61" si="33">G40</f>
        <v>398561.31916999992</v>
      </c>
      <c r="H61" s="46">
        <f t="shared" si="33"/>
        <v>463676.47893000004</v>
      </c>
      <c r="I61" s="393">
        <f>I40</f>
        <v>481387.00226999994</v>
      </c>
      <c r="J61" s="394"/>
      <c r="K61" s="394"/>
      <c r="L61" s="394"/>
      <c r="M61" s="395"/>
      <c r="N61" s="46">
        <f t="shared" ref="N61:O61" si="34">N40</f>
        <v>463826.77772000001</v>
      </c>
      <c r="O61" s="46">
        <f t="shared" si="34"/>
        <v>452426.21083</v>
      </c>
    </row>
    <row r="62" spans="1:17" ht="18.75" hidden="1" x14ac:dyDescent="0.3">
      <c r="B62" s="399" t="s">
        <v>64</v>
      </c>
      <c r="C62" s="400"/>
      <c r="D62" s="400"/>
      <c r="E62" s="54" t="e">
        <f>E42-E55-E58-#REF!</f>
        <v>#REF!</v>
      </c>
      <c r="F62" s="55">
        <f t="shared" si="32"/>
        <v>25939705.302330002</v>
      </c>
      <c r="G62" s="54">
        <f t="shared" ref="G62:H62" si="35">G41-G55-G59</f>
        <v>7603238.0609600022</v>
      </c>
      <c r="H62" s="54" t="e">
        <f t="shared" si="35"/>
        <v>#REF!</v>
      </c>
      <c r="I62" s="393">
        <f>I41-I55-I59</f>
        <v>9029340.9311300013</v>
      </c>
      <c r="J62" s="394"/>
      <c r="K62" s="394"/>
      <c r="L62" s="394"/>
      <c r="M62" s="395"/>
      <c r="N62" s="54">
        <f t="shared" ref="N62:O62" si="36">N41-N55-N59</f>
        <v>8501314.7220300008</v>
      </c>
      <c r="O62" s="54">
        <f t="shared" si="36"/>
        <v>8409049.6491700001</v>
      </c>
      <c r="P62" s="7"/>
    </row>
    <row r="63" spans="1:17" ht="18.75" hidden="1" x14ac:dyDescent="0.3">
      <c r="B63" s="399" t="s">
        <v>23</v>
      </c>
      <c r="C63" s="400"/>
      <c r="D63" s="400"/>
      <c r="E63" s="54" t="e">
        <f>E41-E56-E59-#REF!</f>
        <v>#REF!</v>
      </c>
      <c r="F63" s="55">
        <f t="shared" si="32"/>
        <v>14874116.651570003</v>
      </c>
      <c r="G63" s="54">
        <f t="shared" ref="G63:H63" si="37">G42-G56-G58</f>
        <v>3669746.3903799998</v>
      </c>
      <c r="H63" s="54" t="e">
        <f t="shared" si="37"/>
        <v>#REF!</v>
      </c>
      <c r="I63" s="393">
        <f>I42-I56-I58</f>
        <v>5447190.1858200012</v>
      </c>
      <c r="J63" s="394"/>
      <c r="K63" s="394"/>
      <c r="L63" s="394"/>
      <c r="M63" s="395"/>
      <c r="N63" s="54">
        <f t="shared" ref="N63:O63" si="38">N42-N56-N58</f>
        <v>4719201.2667500004</v>
      </c>
      <c r="O63" s="54">
        <f t="shared" si="38"/>
        <v>4707725.199000001</v>
      </c>
      <c r="P63" s="7"/>
    </row>
    <row r="64" spans="1:17" ht="18.75" hidden="1" x14ac:dyDescent="0.3">
      <c r="B64" s="399" t="s">
        <v>87</v>
      </c>
      <c r="C64" s="400"/>
      <c r="D64" s="403"/>
      <c r="E64" s="54"/>
      <c r="F64" s="55">
        <f t="shared" si="32"/>
        <v>2613204.3204100002</v>
      </c>
      <c r="G64" s="54">
        <f t="shared" ref="G64:H64" si="39">G65+G66</f>
        <v>685002.44218000001</v>
      </c>
      <c r="H64" s="54">
        <f t="shared" si="39"/>
        <v>870695.73820000014</v>
      </c>
      <c r="I64" s="393">
        <f>I65+I66</f>
        <v>916489.64805000008</v>
      </c>
      <c r="J64" s="394"/>
      <c r="K64" s="394"/>
      <c r="L64" s="394"/>
      <c r="M64" s="395"/>
      <c r="N64" s="54">
        <f t="shared" ref="N64:O64" si="40">N65+N66</f>
        <v>848357.3361800001</v>
      </c>
      <c r="O64" s="54">
        <f t="shared" si="40"/>
        <v>848357.3361800001</v>
      </c>
      <c r="P64" s="7"/>
    </row>
    <row r="65" spans="1:19" ht="18.75" hidden="1" x14ac:dyDescent="0.3">
      <c r="B65" s="422" t="s">
        <v>88</v>
      </c>
      <c r="C65" s="423"/>
      <c r="D65" s="423"/>
      <c r="E65" s="54" t="e">
        <f>E45-#REF!</f>
        <v>#REF!</v>
      </c>
      <c r="F65" s="55">
        <f t="shared" si="32"/>
        <v>2539237.0424100002</v>
      </c>
      <c r="G65" s="54">
        <f t="shared" ref="G65:H65" si="41">G45</f>
        <v>661811.04018000001</v>
      </c>
      <c r="H65" s="54">
        <f t="shared" si="41"/>
        <v>846169.42820000008</v>
      </c>
      <c r="I65" s="393">
        <f>I45</f>
        <v>891963.33805000002</v>
      </c>
      <c r="J65" s="394"/>
      <c r="K65" s="394"/>
      <c r="L65" s="394"/>
      <c r="M65" s="395"/>
      <c r="N65" s="54">
        <f t="shared" ref="N65:O65" si="42">N45</f>
        <v>823636.85218000005</v>
      </c>
      <c r="O65" s="54">
        <f t="shared" si="42"/>
        <v>823636.85218000005</v>
      </c>
      <c r="P65" s="7"/>
    </row>
    <row r="66" spans="1:19" ht="18.75" hidden="1" x14ac:dyDescent="0.3">
      <c r="B66" s="422" t="s">
        <v>89</v>
      </c>
      <c r="C66" s="423"/>
      <c r="D66" s="423"/>
      <c r="E66" s="54" t="e">
        <f>E46</f>
        <v>#REF!</v>
      </c>
      <c r="F66" s="55">
        <f t="shared" si="32"/>
        <v>73967.278000000006</v>
      </c>
      <c r="G66" s="54">
        <f t="shared" ref="G66:H66" si="43">G46</f>
        <v>23191.402000000002</v>
      </c>
      <c r="H66" s="54">
        <f t="shared" si="43"/>
        <v>24526.31</v>
      </c>
      <c r="I66" s="393">
        <f>I46</f>
        <v>24526.31</v>
      </c>
      <c r="J66" s="394"/>
      <c r="K66" s="394"/>
      <c r="L66" s="394"/>
      <c r="M66" s="395"/>
      <c r="N66" s="54">
        <f t="shared" ref="N66:O66" si="44">N46</f>
        <v>24720.484</v>
      </c>
      <c r="O66" s="54">
        <f t="shared" si="44"/>
        <v>24720.484</v>
      </c>
      <c r="P66" s="7"/>
    </row>
    <row r="67" spans="1:19" ht="18.75" hidden="1" x14ac:dyDescent="0.3">
      <c r="B67" s="401" t="s">
        <v>24</v>
      </c>
      <c r="C67" s="402"/>
      <c r="D67" s="402"/>
      <c r="E67" s="56" t="e">
        <f>SUM(E61:E66)</f>
        <v>#REF!</v>
      </c>
      <c r="F67" s="55">
        <f t="shared" si="32"/>
        <v>47437870.585540012</v>
      </c>
      <c r="G67" s="55">
        <f>SUM(G61:G66)</f>
        <v>13041550.654870003</v>
      </c>
      <c r="H67" s="55" t="e">
        <f>SUM(H61:H66)</f>
        <v>#REF!</v>
      </c>
      <c r="I67" s="429">
        <f>SUM(I61:I66)</f>
        <v>16790897.415320005</v>
      </c>
      <c r="J67" s="430"/>
      <c r="K67" s="430"/>
      <c r="L67" s="430"/>
      <c r="M67" s="431"/>
      <c r="N67" s="55">
        <f>SUM(N61:N66)</f>
        <v>15381057.438860001</v>
      </c>
      <c r="O67" s="55">
        <f>SUM(O61:O66)</f>
        <v>15265915.73136</v>
      </c>
      <c r="P67" s="7"/>
    </row>
    <row r="68" spans="1:19" ht="15" hidden="1" customHeight="1" x14ac:dyDescent="0.25">
      <c r="A68" s="15"/>
      <c r="B68" s="15"/>
      <c r="C68" s="16"/>
      <c r="D68" s="16"/>
      <c r="E68" s="16"/>
      <c r="F68" s="137"/>
      <c r="G68" s="41"/>
      <c r="H68" s="49"/>
      <c r="I68" s="17"/>
      <c r="J68" s="17"/>
      <c r="K68" s="17"/>
      <c r="L68" s="17"/>
      <c r="M68" s="17"/>
      <c r="N68" s="18"/>
      <c r="O68" s="18"/>
      <c r="P68" s="15"/>
      <c r="Q68" s="15"/>
      <c r="R68" s="15"/>
      <c r="S68" s="15"/>
    </row>
    <row r="69" spans="1:19" hidden="1" x14ac:dyDescent="0.25">
      <c r="E69" s="4"/>
      <c r="F69" s="126"/>
      <c r="G69" s="4"/>
      <c r="H69" s="4"/>
      <c r="I69" s="4"/>
      <c r="J69" s="4"/>
      <c r="K69" s="4"/>
      <c r="L69" s="4"/>
      <c r="M69" s="4"/>
      <c r="N69" s="4"/>
      <c r="O69" s="4"/>
    </row>
    <row r="70" spans="1:19" ht="15.75" hidden="1" x14ac:dyDescent="0.25">
      <c r="C70" s="7"/>
      <c r="D70" s="7"/>
      <c r="E70" s="7"/>
      <c r="F70" s="138">
        <f>F57+F60+F61+F62+F63</f>
        <v>42658275.22262001</v>
      </c>
      <c r="G70" s="101">
        <f t="shared" ref="G70:H70" si="45">G57+G60+G61+G62+G63</f>
        <v>12118359.048410002</v>
      </c>
      <c r="H70" s="101" t="e">
        <f t="shared" si="45"/>
        <v>#REF!</v>
      </c>
      <c r="I70" s="428">
        <f>I57+I60+I61+I62+I63</f>
        <v>15060146.917120002</v>
      </c>
      <c r="J70" s="428"/>
      <c r="K70" s="428"/>
      <c r="L70" s="428"/>
      <c r="M70" s="428"/>
      <c r="N70" s="101">
        <f t="shared" ref="N70:O70" si="46">N57+N60+N61+N62+N63</f>
        <v>13856635.006500002</v>
      </c>
      <c r="O70" s="101">
        <f t="shared" si="46"/>
        <v>13741493.299000001</v>
      </c>
    </row>
    <row r="71" spans="1:19" ht="21" hidden="1" x14ac:dyDescent="0.35">
      <c r="E71" s="4"/>
      <c r="H71" s="65"/>
      <c r="I71" s="428"/>
      <c r="J71" s="428"/>
      <c r="K71" s="428"/>
      <c r="L71" s="428"/>
      <c r="M71" s="428"/>
      <c r="N71" s="65"/>
      <c r="O71" s="65"/>
    </row>
    <row r="72" spans="1:19" ht="15.75" hidden="1" x14ac:dyDescent="0.25">
      <c r="E72" s="4"/>
      <c r="F72" s="139"/>
      <c r="G72" s="40"/>
      <c r="H72" s="40"/>
      <c r="I72" s="428"/>
      <c r="J72" s="428"/>
      <c r="K72" s="428"/>
      <c r="L72" s="428"/>
      <c r="M72" s="428"/>
      <c r="N72" s="11"/>
      <c r="O72" s="11"/>
    </row>
    <row r="73" spans="1:19" ht="15.75" hidden="1" x14ac:dyDescent="0.25">
      <c r="E73" s="4"/>
      <c r="F73" s="139"/>
      <c r="G73" s="40"/>
      <c r="H73" s="58"/>
      <c r="I73" s="428"/>
      <c r="J73" s="428"/>
      <c r="K73" s="428"/>
      <c r="L73" s="428"/>
      <c r="M73" s="428"/>
      <c r="N73" s="4"/>
      <c r="O73" s="4"/>
    </row>
    <row r="74" spans="1:19" ht="15.75" x14ac:dyDescent="0.25">
      <c r="E74" s="4"/>
      <c r="F74" s="139"/>
      <c r="G74" s="40"/>
      <c r="H74" s="40"/>
      <c r="I74" s="428"/>
      <c r="J74" s="428"/>
      <c r="K74" s="428"/>
      <c r="L74" s="428"/>
      <c r="M74" s="428"/>
      <c r="N74" s="11"/>
      <c r="O74" s="11"/>
    </row>
    <row r="75" spans="1:19" ht="15.75" x14ac:dyDescent="0.25">
      <c r="E75" s="11"/>
      <c r="F75" s="139"/>
      <c r="G75" s="40"/>
      <c r="H75" s="40"/>
      <c r="I75" s="428"/>
      <c r="J75" s="428"/>
      <c r="K75" s="428"/>
      <c r="L75" s="428"/>
      <c r="M75" s="428"/>
      <c r="N75" s="11"/>
      <c r="O75" s="11"/>
    </row>
    <row r="76" spans="1:19" ht="18.75" x14ac:dyDescent="0.3">
      <c r="F76" s="139"/>
      <c r="I76" s="57"/>
      <c r="J76" s="57"/>
      <c r="K76" s="57"/>
      <c r="L76" s="57"/>
      <c r="M76" s="57"/>
    </row>
    <row r="77" spans="1:19" x14ac:dyDescent="0.25">
      <c r="E77" s="11"/>
      <c r="F77" s="139"/>
      <c r="G77" s="40"/>
      <c r="H77" s="40"/>
      <c r="I77" s="11"/>
      <c r="J77" s="11"/>
      <c r="K77" s="11"/>
      <c r="L77" s="11"/>
      <c r="M77" s="11"/>
      <c r="N77" s="40"/>
      <c r="O77" s="11"/>
    </row>
    <row r="78" spans="1:19" ht="18.75" x14ac:dyDescent="0.3">
      <c r="E78" s="11"/>
      <c r="F78" s="139"/>
      <c r="G78" s="40"/>
      <c r="H78" s="40"/>
      <c r="I78" s="57"/>
      <c r="J78" s="57"/>
      <c r="K78" s="57"/>
      <c r="L78" s="57"/>
      <c r="M78" s="57"/>
      <c r="N78" s="11"/>
      <c r="O78" s="11"/>
    </row>
    <row r="79" spans="1:19" ht="18.75" x14ac:dyDescent="0.3">
      <c r="F79" s="139"/>
      <c r="G79" s="40"/>
      <c r="I79" s="57"/>
      <c r="J79" s="57"/>
      <c r="K79" s="57"/>
      <c r="L79" s="57"/>
      <c r="M79" s="57"/>
    </row>
    <row r="80" spans="1:19" ht="18.75" x14ac:dyDescent="0.3">
      <c r="I80" s="59"/>
      <c r="J80" s="59"/>
      <c r="K80" s="59"/>
      <c r="L80" s="59"/>
      <c r="M80" s="59"/>
    </row>
    <row r="81" spans="6:15" x14ac:dyDescent="0.25">
      <c r="F81" s="139"/>
      <c r="G81" s="40"/>
      <c r="H81" s="40"/>
      <c r="I81" s="11"/>
      <c r="J81" s="11"/>
      <c r="K81" s="11"/>
      <c r="L81" s="11"/>
      <c r="M81" s="11"/>
      <c r="N81" s="11"/>
      <c r="O81" s="11"/>
    </row>
    <row r="82" spans="6:15" x14ac:dyDescent="0.25">
      <c r="F82" s="139"/>
      <c r="G82" s="40"/>
      <c r="H82" s="40"/>
      <c r="I82" s="11"/>
      <c r="J82" s="11"/>
      <c r="K82" s="11"/>
      <c r="L82" s="11"/>
      <c r="M82" s="11"/>
      <c r="N82" s="11"/>
      <c r="O82" s="11"/>
    </row>
    <row r="83" spans="6:15" x14ac:dyDescent="0.25">
      <c r="F83" s="126"/>
      <c r="G83" s="38"/>
      <c r="H83" s="38"/>
      <c r="I83" s="4"/>
      <c r="J83" s="4"/>
      <c r="K83" s="4"/>
      <c r="L83" s="4"/>
      <c r="M83" s="4"/>
      <c r="N83" s="4"/>
      <c r="O83" s="4"/>
    </row>
  </sheetData>
  <mergeCells count="130">
    <mergeCell ref="I71:M71"/>
    <mergeCell ref="I72:M72"/>
    <mergeCell ref="I73:M73"/>
    <mergeCell ref="I74:M74"/>
    <mergeCell ref="I75:M75"/>
    <mergeCell ref="I38:M38"/>
    <mergeCell ref="I37:M37"/>
    <mergeCell ref="I36:M36"/>
    <mergeCell ref="I58:M58"/>
    <mergeCell ref="I57:M57"/>
    <mergeCell ref="I56:M56"/>
    <mergeCell ref="I55:M55"/>
    <mergeCell ref="I63:M63"/>
    <mergeCell ref="I62:M62"/>
    <mergeCell ref="I61:M61"/>
    <mergeCell ref="I60:M60"/>
    <mergeCell ref="I59:M59"/>
    <mergeCell ref="I70:M70"/>
    <mergeCell ref="I67:M67"/>
    <mergeCell ref="I66:M66"/>
    <mergeCell ref="I65:M65"/>
    <mergeCell ref="I64:M64"/>
    <mergeCell ref="I50:L50"/>
    <mergeCell ref="I51:L51"/>
    <mergeCell ref="I41:M41"/>
    <mergeCell ref="I40:M40"/>
    <mergeCell ref="I39:M39"/>
    <mergeCell ref="I46:M46"/>
    <mergeCell ref="I45:M45"/>
    <mergeCell ref="I44:M44"/>
    <mergeCell ref="I43:M43"/>
    <mergeCell ref="I42:M42"/>
    <mergeCell ref="I48:L48"/>
    <mergeCell ref="A37:D37"/>
    <mergeCell ref="P30:P32"/>
    <mergeCell ref="F23:F24"/>
    <mergeCell ref="I23:I24"/>
    <mergeCell ref="J23:M23"/>
    <mergeCell ref="P23:P25"/>
    <mergeCell ref="A18:A25"/>
    <mergeCell ref="I21:M21"/>
    <mergeCell ref="I20:M20"/>
    <mergeCell ref="I19:M19"/>
    <mergeCell ref="I18:M18"/>
    <mergeCell ref="A26:A32"/>
    <mergeCell ref="C18:C22"/>
    <mergeCell ref="P26:P29"/>
    <mergeCell ref="B26:B29"/>
    <mergeCell ref="C26:C29"/>
    <mergeCell ref="I28:M28"/>
    <mergeCell ref="I27:M27"/>
    <mergeCell ref="A36:D36"/>
    <mergeCell ref="I35:M35"/>
    <mergeCell ref="A35:D35"/>
    <mergeCell ref="C23:C25"/>
    <mergeCell ref="D23:D25"/>
    <mergeCell ref="B30:B32"/>
    <mergeCell ref="I22:M22"/>
    <mergeCell ref="F15:F16"/>
    <mergeCell ref="F30:F31"/>
    <mergeCell ref="I30:I31"/>
    <mergeCell ref="J30:M30"/>
    <mergeCell ref="B15:B17"/>
    <mergeCell ref="C15:C17"/>
    <mergeCell ref="D15:D17"/>
    <mergeCell ref="B23:B25"/>
    <mergeCell ref="B67:D67"/>
    <mergeCell ref="A38:D38"/>
    <mergeCell ref="B61:D61"/>
    <mergeCell ref="B55:D55"/>
    <mergeCell ref="B64:D64"/>
    <mergeCell ref="B56:D56"/>
    <mergeCell ref="B57:D57"/>
    <mergeCell ref="B58:D58"/>
    <mergeCell ref="B59:D59"/>
    <mergeCell ref="B60:D60"/>
    <mergeCell ref="A42:D42"/>
    <mergeCell ref="A45:D45"/>
    <mergeCell ref="A43:D43"/>
    <mergeCell ref="B62:D62"/>
    <mergeCell ref="B63:D63"/>
    <mergeCell ref="A46:D46"/>
    <mergeCell ref="P5:P10"/>
    <mergeCell ref="C30:C32"/>
    <mergeCell ref="D30:D32"/>
    <mergeCell ref="I15:I16"/>
    <mergeCell ref="J15:M15"/>
    <mergeCell ref="I34:M34"/>
    <mergeCell ref="A34:D34"/>
    <mergeCell ref="B65:D65"/>
    <mergeCell ref="B66:D66"/>
    <mergeCell ref="P15:P17"/>
    <mergeCell ref="A11:A17"/>
    <mergeCell ref="A33:D33"/>
    <mergeCell ref="B11:B14"/>
    <mergeCell ref="C11:C14"/>
    <mergeCell ref="P18:P22"/>
    <mergeCell ref="I26:M26"/>
    <mergeCell ref="P11:P14"/>
    <mergeCell ref="I33:M33"/>
    <mergeCell ref="I29:M29"/>
    <mergeCell ref="B18:B22"/>
    <mergeCell ref="I14:M14"/>
    <mergeCell ref="I13:M13"/>
    <mergeCell ref="I12:M12"/>
    <mergeCell ref="I11:M11"/>
    <mergeCell ref="G1:O1"/>
    <mergeCell ref="A39:D39"/>
    <mergeCell ref="A44:D44"/>
    <mergeCell ref="A40:D40"/>
    <mergeCell ref="A41:D41"/>
    <mergeCell ref="I2:M2"/>
    <mergeCell ref="I3:M3"/>
    <mergeCell ref="I10:M10"/>
    <mergeCell ref="I9:M9"/>
    <mergeCell ref="I8:M8"/>
    <mergeCell ref="I7:M7"/>
    <mergeCell ref="I6:M6"/>
    <mergeCell ref="I5:M5"/>
    <mergeCell ref="A4:P4"/>
    <mergeCell ref="F1:F2"/>
    <mergeCell ref="P1:P2"/>
    <mergeCell ref="B5:B10"/>
    <mergeCell ref="C5:C10"/>
    <mergeCell ref="A1:A2"/>
    <mergeCell ref="B1:B2"/>
    <mergeCell ref="C1:C2"/>
    <mergeCell ref="D1:D2"/>
    <mergeCell ref="E1:E2"/>
    <mergeCell ref="A5:A10"/>
  </mergeCells>
  <pageMargins left="0.19685039370078741" right="0.19685039370078741" top="0.59055118110236227" bottom="0.19685039370078741" header="0.39370078740157483" footer="0"/>
  <pageSetup paperSize="9" scale="45" firstPageNumber="19" orientation="landscape" useFirstPageNumber="1" r:id="rId1"/>
  <headerFooter>
    <oddHeader>&amp;C&amp;"Times New Roman,обычный"&amp;12&amp;K000000&amp;P</oddHeader>
  </headerFooter>
  <rowBreaks count="1" manualBreakCount="1">
    <brk id="25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Подпрограмма 1</vt:lpstr>
      <vt:lpstr>Подпрограмма 2</vt:lpstr>
      <vt:lpstr>Подпрограмма 3</vt:lpstr>
      <vt:lpstr>'Подпрограмма 1'!Заголовки_для_печати</vt:lpstr>
      <vt:lpstr>'Подпрограмма 2'!Заголовки_для_печати</vt:lpstr>
      <vt:lpstr>'Подпрограмма 3'!Заголовки_для_печати</vt:lpstr>
      <vt:lpstr>'Подпрограмма 1'!Область_печати</vt:lpstr>
      <vt:lpstr>'Подпрограмма 2'!Область_печати</vt:lpstr>
      <vt:lpstr>'Подпрограмма 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Самуйлик Анастасия Михайловна</dc:creator>
  <cp:lastModifiedBy>User</cp:lastModifiedBy>
  <cp:lastPrinted>2025-10-31T07:08:06Z</cp:lastPrinted>
  <dcterms:created xsi:type="dcterms:W3CDTF">2020-11-02T07:16:17Z</dcterms:created>
  <dcterms:modified xsi:type="dcterms:W3CDTF">2025-12-04T17:39:26Z</dcterms:modified>
</cp:coreProperties>
</file>